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DD30A130-8A04-47D1-A117-2F0E75CCA730}" xr6:coauthVersionLast="47" xr6:coauthVersionMax="47" xr10:uidLastSave="{00000000-0000-0000-0000-000000000000}"/>
  <bookViews>
    <workbookView xWindow="-120" yWindow="-120" windowWidth="20730" windowHeight="11040" xr2:uid="{00000000-000D-0000-FFFF-FFFF00000000}"/>
  </bookViews>
  <sheets>
    <sheet name="一覧" sheetId="26" r:id="rId1"/>
  </sheets>
  <definedNames>
    <definedName name="_xlnm._FilterDatabase" localSheetId="0" hidden="1">一覧!$A$4:$I$5599</definedName>
    <definedName name="_xlnm.Print_Area" localSheetId="0">一覧!$A$1:$I$5599</definedName>
    <definedName name="_xlnm.Print_Titles" localSheetId="0">一覧!$1:$4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599" i="26" l="1"/>
  <c r="B5598" i="26"/>
  <c r="B5597" i="26"/>
  <c r="B5596" i="26"/>
  <c r="B5595" i="26"/>
  <c r="B5594" i="26"/>
  <c r="B5593" i="26"/>
  <c r="B5592" i="26"/>
  <c r="B5591" i="26"/>
  <c r="B5590" i="26"/>
  <c r="B5589" i="26"/>
  <c r="B5588" i="26"/>
  <c r="B5587" i="26"/>
  <c r="B5586" i="26"/>
  <c r="B5585" i="26"/>
  <c r="B5584" i="26"/>
  <c r="B5583" i="26"/>
  <c r="B5582" i="26"/>
  <c r="B5581" i="26"/>
  <c r="B5580" i="26"/>
  <c r="B5579" i="26"/>
  <c r="B5578" i="26"/>
  <c r="B5577" i="26"/>
  <c r="B5576" i="26"/>
  <c r="B5575" i="26"/>
  <c r="B5574" i="26"/>
  <c r="B5573" i="26"/>
  <c r="B5572" i="26"/>
  <c r="B5571" i="26"/>
  <c r="B5570" i="26"/>
  <c r="B5569" i="26"/>
  <c r="B5568" i="26"/>
  <c r="B5567" i="26"/>
  <c r="B5566" i="26"/>
  <c r="B5565" i="26"/>
  <c r="B5564" i="26"/>
  <c r="B5563" i="26"/>
  <c r="B5562" i="26"/>
  <c r="B5561" i="26"/>
  <c r="B5560" i="26"/>
  <c r="B5559" i="26"/>
  <c r="B5558" i="26"/>
  <c r="B5557" i="26"/>
  <c r="B5556" i="26"/>
  <c r="B5555" i="26"/>
  <c r="B5554" i="26"/>
  <c r="B5553" i="26"/>
  <c r="B5552" i="26"/>
  <c r="B5551" i="26"/>
  <c r="B5550" i="26"/>
  <c r="B5549" i="26"/>
  <c r="B5548" i="26"/>
  <c r="B5547" i="26"/>
  <c r="B5546" i="26"/>
  <c r="B5545" i="26"/>
  <c r="B5544" i="26"/>
  <c r="B5543" i="26"/>
  <c r="B5542" i="26"/>
  <c r="B5541" i="26"/>
  <c r="B5540" i="26"/>
  <c r="B5539" i="26"/>
  <c r="B5538" i="26"/>
  <c r="B5537" i="26"/>
  <c r="B5536" i="26"/>
  <c r="B5535" i="26"/>
  <c r="B5534" i="26"/>
  <c r="B5533" i="26"/>
  <c r="B5532" i="26"/>
  <c r="B5531" i="26"/>
  <c r="B5530" i="26"/>
  <c r="B5529" i="26"/>
  <c r="B5528" i="26"/>
  <c r="B5527" i="26"/>
  <c r="B5526" i="26"/>
  <c r="B5525" i="26"/>
  <c r="B5524" i="26"/>
  <c r="B5523" i="26"/>
  <c r="B5522" i="26"/>
  <c r="B5521" i="26"/>
  <c r="B5520" i="26"/>
  <c r="B5519" i="26"/>
  <c r="B5518" i="26"/>
  <c r="B5517" i="26"/>
  <c r="B5516" i="26"/>
  <c r="B5515" i="26"/>
  <c r="B5514" i="26"/>
  <c r="B5513" i="26"/>
  <c r="B5512" i="26"/>
  <c r="B5511" i="26"/>
  <c r="B5510" i="26"/>
  <c r="B5509" i="26"/>
  <c r="B5508" i="26"/>
  <c r="B5507" i="26"/>
  <c r="B5506" i="26"/>
  <c r="B5505" i="26"/>
  <c r="B5504" i="26"/>
  <c r="B5503" i="26"/>
  <c r="B5502" i="26"/>
  <c r="B5501" i="26"/>
  <c r="B5500" i="26"/>
  <c r="B5499" i="26"/>
  <c r="B5498" i="26"/>
  <c r="B5497" i="26"/>
  <c r="B5496" i="26"/>
  <c r="B5495" i="26"/>
  <c r="B5494" i="26"/>
  <c r="B5493" i="26"/>
  <c r="B5492" i="26"/>
  <c r="B5491" i="26"/>
  <c r="B5490" i="26"/>
  <c r="B5489" i="26"/>
  <c r="B5488" i="26"/>
  <c r="B5486" i="26"/>
  <c r="B5485" i="26"/>
  <c r="B5484" i="26"/>
  <c r="B5483" i="26"/>
  <c r="B5482" i="26"/>
  <c r="B5481" i="26"/>
  <c r="B5480" i="26"/>
  <c r="B5479" i="26"/>
  <c r="B5478" i="26"/>
  <c r="B5477" i="26"/>
  <c r="B5476" i="26"/>
  <c r="B5475" i="26"/>
  <c r="B5474" i="26"/>
  <c r="B5473" i="26"/>
  <c r="B5472" i="26"/>
  <c r="B5471" i="26"/>
  <c r="B5470" i="26"/>
  <c r="B5469" i="26"/>
  <c r="B5468" i="26"/>
  <c r="B5467" i="26"/>
  <c r="B5466" i="26"/>
  <c r="B5465" i="26"/>
  <c r="B5464" i="26"/>
  <c r="B5463" i="26"/>
  <c r="B5462" i="26"/>
  <c r="B5461" i="26"/>
  <c r="B5460" i="26"/>
  <c r="B5459" i="26"/>
  <c r="B5458" i="26"/>
  <c r="B5457" i="26"/>
  <c r="B5456" i="26"/>
  <c r="B5455" i="26"/>
  <c r="B5454" i="26"/>
  <c r="B5453" i="26"/>
  <c r="B5452" i="26"/>
  <c r="B5451" i="26"/>
  <c r="B5450" i="26"/>
  <c r="B5449" i="26"/>
  <c r="B5448" i="26"/>
  <c r="B5447" i="26"/>
  <c r="B5446" i="26"/>
  <c r="B5445" i="26"/>
  <c r="B5444" i="26"/>
  <c r="B5443" i="26"/>
  <c r="B5442" i="26"/>
  <c r="B5441" i="26"/>
  <c r="B5440" i="26"/>
  <c r="B5439" i="26"/>
  <c r="B5438" i="26"/>
  <c r="B5437" i="26"/>
  <c r="B5436" i="26"/>
  <c r="B5435" i="26"/>
  <c r="B5434" i="26"/>
  <c r="B5433" i="26"/>
  <c r="B5432" i="26"/>
  <c r="B5431" i="26"/>
  <c r="B5430" i="26"/>
  <c r="B5429" i="26"/>
  <c r="B5428" i="26"/>
  <c r="B5427" i="26"/>
  <c r="B5426" i="26"/>
  <c r="B5425" i="26"/>
  <c r="B5424" i="26"/>
  <c r="B5423" i="26"/>
  <c r="B5422" i="26"/>
  <c r="B5421" i="26"/>
  <c r="B5420" i="26"/>
  <c r="B5419" i="26"/>
  <c r="B5418" i="26"/>
  <c r="B5417" i="26"/>
  <c r="B5416" i="26"/>
  <c r="B5415" i="26"/>
  <c r="B5414" i="26"/>
  <c r="B5413" i="26"/>
  <c r="B5412" i="26"/>
  <c r="B5411" i="26"/>
  <c r="B5410" i="26"/>
  <c r="B5409" i="26"/>
  <c r="B5408" i="26"/>
  <c r="B5407" i="26"/>
  <c r="B5406" i="26"/>
  <c r="B5405" i="26"/>
  <c r="B5404" i="26"/>
  <c r="B5403" i="26"/>
  <c r="B5402" i="26"/>
  <c r="B5401" i="26"/>
  <c r="B5400" i="26"/>
  <c r="B5399" i="26"/>
  <c r="B5398" i="26"/>
  <c r="B5397" i="26"/>
  <c r="B5396" i="26"/>
  <c r="B5395" i="26"/>
  <c r="B5394" i="26"/>
  <c r="B5393" i="26"/>
  <c r="B5392" i="26"/>
  <c r="B5391" i="26"/>
  <c r="B5390" i="26"/>
  <c r="B5389" i="26"/>
  <c r="B5388" i="26"/>
  <c r="B5387" i="26"/>
  <c r="B5386" i="26"/>
  <c r="B5385" i="26"/>
  <c r="B5384" i="26"/>
  <c r="B5383" i="26"/>
  <c r="B5382" i="26"/>
  <c r="B5381" i="26"/>
  <c r="B5380" i="26"/>
  <c r="B5379" i="26"/>
  <c r="B5378" i="26"/>
  <c r="B5377" i="26"/>
  <c r="B5376" i="26"/>
  <c r="B5375" i="26"/>
  <c r="B5374" i="26"/>
  <c r="B5373" i="26"/>
  <c r="B5372" i="26"/>
  <c r="B5371" i="26"/>
  <c r="B5370" i="26"/>
  <c r="B5369" i="26"/>
  <c r="B5368" i="26"/>
  <c r="B5367" i="26"/>
  <c r="B5366" i="26"/>
  <c r="B5365" i="26"/>
  <c r="B5364" i="26"/>
  <c r="B5363" i="26"/>
  <c r="B5362" i="26"/>
  <c r="B5361" i="26"/>
  <c r="B5360" i="26"/>
  <c r="B5359" i="26"/>
  <c r="B5358" i="26"/>
  <c r="B5357" i="26"/>
  <c r="B5356" i="26"/>
  <c r="B5355" i="26"/>
  <c r="B5350" i="26"/>
  <c r="B5349" i="26"/>
  <c r="B5348" i="26"/>
  <c r="B5347" i="26"/>
  <c r="B5346" i="26"/>
  <c r="B5345" i="26"/>
  <c r="B5344" i="26"/>
  <c r="B5343" i="26"/>
  <c r="B5342" i="26"/>
  <c r="B5341" i="26"/>
  <c r="B5340" i="26"/>
  <c r="B5339" i="26"/>
  <c r="B5338" i="26"/>
  <c r="B5337" i="26"/>
  <c r="B5336" i="26"/>
  <c r="B5335" i="26"/>
  <c r="B5334" i="26"/>
  <c r="B5333" i="26"/>
  <c r="B5332" i="26"/>
  <c r="B5331" i="26"/>
  <c r="B5330" i="26"/>
  <c r="B5329" i="26"/>
  <c r="B5328" i="26"/>
  <c r="B5327" i="26"/>
  <c r="B5326" i="26"/>
  <c r="B5325" i="26"/>
  <c r="B5324" i="26"/>
  <c r="B5323" i="26"/>
  <c r="B5322" i="26"/>
  <c r="B5321" i="26"/>
  <c r="B5320" i="26"/>
  <c r="B5319" i="26"/>
  <c r="B5318" i="26"/>
  <c r="B5317" i="26"/>
  <c r="B5316" i="26"/>
  <c r="B5315" i="26"/>
  <c r="B5314" i="26"/>
  <c r="B5313" i="26"/>
  <c r="B5312" i="26"/>
  <c r="B5311" i="26"/>
  <c r="B5310" i="26"/>
  <c r="B5309" i="26"/>
  <c r="B5308" i="26"/>
  <c r="B5307" i="26"/>
  <c r="B5306" i="26"/>
  <c r="B5305" i="26"/>
  <c r="B5304" i="26"/>
  <c r="B5303" i="26"/>
  <c r="B5302" i="26"/>
  <c r="B5301" i="26"/>
  <c r="B5300" i="26"/>
  <c r="B5299" i="26"/>
  <c r="B5298" i="26"/>
  <c r="B5297" i="26"/>
  <c r="B5296" i="26"/>
  <c r="B5295" i="26"/>
  <c r="B5294" i="26"/>
  <c r="B5293" i="26"/>
  <c r="B5292" i="26"/>
  <c r="B5291" i="26"/>
  <c r="B5290" i="26"/>
  <c r="B5289" i="26"/>
  <c r="B5288" i="26"/>
  <c r="B5287" i="26"/>
  <c r="B5286" i="26"/>
  <c r="B5285" i="26"/>
  <c r="B5284" i="26"/>
  <c r="B5283" i="26"/>
  <c r="B5282" i="26"/>
  <c r="B5281" i="26"/>
  <c r="B5280" i="26"/>
  <c r="B5279" i="26"/>
  <c r="B5278" i="26"/>
  <c r="B5277" i="26"/>
  <c r="B5276" i="26"/>
  <c r="B5275" i="26"/>
  <c r="B5274" i="26"/>
  <c r="B5273" i="26"/>
  <c r="B5272" i="26"/>
  <c r="B5271" i="26"/>
  <c r="B5270" i="26"/>
  <c r="B5269" i="26"/>
  <c r="B5268" i="26"/>
  <c r="B5267" i="26"/>
  <c r="B5266" i="26"/>
  <c r="B5265" i="26"/>
  <c r="B5264" i="26"/>
  <c r="B5263" i="26"/>
  <c r="B5262" i="26"/>
  <c r="B5261" i="26"/>
  <c r="B5260" i="26"/>
  <c r="B5259" i="26"/>
  <c r="B5258" i="26"/>
  <c r="B5257" i="26"/>
  <c r="B5256" i="26"/>
  <c r="B5255" i="26"/>
  <c r="B5254" i="26"/>
  <c r="B5253" i="26"/>
  <c r="B5252" i="26"/>
  <c r="B5251" i="26"/>
  <c r="B5250" i="26"/>
  <c r="B5249" i="26"/>
  <c r="B5248" i="26"/>
  <c r="B5247" i="26"/>
  <c r="B5246" i="26"/>
  <c r="B5245" i="26"/>
  <c r="B5244" i="26"/>
  <c r="B5243" i="26"/>
  <c r="B5242" i="26"/>
  <c r="B5241" i="26"/>
  <c r="B5240" i="26"/>
  <c r="B5239" i="26"/>
  <c r="B5238" i="26"/>
  <c r="B5237" i="26"/>
  <c r="B5236" i="26"/>
  <c r="B5235" i="26"/>
  <c r="B5234" i="26"/>
  <c r="B5233" i="26"/>
  <c r="B5232" i="26"/>
  <c r="B5231" i="26"/>
  <c r="B5230" i="26"/>
  <c r="B5229" i="26"/>
  <c r="B5228" i="26"/>
  <c r="B5227" i="26"/>
  <c r="B5226" i="26"/>
  <c r="B5225" i="26"/>
  <c r="B5224" i="26"/>
  <c r="B5223" i="26"/>
  <c r="B5222" i="26"/>
  <c r="B5221" i="26"/>
  <c r="B5220" i="26"/>
  <c r="B5219" i="26"/>
  <c r="B5218" i="26"/>
  <c r="B5217" i="26"/>
  <c r="B5216" i="26"/>
  <c r="B5215" i="26"/>
  <c r="B5214" i="26"/>
  <c r="B5213" i="26"/>
  <c r="B5212" i="26"/>
  <c r="B5211" i="26"/>
  <c r="B5210" i="26"/>
  <c r="B5209" i="26"/>
  <c r="B5208" i="26"/>
  <c r="B5207" i="26"/>
  <c r="B5206" i="26"/>
  <c r="B5205" i="26"/>
  <c r="B5204" i="26"/>
  <c r="B5203" i="26"/>
  <c r="B5202" i="26"/>
  <c r="B5201" i="26"/>
  <c r="B5200" i="26"/>
  <c r="B5199" i="26"/>
  <c r="B5198" i="26"/>
  <c r="B5197" i="26"/>
  <c r="B5196" i="26"/>
  <c r="B5195" i="26"/>
  <c r="B5194" i="26"/>
  <c r="B5193" i="26"/>
  <c r="B5192" i="26"/>
  <c r="B5191" i="26"/>
  <c r="B5190" i="26"/>
  <c r="B5189" i="26"/>
  <c r="B5188" i="26"/>
  <c r="B5187" i="26"/>
  <c r="B5186" i="26"/>
  <c r="B5185" i="26"/>
  <c r="B5184" i="26"/>
  <c r="B5183" i="26"/>
  <c r="B5182" i="26"/>
  <c r="B5181" i="26"/>
  <c r="B5180" i="26"/>
  <c r="B5179" i="26"/>
  <c r="B5178" i="26"/>
  <c r="B5177" i="26"/>
  <c r="B5176" i="26"/>
  <c r="B5175" i="26"/>
  <c r="B5174" i="26"/>
  <c r="B5173" i="26"/>
  <c r="B5172" i="26"/>
  <c r="B5171" i="26"/>
  <c r="B5170" i="26"/>
  <c r="B5169" i="26"/>
  <c r="B5168" i="26"/>
  <c r="B5167" i="26"/>
  <c r="B5166" i="26"/>
  <c r="B5165" i="26"/>
  <c r="B5164" i="26"/>
  <c r="B5163" i="26"/>
  <c r="B5162" i="26"/>
  <c r="B5161" i="26"/>
  <c r="B5160" i="26"/>
  <c r="B5159" i="26"/>
  <c r="B5158" i="26"/>
  <c r="B5157" i="26"/>
  <c r="B5156" i="26"/>
  <c r="B5155" i="26"/>
  <c r="B5154" i="26"/>
  <c r="B5153" i="26"/>
  <c r="B5152" i="26"/>
  <c r="B5151" i="26"/>
  <c r="B5150" i="26"/>
  <c r="B5149" i="26"/>
  <c r="B5148" i="26"/>
  <c r="B5147" i="26"/>
  <c r="B5146" i="26"/>
  <c r="B5145" i="26"/>
  <c r="B5144" i="26"/>
  <c r="B5143" i="26"/>
  <c r="B5142" i="26"/>
  <c r="B5141" i="26"/>
  <c r="B5140" i="26"/>
  <c r="B5139" i="26"/>
  <c r="B5138" i="26"/>
  <c r="B5137" i="26"/>
  <c r="B5136" i="26"/>
  <c r="B5135" i="26"/>
  <c r="B5134" i="26"/>
  <c r="B5133" i="26"/>
  <c r="B5132" i="26"/>
  <c r="B5131" i="26"/>
  <c r="B5130" i="26"/>
  <c r="B5129" i="26"/>
  <c r="B5128" i="26"/>
  <c r="B5127" i="26"/>
  <c r="B5126" i="26"/>
  <c r="B5125" i="26"/>
  <c r="B5124" i="26"/>
  <c r="B5123" i="26"/>
  <c r="B5122" i="26"/>
  <c r="B5121" i="26"/>
  <c r="B5120" i="26"/>
  <c r="B5119" i="26"/>
  <c r="B5118" i="26"/>
  <c r="B5117" i="26"/>
  <c r="B5116" i="26"/>
  <c r="B5115" i="26"/>
  <c r="B5114" i="26"/>
  <c r="B5113" i="26"/>
  <c r="B5112" i="26"/>
  <c r="B5111" i="26"/>
  <c r="B5110" i="26"/>
  <c r="B5109" i="26"/>
  <c r="B5108" i="26"/>
  <c r="B5107" i="26"/>
  <c r="B5106" i="26"/>
  <c r="B5105" i="26"/>
  <c r="B5104" i="26"/>
  <c r="B5103" i="26"/>
  <c r="B5102" i="26"/>
  <c r="B5101" i="26"/>
  <c r="B5100" i="26"/>
  <c r="B5099" i="26"/>
  <c r="B5098" i="26"/>
  <c r="B5097" i="26"/>
  <c r="B5096" i="26"/>
  <c r="B5095" i="26"/>
  <c r="B5094" i="26"/>
  <c r="B5093" i="26"/>
  <c r="B5092" i="26"/>
  <c r="B5091" i="26"/>
  <c r="B5090" i="26"/>
  <c r="B5089" i="26"/>
  <c r="B5088" i="26"/>
  <c r="B5087" i="26"/>
  <c r="B5086" i="26"/>
  <c r="B5085" i="26"/>
  <c r="B5084" i="26"/>
  <c r="B5083" i="26"/>
  <c r="B5082" i="26"/>
  <c r="B5081" i="26"/>
  <c r="B5080" i="26"/>
  <c r="B5079" i="26"/>
  <c r="B5078" i="26"/>
  <c r="B5077" i="26"/>
  <c r="B5076" i="26"/>
  <c r="B5075" i="26"/>
  <c r="B5074" i="26"/>
  <c r="B5073" i="26"/>
  <c r="B5072" i="26"/>
  <c r="B5071" i="26"/>
  <c r="B5070" i="26"/>
  <c r="B5069" i="26"/>
  <c r="B5068" i="26"/>
  <c r="B5067" i="26"/>
  <c r="B5066" i="26"/>
  <c r="B5065" i="26"/>
  <c r="B5064" i="26"/>
  <c r="B5063" i="26"/>
  <c r="B5062" i="26"/>
  <c r="B5061" i="26"/>
  <c r="B5060" i="26"/>
  <c r="B5059" i="26"/>
  <c r="B5058" i="26"/>
  <c r="B5057" i="26"/>
  <c r="B5056" i="26"/>
  <c r="B5055" i="26"/>
  <c r="B5054" i="26"/>
  <c r="B5053" i="26"/>
  <c r="B5052" i="26"/>
  <c r="B5051" i="26"/>
  <c r="B5050" i="26"/>
  <c r="B5049" i="26"/>
  <c r="B5048" i="26"/>
  <c r="B5047" i="26"/>
  <c r="B5046" i="26"/>
  <c r="B5045" i="26"/>
  <c r="B5044" i="26"/>
  <c r="B5043" i="26"/>
  <c r="B5042" i="26"/>
  <c r="B5041" i="26"/>
  <c r="B5040" i="26"/>
  <c r="B5039" i="26"/>
  <c r="B5038" i="26"/>
  <c r="B5037" i="26"/>
  <c r="B5036" i="26"/>
  <c r="B5035" i="26"/>
  <c r="B5034" i="26"/>
  <c r="B5033" i="26"/>
  <c r="B5032" i="26"/>
  <c r="B5031" i="26"/>
  <c r="B5030" i="26"/>
  <c r="B5029" i="26"/>
  <c r="B5028" i="26"/>
  <c r="B5027" i="26"/>
  <c r="B5026" i="26"/>
  <c r="B5025" i="26"/>
  <c r="B5024" i="26"/>
  <c r="B5023" i="26"/>
  <c r="B5022" i="26"/>
  <c r="B5021" i="26"/>
  <c r="B5020" i="26"/>
  <c r="B5019" i="26"/>
  <c r="B5018" i="26"/>
  <c r="B5017" i="26"/>
  <c r="B5016" i="26"/>
  <c r="B5015" i="26"/>
  <c r="B5014" i="26"/>
  <c r="B5013" i="26"/>
  <c r="B5012" i="26"/>
  <c r="B5011" i="26"/>
  <c r="B5010" i="26"/>
  <c r="B5009" i="26"/>
  <c r="B5008" i="26"/>
  <c r="B5007" i="26"/>
  <c r="B5006" i="26"/>
  <c r="B5005" i="26"/>
  <c r="B5004" i="26"/>
  <c r="B5003" i="26"/>
  <c r="B5002" i="26"/>
  <c r="B5001" i="26"/>
  <c r="B5000" i="26"/>
  <c r="B4999" i="26"/>
  <c r="B4998" i="26"/>
  <c r="B4997" i="26"/>
  <c r="B4996" i="26"/>
  <c r="B4995" i="26"/>
  <c r="B4994" i="26"/>
  <c r="B4993" i="26"/>
  <c r="B4992" i="26"/>
  <c r="B4991" i="26"/>
  <c r="B4990" i="26"/>
  <c r="B4989" i="26"/>
  <c r="B4988" i="26"/>
  <c r="B4987" i="26"/>
  <c r="B4986" i="26"/>
  <c r="B4985" i="26"/>
  <c r="B4984" i="26"/>
  <c r="B4983" i="26"/>
  <c r="B4982" i="26"/>
  <c r="B4981" i="26"/>
  <c r="B4980" i="26"/>
  <c r="B4979" i="26"/>
  <c r="B4978" i="26"/>
  <c r="B4977" i="26"/>
  <c r="B4976" i="26"/>
  <c r="B4975" i="26"/>
  <c r="B4974" i="26"/>
  <c r="B4973" i="26"/>
  <c r="B4972" i="26"/>
  <c r="B4971" i="26"/>
  <c r="B4970" i="26"/>
  <c r="B4969" i="26"/>
  <c r="B4968" i="26"/>
  <c r="B4967" i="26"/>
  <c r="B4966" i="26"/>
  <c r="B4965" i="26"/>
  <c r="B4964" i="26"/>
  <c r="B4963" i="26"/>
  <c r="B4962" i="26"/>
  <c r="B4961" i="26"/>
  <c r="B4960" i="26"/>
  <c r="B4959" i="26"/>
  <c r="B4958" i="26"/>
  <c r="B4957" i="26"/>
  <c r="B4956" i="26"/>
  <c r="B4955" i="26"/>
  <c r="B4954" i="26"/>
  <c r="B4953" i="26"/>
  <c r="B4952" i="26"/>
  <c r="B4951" i="26"/>
  <c r="B4950" i="26"/>
  <c r="B4949" i="26"/>
  <c r="B4948" i="26"/>
  <c r="B4947" i="26"/>
  <c r="B4946" i="26"/>
  <c r="B4945" i="26"/>
  <c r="B4944" i="26"/>
  <c r="B4943" i="26"/>
  <c r="B4942" i="26"/>
  <c r="B4941" i="26"/>
  <c r="B4940" i="26"/>
  <c r="B4939" i="26"/>
  <c r="B4938" i="26"/>
  <c r="B4937" i="26"/>
  <c r="B4936" i="26"/>
  <c r="B4935" i="26"/>
  <c r="B4934" i="26"/>
  <c r="B4933" i="26"/>
  <c r="B4932" i="26"/>
  <c r="B4931" i="26"/>
  <c r="B4930" i="26"/>
  <c r="B4929" i="26"/>
  <c r="B4928" i="26"/>
  <c r="B4927" i="26"/>
  <c r="B4926" i="26"/>
  <c r="B4925" i="26"/>
  <c r="B4924" i="26"/>
  <c r="B4923" i="26"/>
  <c r="B4922" i="26"/>
  <c r="B4921" i="26"/>
  <c r="B4920" i="26"/>
  <c r="B4919" i="26"/>
  <c r="B4918" i="26"/>
  <c r="B4917" i="26"/>
  <c r="B4916" i="26"/>
  <c r="B4915" i="26"/>
  <c r="B4914" i="26"/>
  <c r="B4913" i="26"/>
  <c r="B4912" i="26"/>
  <c r="B4911" i="26"/>
  <c r="B4910" i="26"/>
  <c r="B4909" i="26"/>
  <c r="B4908" i="26"/>
  <c r="B4907" i="26"/>
  <c r="B4906" i="26"/>
  <c r="B4905" i="26"/>
  <c r="B4904" i="26"/>
  <c r="B4903" i="26"/>
  <c r="B4902" i="26"/>
  <c r="B4901" i="26"/>
  <c r="B4900" i="26"/>
  <c r="B4899" i="26"/>
  <c r="B4898" i="26"/>
  <c r="B4897" i="26"/>
  <c r="B4896" i="26"/>
  <c r="B4895" i="26"/>
  <c r="B4894" i="26"/>
  <c r="B4893" i="26"/>
  <c r="B4892" i="26"/>
  <c r="B4891" i="26"/>
  <c r="B4890" i="26"/>
  <c r="B4889" i="26"/>
  <c r="B4888" i="26"/>
  <c r="B4887" i="26"/>
  <c r="B4886" i="26"/>
  <c r="B4885" i="26"/>
  <c r="B4884" i="26"/>
  <c r="B4883" i="26"/>
  <c r="B4882" i="26"/>
  <c r="B4881" i="26"/>
  <c r="B4880" i="26"/>
  <c r="B4879" i="26"/>
  <c r="B4878" i="26"/>
  <c r="B4877" i="26"/>
  <c r="B4876" i="26"/>
  <c r="B4875" i="26"/>
  <c r="B4874" i="26"/>
  <c r="B4873" i="26"/>
  <c r="B4872" i="26"/>
  <c r="B4871" i="26"/>
  <c r="B4870" i="26"/>
  <c r="B4869" i="26"/>
  <c r="B4868" i="26"/>
  <c r="B4867" i="26"/>
  <c r="B4866" i="26"/>
  <c r="B4865" i="26"/>
  <c r="B4864" i="26"/>
  <c r="B4863" i="26"/>
  <c r="B4862" i="26"/>
  <c r="B4861" i="26"/>
  <c r="B4860" i="26"/>
  <c r="B4859" i="26"/>
  <c r="B4858" i="26"/>
  <c r="B4857" i="26"/>
  <c r="B4856" i="26"/>
  <c r="B4855" i="26"/>
  <c r="B4854" i="26"/>
  <c r="B4853" i="26"/>
  <c r="B4852" i="26"/>
  <c r="B4851" i="26"/>
  <c r="B4850" i="26"/>
  <c r="B4849" i="26"/>
  <c r="B4848" i="26"/>
  <c r="B4847" i="26"/>
  <c r="B4846" i="26"/>
  <c r="B4845" i="26"/>
  <c r="B4844" i="26"/>
  <c r="B4843" i="26"/>
  <c r="B4842" i="26"/>
  <c r="B4841" i="26"/>
  <c r="B4840" i="26"/>
  <c r="B4839" i="26"/>
  <c r="B4838" i="26"/>
  <c r="B4837" i="26"/>
  <c r="B4836" i="26"/>
  <c r="B4835" i="26"/>
  <c r="B4834" i="26"/>
  <c r="B4833" i="26"/>
  <c r="B4832" i="26"/>
  <c r="B4831" i="26"/>
  <c r="B4830" i="26"/>
  <c r="B4829" i="26"/>
  <c r="B4828" i="26"/>
  <c r="B4827" i="26"/>
  <c r="B4826" i="26"/>
  <c r="B4825" i="26"/>
  <c r="B4824" i="26"/>
  <c r="B4823" i="26"/>
  <c r="B4822" i="26"/>
  <c r="B4821" i="26"/>
  <c r="B4820" i="26"/>
  <c r="B4819" i="26"/>
  <c r="B4818" i="26"/>
  <c r="B4817" i="26"/>
  <c r="B4816" i="26"/>
  <c r="B4815" i="26"/>
  <c r="B4814" i="26"/>
  <c r="B4813" i="26"/>
  <c r="B4812" i="26"/>
  <c r="B4811" i="26"/>
  <c r="B4810" i="26"/>
  <c r="B4809" i="26"/>
  <c r="B4808" i="26"/>
  <c r="B4807" i="26"/>
  <c r="B4806" i="26"/>
  <c r="B4805" i="26"/>
  <c r="B4804" i="26"/>
  <c r="B4803" i="26"/>
  <c r="B4802" i="26"/>
  <c r="B4801" i="26"/>
  <c r="B4800" i="26"/>
  <c r="B4799" i="26"/>
  <c r="B4798" i="26"/>
  <c r="B4797" i="26"/>
  <c r="B4796" i="26"/>
  <c r="B4795" i="26"/>
  <c r="B4794" i="26"/>
  <c r="B4793" i="26"/>
  <c r="B4792" i="26"/>
  <c r="B4791" i="26"/>
  <c r="B4790" i="26"/>
  <c r="B4789" i="26"/>
  <c r="B4788" i="26"/>
  <c r="B4787" i="26"/>
  <c r="B4786" i="26"/>
  <c r="B4785" i="26"/>
  <c r="B4784" i="26"/>
  <c r="B4783" i="26"/>
  <c r="B4782" i="26"/>
  <c r="B4781" i="26"/>
  <c r="B4780" i="26"/>
  <c r="B4779" i="26"/>
  <c r="B4778" i="26"/>
  <c r="B4777" i="26"/>
  <c r="B4776" i="26"/>
  <c r="B4775" i="26"/>
  <c r="B4774" i="26"/>
  <c r="B4773" i="26"/>
  <c r="B4772" i="26"/>
  <c r="B4771" i="26"/>
  <c r="B4770" i="26"/>
  <c r="B4769" i="26"/>
  <c r="B4768" i="26"/>
  <c r="B4767" i="26"/>
  <c r="B4766" i="26"/>
  <c r="B4765" i="26"/>
  <c r="B4764" i="26"/>
  <c r="B4763" i="26"/>
  <c r="B4762" i="26"/>
  <c r="B4761" i="26"/>
  <c r="B4760" i="26"/>
  <c r="B4759" i="26"/>
  <c r="B4758" i="26"/>
  <c r="B4757" i="26"/>
  <c r="B4756" i="26"/>
  <c r="B4755" i="26"/>
  <c r="B4754" i="26"/>
  <c r="B4753" i="26"/>
  <c r="B4752" i="26"/>
  <c r="B4751" i="26"/>
  <c r="B4750" i="26"/>
  <c r="B4749" i="26"/>
  <c r="B4748" i="26"/>
  <c r="B4747" i="26"/>
  <c r="B4746" i="26"/>
  <c r="B4745" i="26"/>
  <c r="B4744" i="26"/>
  <c r="B4743" i="26"/>
  <c r="B4742" i="26"/>
  <c r="B4741" i="26"/>
  <c r="B4740" i="26"/>
  <c r="B4739" i="26"/>
  <c r="B4738" i="26"/>
  <c r="B4737" i="26"/>
  <c r="B4736" i="26"/>
  <c r="B4735" i="26"/>
  <c r="B4734" i="26"/>
  <c r="B4733" i="26"/>
  <c r="B4732" i="26"/>
  <c r="B4731" i="26"/>
  <c r="B4730" i="26"/>
  <c r="B4729" i="26"/>
  <c r="B4728" i="26"/>
  <c r="B4727" i="26"/>
  <c r="B4726" i="26"/>
  <c r="B4725" i="26"/>
  <c r="B4724" i="26"/>
  <c r="B4723" i="26"/>
  <c r="B4722" i="26"/>
  <c r="B4721" i="26"/>
  <c r="B4720" i="26"/>
  <c r="B4719" i="26"/>
  <c r="B4718" i="26"/>
  <c r="B4717" i="26"/>
  <c r="B4716" i="26"/>
  <c r="B4715" i="26"/>
  <c r="B4714" i="26"/>
  <c r="B4713" i="26"/>
  <c r="B4712" i="26"/>
  <c r="B4711" i="26"/>
  <c r="B4710" i="26"/>
  <c r="B4709" i="26"/>
  <c r="B4708" i="26"/>
  <c r="B4707" i="26"/>
  <c r="B4706" i="26"/>
  <c r="B4705" i="26"/>
  <c r="B4704" i="26"/>
  <c r="B4703" i="26"/>
  <c r="B4702" i="26"/>
  <c r="B4701" i="26"/>
  <c r="B4700" i="26"/>
  <c r="B4699" i="26"/>
  <c r="B4698" i="26"/>
  <c r="B4697" i="26"/>
  <c r="B4696" i="26"/>
  <c r="B4695" i="26"/>
  <c r="B4694" i="26"/>
  <c r="B4693" i="26"/>
  <c r="B4692" i="26"/>
  <c r="B4691" i="26"/>
  <c r="B4690" i="26"/>
  <c r="B4689" i="26"/>
  <c r="B4688" i="26"/>
  <c r="B4687" i="26"/>
  <c r="B4686" i="26"/>
  <c r="B4685" i="26"/>
  <c r="B4684" i="26"/>
  <c r="B4683" i="26"/>
  <c r="B4682" i="26"/>
  <c r="B4681" i="26"/>
  <c r="B4680" i="26"/>
  <c r="B4679" i="26"/>
  <c r="B4678" i="26"/>
  <c r="B4677" i="26"/>
  <c r="B4676" i="26"/>
  <c r="B4675" i="26"/>
  <c r="B4674" i="26"/>
  <c r="B4673" i="26"/>
  <c r="B4672" i="26"/>
  <c r="B4671" i="26"/>
  <c r="B4670" i="26"/>
  <c r="B4669" i="26"/>
  <c r="B4668" i="26"/>
  <c r="B4667" i="26"/>
  <c r="B4666" i="26"/>
  <c r="B4665" i="26"/>
  <c r="B4664" i="26"/>
  <c r="B4663" i="26"/>
  <c r="B4662" i="26"/>
  <c r="B4661" i="26"/>
  <c r="B4660" i="26"/>
  <c r="B4659" i="26"/>
  <c r="B4658" i="26"/>
  <c r="B4657" i="26"/>
  <c r="B4656" i="26"/>
  <c r="B4655" i="26"/>
  <c r="B4654" i="26"/>
  <c r="B4653" i="26"/>
  <c r="B4652" i="26"/>
  <c r="B4651" i="26"/>
  <c r="B4650" i="26"/>
  <c r="B4649" i="26"/>
  <c r="B4648" i="26"/>
  <c r="B4647" i="26"/>
  <c r="B4646" i="26"/>
  <c r="B4645" i="26"/>
  <c r="B4644" i="26"/>
  <c r="B4643" i="26"/>
  <c r="B4642" i="26"/>
  <c r="B4641" i="26"/>
  <c r="B4640" i="26"/>
  <c r="B4639" i="26"/>
  <c r="B4638" i="26"/>
  <c r="B4637" i="26"/>
  <c r="B4636" i="26"/>
  <c r="B4635" i="26"/>
  <c r="B4634" i="26"/>
  <c r="B4633" i="26"/>
  <c r="B4632" i="26"/>
  <c r="B4631" i="26"/>
  <c r="B4630" i="26"/>
  <c r="B4629" i="26"/>
  <c r="B4628" i="26"/>
  <c r="B4627" i="26"/>
  <c r="B4626" i="26"/>
  <c r="B4625" i="26"/>
  <c r="B4624" i="26"/>
  <c r="B4623" i="26"/>
  <c r="B4622" i="26"/>
  <c r="B4621" i="26"/>
  <c r="B4620" i="26"/>
  <c r="B4619" i="26"/>
  <c r="B4618" i="26"/>
  <c r="B4617" i="26"/>
  <c r="B4616" i="26"/>
  <c r="B4615" i="26"/>
  <c r="B4614" i="26"/>
  <c r="B4613" i="26"/>
  <c r="B4612" i="26"/>
  <c r="B4610" i="26"/>
  <c r="B4609" i="26"/>
  <c r="B4608" i="26"/>
  <c r="B4607" i="26"/>
  <c r="B4606" i="26"/>
  <c r="B4605" i="26"/>
  <c r="B4604" i="26"/>
  <c r="B4603" i="26"/>
  <c r="B4602" i="26"/>
  <c r="B4601" i="26"/>
  <c r="B4600" i="26"/>
  <c r="B4599" i="26"/>
  <c r="B4598" i="26"/>
  <c r="B4597" i="26"/>
  <c r="B4596" i="26"/>
  <c r="B4595" i="26"/>
  <c r="B4594" i="26"/>
  <c r="B4593" i="26"/>
  <c r="B4592" i="26"/>
  <c r="B4591" i="26"/>
  <c r="B4590" i="26"/>
  <c r="B4589" i="26"/>
  <c r="B4588" i="26"/>
  <c r="B4587" i="26"/>
  <c r="B4586" i="26"/>
  <c r="B4585" i="26"/>
  <c r="B4584" i="26"/>
  <c r="B4583" i="26"/>
  <c r="B4582" i="26"/>
  <c r="B4581" i="26"/>
  <c r="B4580" i="26"/>
  <c r="B4579" i="26"/>
  <c r="B4578" i="26"/>
  <c r="B4577" i="26"/>
  <c r="B4576" i="26"/>
  <c r="B4575" i="26"/>
  <c r="B4574" i="26"/>
  <c r="B4573" i="26"/>
  <c r="B4572" i="26"/>
  <c r="B4571" i="26"/>
  <c r="B4570" i="26"/>
  <c r="B4569" i="26"/>
  <c r="B4568" i="26"/>
  <c r="B4567" i="26"/>
  <c r="B4566" i="26"/>
  <c r="B4565" i="26"/>
  <c r="B4564" i="26"/>
  <c r="B4563" i="26"/>
  <c r="B4562" i="26"/>
  <c r="B4561" i="26"/>
  <c r="B4560" i="26"/>
  <c r="B4559" i="26"/>
  <c r="B4558" i="26"/>
  <c r="B4557" i="26"/>
  <c r="B4556" i="26"/>
  <c r="B4555" i="26"/>
  <c r="B4554" i="26"/>
  <c r="B4553" i="26"/>
  <c r="B4552" i="26"/>
  <c r="B4551" i="26"/>
  <c r="B4550" i="26"/>
  <c r="B4549" i="26"/>
  <c r="B4548" i="26"/>
  <c r="B4547" i="26"/>
  <c r="B4546" i="26"/>
  <c r="B4545" i="26"/>
  <c r="B4544" i="26"/>
  <c r="B4543" i="26"/>
  <c r="B4542" i="26"/>
  <c r="B4541" i="26"/>
  <c r="B4540" i="26"/>
  <c r="B4539" i="26"/>
  <c r="B4538" i="26"/>
  <c r="B4537" i="26"/>
  <c r="B4536" i="26"/>
  <c r="B4535" i="26"/>
  <c r="B4534" i="26"/>
  <c r="B4533" i="26"/>
  <c r="B4532" i="26"/>
  <c r="B4531" i="26"/>
  <c r="B4530" i="26"/>
  <c r="B4529" i="26"/>
  <c r="B4528" i="26"/>
  <c r="B4527" i="26"/>
  <c r="B4526" i="26"/>
  <c r="B4525" i="26"/>
  <c r="B4524" i="26"/>
  <c r="B4523" i="26"/>
  <c r="B4522" i="26"/>
  <c r="B4521" i="26"/>
  <c r="B4520" i="26"/>
  <c r="B4519" i="26"/>
  <c r="B4518" i="26"/>
  <c r="B4517" i="26"/>
  <c r="B4516" i="26"/>
  <c r="B4515" i="26"/>
  <c r="B4514" i="26"/>
  <c r="B4513" i="26"/>
  <c r="B4512" i="26"/>
  <c r="B4511" i="26"/>
  <c r="B4510" i="26"/>
  <c r="B4509" i="26"/>
  <c r="B4508" i="26"/>
  <c r="B4507" i="26"/>
  <c r="B4506" i="26"/>
  <c r="B4505" i="26"/>
  <c r="B4504" i="26"/>
  <c r="B4503" i="26"/>
  <c r="B4502" i="26"/>
  <c r="B4501" i="26"/>
  <c r="B4500" i="26"/>
  <c r="B4499" i="26"/>
  <c r="B4498" i="26"/>
  <c r="B4497" i="26"/>
  <c r="B4496" i="26"/>
  <c r="B4495" i="26"/>
  <c r="B4494" i="26"/>
  <c r="B4493" i="26"/>
  <c r="B4492" i="26"/>
  <c r="B4491" i="26"/>
  <c r="B4490" i="26"/>
  <c r="B4489" i="26"/>
  <c r="B4488" i="26"/>
  <c r="B4487" i="26"/>
  <c r="B4486" i="26"/>
  <c r="B4485" i="26"/>
  <c r="B4484" i="26"/>
  <c r="B4483" i="26"/>
  <c r="B4482" i="26"/>
  <c r="B4481" i="26"/>
  <c r="B4480" i="26"/>
  <c r="B4479" i="26"/>
  <c r="B4478" i="26"/>
  <c r="B4477" i="26"/>
  <c r="B4476" i="26"/>
  <c r="B4475" i="26"/>
  <c r="B4474" i="26"/>
  <c r="B4473" i="26"/>
  <c r="B4472" i="26"/>
  <c r="B4471" i="26"/>
  <c r="B4470" i="26"/>
  <c r="B4469" i="26"/>
  <c r="B4468" i="26"/>
  <c r="B4467" i="26"/>
  <c r="B4466" i="26"/>
  <c r="B4465" i="26"/>
  <c r="B4464" i="26"/>
  <c r="B4463" i="26"/>
  <c r="B4462" i="26"/>
  <c r="B4461" i="26"/>
  <c r="B4460" i="26"/>
  <c r="B4459" i="26"/>
  <c r="B4458" i="26"/>
  <c r="B4457" i="26"/>
  <c r="B4456" i="26"/>
  <c r="B4455" i="26"/>
  <c r="B4454" i="26"/>
  <c r="B4453" i="26"/>
  <c r="B4452" i="26"/>
  <c r="B4451" i="26"/>
  <c r="B4450" i="26"/>
  <c r="B4449" i="26"/>
  <c r="B4448" i="26"/>
  <c r="B4447" i="26"/>
  <c r="B4446" i="26"/>
  <c r="B4445" i="26"/>
  <c r="B4444" i="26"/>
  <c r="B4443" i="26"/>
  <c r="B4442" i="26"/>
  <c r="B4441" i="26"/>
  <c r="B4440" i="26"/>
  <c r="B4439" i="26"/>
  <c r="B4438" i="26"/>
  <c r="B4437" i="26"/>
  <c r="B4436" i="26"/>
  <c r="B4435" i="26"/>
  <c r="B4434" i="26"/>
  <c r="B4433" i="26"/>
  <c r="B4432" i="26"/>
  <c r="B4431" i="26"/>
  <c r="B4430" i="26"/>
  <c r="B4429" i="26"/>
  <c r="B4428" i="26"/>
  <c r="B4427" i="26"/>
  <c r="B4426" i="26"/>
  <c r="B4425" i="26"/>
  <c r="B4424" i="26"/>
  <c r="B4423" i="26"/>
  <c r="B4422" i="26"/>
  <c r="B4421" i="26"/>
  <c r="B4420" i="26"/>
  <c r="B4419" i="26"/>
  <c r="B4418" i="26"/>
  <c r="B4417" i="26"/>
  <c r="B4416" i="26"/>
  <c r="B4415" i="26"/>
  <c r="B4414" i="26"/>
  <c r="B4413" i="26"/>
  <c r="B4412" i="26"/>
  <c r="B4411" i="26"/>
  <c r="B4410" i="26"/>
  <c r="B4409" i="26"/>
  <c r="B4408" i="26"/>
  <c r="B4407" i="26"/>
  <c r="B4406" i="26"/>
  <c r="B4405" i="26"/>
  <c r="B4404" i="26"/>
  <c r="B4403" i="26"/>
  <c r="B4402" i="26"/>
  <c r="B4401" i="26"/>
  <c r="B4400" i="26"/>
  <c r="B4399" i="26"/>
  <c r="B4398" i="26"/>
  <c r="B4397" i="26"/>
  <c r="B4396" i="26"/>
  <c r="B4395" i="26"/>
  <c r="B4394" i="26"/>
  <c r="B4393" i="26"/>
  <c r="B4392" i="26"/>
  <c r="B4391" i="26"/>
  <c r="B4390" i="26"/>
  <c r="B4389" i="26"/>
  <c r="B4388" i="26"/>
  <c r="B4387" i="26"/>
  <c r="B4386" i="26"/>
  <c r="B4385" i="26"/>
  <c r="B4384" i="26"/>
  <c r="B4383" i="26"/>
  <c r="B4382" i="26"/>
  <c r="B4381" i="26"/>
  <c r="B4380" i="26"/>
  <c r="B4379" i="26"/>
  <c r="B4378" i="26"/>
  <c r="B4377" i="26"/>
  <c r="B4376" i="26"/>
  <c r="B4375" i="26"/>
  <c r="B4374" i="26"/>
  <c r="B4373" i="26"/>
  <c r="B4372" i="26"/>
  <c r="B4371" i="26"/>
  <c r="B4370" i="26"/>
  <c r="B4369" i="26"/>
  <c r="B4368" i="26"/>
  <c r="B4367" i="26"/>
  <c r="B4366" i="26"/>
  <c r="B4365" i="26"/>
  <c r="B4364" i="26"/>
  <c r="B4363" i="26"/>
  <c r="B4362" i="26"/>
  <c r="B4361" i="26"/>
  <c r="B4360" i="26"/>
  <c r="B4359" i="26"/>
  <c r="B4358" i="26"/>
  <c r="B4357" i="26"/>
  <c r="B4356" i="26"/>
  <c r="B4355" i="26"/>
  <c r="B4354" i="26"/>
  <c r="B4353" i="26"/>
  <c r="B4352" i="26"/>
  <c r="B4351" i="26"/>
  <c r="B4350" i="26"/>
  <c r="B4349" i="26"/>
  <c r="B4348" i="26"/>
  <c r="B4347" i="26"/>
  <c r="B4346" i="26"/>
  <c r="B4345" i="26"/>
  <c r="B4344" i="26"/>
  <c r="B4343" i="26"/>
  <c r="B4342" i="26"/>
  <c r="B4341" i="26"/>
  <c r="B4340" i="26"/>
  <c r="B4339" i="26"/>
  <c r="B4338" i="26"/>
  <c r="B4337" i="26"/>
  <c r="B4336" i="26"/>
  <c r="B4335" i="26"/>
  <c r="B4334" i="26"/>
  <c r="B4333" i="26"/>
  <c r="B4332" i="26"/>
  <c r="B4331" i="26"/>
  <c r="B4330" i="26"/>
  <c r="B4329" i="26"/>
  <c r="B4328" i="26"/>
  <c r="B4327" i="26"/>
  <c r="B4326" i="26"/>
  <c r="B4325" i="26"/>
  <c r="B4324" i="26"/>
  <c r="B4323" i="26"/>
  <c r="B4322" i="26"/>
  <c r="B4321" i="26"/>
  <c r="B4320" i="26"/>
  <c r="B4319" i="26"/>
  <c r="B4318" i="26"/>
  <c r="B4317" i="26"/>
  <c r="B4316" i="26"/>
  <c r="B4315" i="26"/>
  <c r="B4314" i="26"/>
  <c r="B4313" i="26"/>
  <c r="B4312" i="26"/>
  <c r="B4311" i="26"/>
  <c r="B4310" i="26"/>
  <c r="B4309" i="26"/>
  <c r="B4308" i="26"/>
  <c r="B4307" i="26"/>
  <c r="B4306" i="26"/>
  <c r="B4305" i="26"/>
  <c r="B4304" i="26"/>
  <c r="B4303" i="26"/>
  <c r="B4302" i="26"/>
  <c r="B4301" i="26"/>
  <c r="B4300" i="26"/>
  <c r="B4299" i="26"/>
  <c r="B4298" i="26"/>
  <c r="B4297" i="26"/>
  <c r="B4296" i="26"/>
  <c r="B4295" i="26"/>
  <c r="B4294" i="26"/>
  <c r="B4293" i="26"/>
  <c r="B4292" i="26"/>
  <c r="B4291" i="26"/>
  <c r="B4290" i="26"/>
  <c r="B4289" i="26"/>
  <c r="B4288" i="26"/>
  <c r="B4287" i="26"/>
  <c r="B4286" i="26"/>
  <c r="B4285" i="26"/>
  <c r="B4284" i="26"/>
  <c r="B4283" i="26"/>
  <c r="B4282" i="26"/>
  <c r="B4281" i="26"/>
  <c r="B4280" i="26"/>
  <c r="B4279" i="26"/>
  <c r="B4278" i="26"/>
  <c r="B4277" i="26"/>
  <c r="B4276" i="26"/>
  <c r="B4275" i="26"/>
  <c r="B4274" i="26"/>
  <c r="B4273" i="26"/>
  <c r="B4272" i="26"/>
  <c r="B4271" i="26"/>
  <c r="B4270" i="26"/>
  <c r="B4269" i="26"/>
  <c r="B4268" i="26"/>
  <c r="B4267" i="26"/>
  <c r="B4266" i="26"/>
  <c r="B4265" i="26"/>
  <c r="B4264" i="26"/>
  <c r="B4263" i="26"/>
  <c r="B4262" i="26"/>
  <c r="B4261" i="26"/>
  <c r="B4260" i="26"/>
  <c r="B4259" i="26"/>
  <c r="B4258" i="26"/>
  <c r="B4257" i="26"/>
  <c r="B4256" i="26"/>
  <c r="B4255" i="26"/>
  <c r="B4254" i="26"/>
  <c r="B4253" i="26"/>
  <c r="B4252" i="26"/>
  <c r="B4251" i="26"/>
  <c r="B4250" i="26"/>
  <c r="B4249" i="26"/>
  <c r="B4248" i="26"/>
  <c r="B4247" i="26"/>
  <c r="B4246" i="26"/>
  <c r="B4245" i="26"/>
  <c r="B4244" i="26"/>
  <c r="B4242" i="26"/>
  <c r="B4239" i="26"/>
  <c r="B4238" i="26"/>
  <c r="B4237" i="26"/>
  <c r="B4236" i="26"/>
  <c r="B4235" i="26"/>
  <c r="B4234" i="26"/>
  <c r="B4228" i="26"/>
  <c r="B4227" i="26"/>
  <c r="B4226" i="26"/>
  <c r="B4224" i="26"/>
  <c r="B4223" i="26"/>
  <c r="B4222" i="26"/>
  <c r="B4221" i="26"/>
  <c r="B4220" i="26"/>
  <c r="B4216" i="26"/>
  <c r="B4215" i="26"/>
  <c r="B4214" i="26"/>
  <c r="B4213" i="26"/>
  <c r="B4212" i="26"/>
  <c r="B4211" i="26"/>
  <c r="B4210" i="26"/>
  <c r="B4208" i="26"/>
  <c r="B4207" i="26"/>
  <c r="B4206" i="26"/>
  <c r="B4205" i="26"/>
  <c r="B4203" i="26"/>
  <c r="B4202" i="26"/>
  <c r="B4201" i="26"/>
  <c r="B4200" i="26"/>
  <c r="B4199" i="26"/>
  <c r="B4198" i="26"/>
  <c r="B4197" i="26"/>
  <c r="B4196" i="26"/>
  <c r="B4195" i="26"/>
  <c r="B4190" i="26"/>
  <c r="B4189" i="26"/>
  <c r="B4185" i="26"/>
  <c r="B4184" i="26"/>
  <c r="B4183" i="26"/>
  <c r="B4182" i="26"/>
  <c r="B4181" i="26"/>
  <c r="B4179" i="26"/>
  <c r="B4178" i="26"/>
  <c r="B4175" i="26"/>
  <c r="B4174" i="26"/>
  <c r="B4173" i="26"/>
  <c r="B4171" i="26"/>
  <c r="B4170" i="26"/>
  <c r="B4167" i="26"/>
  <c r="B4166" i="26"/>
  <c r="B4165" i="26"/>
  <c r="B4164" i="26"/>
  <c r="B4163" i="26"/>
  <c r="B4156" i="26"/>
  <c r="B4155" i="26"/>
  <c r="B4154" i="26"/>
  <c r="B4153" i="26"/>
  <c r="B4149" i="26"/>
  <c r="B4148" i="26"/>
  <c r="B4147" i="26"/>
  <c r="B4146" i="26"/>
  <c r="B4145" i="26"/>
  <c r="B4142" i="26"/>
  <c r="B4141" i="26"/>
  <c r="B4140" i="26"/>
  <c r="B4139" i="26"/>
  <c r="B4138" i="26"/>
  <c r="B4137" i="26"/>
  <c r="B4136" i="26"/>
  <c r="B4135" i="26"/>
  <c r="B4134" i="26"/>
  <c r="B4133" i="26"/>
  <c r="B4132" i="26"/>
  <c r="B4131" i="26"/>
  <c r="B4130" i="26"/>
  <c r="B4129" i="26"/>
  <c r="B4128" i="26"/>
  <c r="B4127" i="26"/>
  <c r="B4126" i="26"/>
  <c r="B4125" i="26"/>
  <c r="B4124" i="26"/>
  <c r="B4123" i="26"/>
  <c r="B4122" i="26"/>
  <c r="B4121" i="26"/>
  <c r="B4120" i="26"/>
  <c r="B4119" i="26"/>
  <c r="B4118" i="26"/>
  <c r="B4117" i="26"/>
  <c r="B4116" i="26"/>
  <c r="B4115" i="26"/>
  <c r="B4114" i="26"/>
  <c r="B4113" i="26"/>
  <c r="B4112" i="26"/>
  <c r="B4111" i="26"/>
  <c r="B4110" i="26"/>
  <c r="B4109" i="26"/>
  <c r="B4108" i="26"/>
  <c r="B4107" i="26"/>
  <c r="B4106" i="26"/>
  <c r="B4105" i="26"/>
  <c r="B4104" i="26"/>
  <c r="B4103" i="26"/>
  <c r="B4102" i="26"/>
  <c r="B4101" i="26"/>
  <c r="B4100" i="26"/>
  <c r="B4099" i="26"/>
  <c r="B4098" i="26"/>
  <c r="B4097" i="26"/>
  <c r="B4096" i="26"/>
  <c r="B4095" i="26"/>
  <c r="B4094" i="26"/>
  <c r="B4093" i="26"/>
  <c r="B4092" i="26"/>
  <c r="B4091" i="26"/>
  <c r="B4090" i="26"/>
  <c r="B4089" i="26"/>
  <c r="B4088" i="26"/>
  <c r="B4087" i="26"/>
  <c r="B4086" i="26"/>
  <c r="B4085" i="26"/>
  <c r="B4084" i="26"/>
  <c r="B4083" i="26"/>
  <c r="B4082" i="26"/>
  <c r="B4081" i="26"/>
  <c r="B4080" i="26"/>
  <c r="B4079" i="26"/>
  <c r="B4078" i="26"/>
  <c r="B4077" i="26"/>
  <c r="B4076" i="26"/>
  <c r="B4075" i="26"/>
  <c r="B4074" i="26"/>
  <c r="B4073" i="26"/>
  <c r="B4072" i="26"/>
  <c r="B4071" i="26"/>
  <c r="B4070" i="26"/>
  <c r="B4069" i="26"/>
  <c r="B4068" i="26"/>
  <c r="B4067" i="26"/>
  <c r="B4066" i="26"/>
  <c r="B4065" i="26"/>
  <c r="B4064" i="26"/>
  <c r="B4063" i="26"/>
  <c r="B4062" i="26"/>
  <c r="B4061" i="26"/>
  <c r="B4060" i="26"/>
  <c r="B4059" i="26"/>
  <c r="B4058" i="26"/>
  <c r="B4057" i="26"/>
  <c r="B4056" i="26"/>
  <c r="B4055" i="26"/>
  <c r="B4054" i="26"/>
  <c r="B4053" i="26"/>
  <c r="B4052" i="26"/>
  <c r="B4051" i="26"/>
  <c r="B4050" i="26"/>
  <c r="B4047" i="26"/>
  <c r="B4046" i="26"/>
  <c r="B4045" i="26"/>
  <c r="B4044" i="26"/>
  <c r="B4043" i="26"/>
  <c r="B4042" i="26"/>
  <c r="B4041" i="26"/>
  <c r="B4040" i="26"/>
  <c r="B4039" i="26"/>
  <c r="B4038" i="26"/>
  <c r="B4037" i="26"/>
  <c r="B4036" i="26"/>
  <c r="B4035" i="26"/>
  <c r="B4034" i="26"/>
  <c r="B4033" i="26"/>
  <c r="B4032" i="26"/>
  <c r="B4031" i="26"/>
  <c r="B4030" i="26"/>
  <c r="B4029" i="26"/>
  <c r="B4028" i="26"/>
  <c r="B4027" i="26"/>
  <c r="B4026" i="26"/>
  <c r="B4025" i="26"/>
  <c r="B4024" i="26"/>
  <c r="B4023" i="26"/>
  <c r="B4022" i="26"/>
  <c r="B4021" i="26"/>
  <c r="B4020" i="26"/>
  <c r="B4019" i="26"/>
  <c r="B4018" i="26"/>
  <c r="B4017" i="26"/>
  <c r="B4016" i="26"/>
  <c r="B4015" i="26"/>
  <c r="B4014" i="26"/>
  <c r="B4013" i="26"/>
  <c r="B4012" i="26"/>
  <c r="B4011" i="26"/>
  <c r="B4010" i="26"/>
  <c r="B4009" i="26"/>
  <c r="B4008" i="26"/>
  <c r="B4007" i="26"/>
  <c r="B4006" i="26"/>
  <c r="B4005" i="26"/>
  <c r="B4004" i="26"/>
  <c r="B4003" i="26"/>
  <c r="B4002" i="26"/>
  <c r="B4001" i="26"/>
  <c r="B4000" i="26"/>
  <c r="B3999" i="26"/>
  <c r="B3998" i="26"/>
  <c r="B3997" i="26"/>
  <c r="B3996" i="26"/>
  <c r="B3995" i="26"/>
  <c r="B3994" i="26"/>
  <c r="B3993" i="26"/>
  <c r="B3992" i="26"/>
  <c r="B3991" i="26"/>
  <c r="B3990" i="26"/>
  <c r="B3989" i="26"/>
  <c r="B3988" i="26"/>
  <c r="B3987" i="26"/>
  <c r="B3986" i="26"/>
  <c r="B3985" i="26"/>
  <c r="B3984" i="26"/>
  <c r="B3983" i="26"/>
  <c r="B3982" i="26"/>
  <c r="B3981" i="26"/>
  <c r="B3980" i="26"/>
  <c r="B3979" i="26"/>
  <c r="B3978" i="26"/>
  <c r="B3977" i="26"/>
  <c r="B3976" i="26"/>
  <c r="B3975" i="26"/>
  <c r="B3974" i="26"/>
  <c r="B3973" i="26"/>
  <c r="B3972" i="26"/>
  <c r="B3971" i="26"/>
  <c r="B3970" i="26"/>
  <c r="B3969" i="26"/>
  <c r="B3968" i="26"/>
  <c r="B3967" i="26"/>
  <c r="B3966" i="26"/>
  <c r="B3965" i="26"/>
  <c r="B3964" i="26"/>
  <c r="B3963" i="26"/>
  <c r="B3962" i="26"/>
  <c r="B3961" i="26"/>
  <c r="B3960" i="26"/>
  <c r="B3959" i="26"/>
  <c r="B3958" i="26"/>
  <c r="B3957" i="26"/>
  <c r="B3956" i="26"/>
  <c r="B3955" i="26"/>
  <c r="B3954" i="26"/>
  <c r="B3953" i="26"/>
  <c r="B3952" i="26"/>
  <c r="B3951" i="26"/>
  <c r="B3950" i="26"/>
  <c r="B3949" i="26"/>
  <c r="B3948" i="26"/>
  <c r="B3947" i="26"/>
  <c r="B3946" i="26"/>
  <c r="B3945" i="26"/>
  <c r="B3944" i="26"/>
  <c r="B3943" i="26"/>
  <c r="B3942" i="26"/>
  <c r="B3941" i="26"/>
  <c r="B3940" i="26"/>
  <c r="B3939" i="26"/>
  <c r="B3938" i="26"/>
  <c r="B3937" i="26"/>
  <c r="B3936" i="26"/>
  <c r="B3935" i="26"/>
  <c r="B3934" i="26"/>
  <c r="B3933" i="26"/>
  <c r="B3932" i="26"/>
  <c r="B3931" i="26"/>
  <c r="B3930" i="26"/>
  <c r="B3929" i="26"/>
  <c r="B3928" i="26"/>
  <c r="B3927" i="26"/>
  <c r="B3926" i="26"/>
  <c r="B3925" i="26"/>
  <c r="B3924" i="26"/>
  <c r="B3923" i="26"/>
  <c r="B3922" i="26"/>
  <c r="B3921" i="26"/>
  <c r="B3920" i="26"/>
  <c r="B3919" i="26"/>
  <c r="B3918" i="26"/>
  <c r="B3917" i="26"/>
  <c r="B3916" i="26"/>
  <c r="B3915" i="26"/>
  <c r="B3914" i="26"/>
  <c r="B3913" i="26"/>
  <c r="B3912" i="26"/>
  <c r="B3911" i="26"/>
  <c r="B3910" i="26"/>
  <c r="B3909" i="26"/>
  <c r="B3908" i="26"/>
  <c r="B3907" i="26"/>
  <c r="B3906" i="26"/>
  <c r="B3905" i="26"/>
  <c r="B3904" i="26"/>
  <c r="B3903" i="26"/>
  <c r="B3902" i="26"/>
  <c r="B3901" i="26"/>
  <c r="B3900" i="26"/>
  <c r="B3899" i="26"/>
  <c r="B3898" i="26"/>
  <c r="B3897" i="26"/>
  <c r="B3896" i="26"/>
  <c r="B3895" i="26"/>
  <c r="B3894" i="26"/>
  <c r="B3893" i="26"/>
  <c r="B3892" i="26"/>
  <c r="B3891" i="26"/>
  <c r="B3890" i="26"/>
  <c r="B3889" i="26"/>
  <c r="B3888" i="26"/>
  <c r="B3887" i="26"/>
  <c r="B3886" i="26"/>
  <c r="B3885" i="26"/>
  <c r="B3884" i="26"/>
  <c r="B3883" i="26"/>
  <c r="B3882" i="26"/>
  <c r="B3881" i="26"/>
  <c r="B3880" i="26"/>
  <c r="B3879" i="26"/>
  <c r="B3878" i="26"/>
  <c r="B3877" i="26"/>
  <c r="B3876" i="26"/>
  <c r="B3875" i="26"/>
  <c r="B3874" i="26"/>
  <c r="B3873" i="26"/>
  <c r="B3872" i="26"/>
  <c r="B3871" i="26"/>
  <c r="B3870" i="26"/>
  <c r="B3869" i="26"/>
  <c r="B3868" i="26"/>
  <c r="B3867" i="26"/>
  <c r="B3866" i="26"/>
  <c r="B3865" i="26"/>
  <c r="B3864" i="26"/>
  <c r="B3863" i="26"/>
  <c r="B3862" i="26"/>
  <c r="B3861" i="26"/>
  <c r="B3860" i="26"/>
  <c r="B3859" i="26"/>
  <c r="B3858" i="26"/>
  <c r="B3857" i="26"/>
  <c r="B3856" i="26"/>
  <c r="B3855" i="26"/>
  <c r="B3854" i="26"/>
  <c r="B3853" i="26"/>
  <c r="B3852" i="26"/>
  <c r="B3851" i="26"/>
  <c r="B3850" i="26"/>
  <c r="B3849" i="26"/>
  <c r="B3848" i="26"/>
  <c r="B3847" i="26"/>
  <c r="B3846" i="26"/>
  <c r="B3845" i="26"/>
  <c r="B3844" i="26"/>
  <c r="B3843" i="26"/>
  <c r="B3842" i="26"/>
  <c r="B3841" i="26"/>
  <c r="B3840" i="26"/>
  <c r="B3839" i="26"/>
  <c r="B3838" i="26"/>
  <c r="B3837" i="26"/>
  <c r="B3836" i="26"/>
  <c r="B3835" i="26"/>
  <c r="B3834" i="26"/>
  <c r="B3833" i="26"/>
  <c r="B3832" i="26"/>
  <c r="B3831" i="26"/>
  <c r="B3830" i="26"/>
  <c r="B3829" i="26"/>
  <c r="B3828" i="26"/>
  <c r="B3827" i="26"/>
  <c r="B3826" i="26"/>
  <c r="B3825" i="26"/>
  <c r="B3824" i="26"/>
  <c r="B3823" i="26"/>
  <c r="B3822" i="26"/>
  <c r="B3821" i="26"/>
  <c r="B3820" i="26"/>
  <c r="B3819" i="26"/>
  <c r="B3818" i="26"/>
  <c r="B3817" i="26"/>
  <c r="B3816" i="26"/>
  <c r="B3815" i="26"/>
  <c r="B3814" i="26"/>
  <c r="B3813" i="26"/>
  <c r="B3812" i="26"/>
  <c r="B3811" i="26"/>
  <c r="B3810" i="26"/>
  <c r="B3809" i="26"/>
  <c r="B3808" i="26"/>
  <c r="B3807" i="26"/>
  <c r="B3806" i="26"/>
  <c r="B3805" i="26"/>
  <c r="B3804" i="26"/>
  <c r="B3803" i="26"/>
  <c r="B3802" i="26"/>
  <c r="B3801" i="26"/>
  <c r="B3800" i="26"/>
  <c r="B3799" i="26"/>
  <c r="B3798" i="26"/>
  <c r="B3797" i="26"/>
  <c r="B3796" i="26"/>
  <c r="B3795" i="26"/>
  <c r="B3794" i="26"/>
  <c r="B3793" i="26"/>
  <c r="B3792" i="26"/>
  <c r="B3791" i="26"/>
  <c r="B3790" i="26"/>
  <c r="B3789" i="26"/>
  <c r="B3788" i="26"/>
  <c r="B3787" i="26"/>
  <c r="B3786" i="26"/>
  <c r="B3785" i="26"/>
  <c r="B3784" i="26"/>
  <c r="B3783" i="26"/>
  <c r="B3782" i="26"/>
  <c r="B3781" i="26"/>
  <c r="B3780" i="26"/>
  <c r="B3779" i="26"/>
  <c r="B3778" i="26"/>
  <c r="B3777" i="26"/>
  <c r="B3776" i="26"/>
  <c r="B3775" i="26"/>
  <c r="B3774" i="26"/>
  <c r="B3773" i="26"/>
  <c r="B3772" i="26"/>
  <c r="B3771" i="26"/>
  <c r="B3770" i="26"/>
  <c r="B3769" i="26"/>
  <c r="B3768" i="26"/>
  <c r="B3767" i="26"/>
  <c r="B3766" i="26"/>
  <c r="B3765" i="26"/>
  <c r="B3764" i="26"/>
  <c r="B3763" i="26"/>
  <c r="B3762" i="26"/>
  <c r="B3761" i="26"/>
  <c r="B3760" i="26"/>
  <c r="B3759" i="26"/>
  <c r="B3757" i="26"/>
  <c r="B3756" i="26"/>
  <c r="B3755" i="26"/>
  <c r="B3754" i="26"/>
  <c r="B3753" i="26"/>
  <c r="B3752" i="26"/>
  <c r="B3751" i="26"/>
  <c r="B3750" i="26"/>
  <c r="B3749" i="26"/>
  <c r="B3748" i="26"/>
  <c r="B3747" i="26"/>
  <c r="B3746" i="26"/>
  <c r="B3745" i="26"/>
  <c r="B3744" i="26"/>
  <c r="B3743" i="26"/>
  <c r="B3742" i="26"/>
  <c r="B3741" i="26"/>
  <c r="B3740" i="26"/>
  <c r="B3739" i="26"/>
  <c r="B3738" i="26"/>
  <c r="B3737" i="26"/>
  <c r="B3736" i="26"/>
  <c r="B3735" i="26"/>
  <c r="B3734" i="26"/>
  <c r="B3733" i="26"/>
  <c r="B3732" i="26"/>
  <c r="B3731" i="26"/>
  <c r="B3730" i="26"/>
  <c r="B3729" i="26"/>
  <c r="B3728" i="26"/>
  <c r="B3727" i="26"/>
  <c r="B3726" i="26"/>
  <c r="B3725" i="26"/>
  <c r="B3724" i="26"/>
  <c r="B3723" i="26"/>
  <c r="B3722" i="26"/>
  <c r="B3721" i="26"/>
  <c r="B3720" i="26"/>
  <c r="B3719" i="26"/>
  <c r="B3718" i="26"/>
  <c r="B3717" i="26"/>
  <c r="B3716" i="26"/>
  <c r="B3715" i="26"/>
  <c r="B3714" i="26"/>
  <c r="B3713" i="26"/>
  <c r="B3712" i="26"/>
  <c r="B3711" i="26"/>
  <c r="B3710" i="26"/>
  <c r="B3709" i="26"/>
  <c r="B3708" i="26"/>
  <c r="B3707" i="26"/>
  <c r="B3706" i="26"/>
  <c r="B3705" i="26"/>
  <c r="B3704" i="26"/>
  <c r="B3703" i="26"/>
  <c r="B3702" i="26"/>
  <c r="B3701" i="26"/>
  <c r="B3700" i="26"/>
  <c r="B3699" i="26"/>
  <c r="B3698" i="26"/>
  <c r="B3697" i="26"/>
  <c r="B3696" i="26"/>
  <c r="B3695" i="26"/>
  <c r="B3694" i="26"/>
  <c r="B3693" i="26"/>
  <c r="B3692" i="26"/>
  <c r="B3691" i="26"/>
  <c r="B3690" i="26"/>
  <c r="B3689" i="26"/>
  <c r="B3688" i="26"/>
  <c r="B3687" i="26"/>
  <c r="B3686" i="26"/>
  <c r="B3685" i="26"/>
  <c r="B3684" i="26"/>
  <c r="B3683" i="26"/>
  <c r="B3682" i="26"/>
  <c r="B3681" i="26"/>
  <c r="B3680" i="26"/>
  <c r="B3679" i="26"/>
  <c r="B3678" i="26"/>
  <c r="B3677" i="26"/>
  <c r="B3676" i="26"/>
  <c r="B3675" i="26"/>
  <c r="B3674" i="26"/>
  <c r="B3673" i="26"/>
  <c r="B3672" i="26"/>
  <c r="B3671" i="26"/>
  <c r="B3670" i="26"/>
  <c r="B3669" i="26"/>
  <c r="B3668" i="26"/>
  <c r="B3667" i="26"/>
  <c r="B3666" i="26"/>
  <c r="B3665" i="26"/>
  <c r="B3664" i="26"/>
  <c r="B3663" i="26"/>
  <c r="B3662" i="26"/>
  <c r="B3661" i="26"/>
  <c r="B3660" i="26"/>
  <c r="B3659" i="26"/>
  <c r="B3658" i="26"/>
  <c r="B3657" i="26"/>
  <c r="B3656" i="26"/>
  <c r="B3655" i="26"/>
  <c r="B3654" i="26"/>
  <c r="B3653" i="26"/>
  <c r="B3652" i="26"/>
  <c r="B3651" i="26"/>
  <c r="B3650" i="26"/>
  <c r="B3649" i="26"/>
  <c r="B3648" i="26"/>
  <c r="B3645" i="26"/>
  <c r="B3644" i="26"/>
  <c r="B3643" i="26"/>
  <c r="B3642" i="26"/>
  <c r="B3641" i="26"/>
  <c r="B3640" i="26"/>
  <c r="B3639" i="26"/>
  <c r="B3638" i="26"/>
  <c r="B3637" i="26"/>
  <c r="B3636" i="26"/>
  <c r="B3635" i="26"/>
  <c r="B3634" i="26"/>
  <c r="B3633" i="26"/>
  <c r="B3632" i="26"/>
  <c r="B3631" i="26"/>
  <c r="B3630" i="26"/>
  <c r="B3629" i="26"/>
  <c r="B3628" i="26"/>
  <c r="B3627" i="26"/>
  <c r="B3626" i="26"/>
  <c r="B3625" i="26"/>
  <c r="B3624" i="26"/>
  <c r="B3623" i="26"/>
  <c r="B3622" i="26"/>
  <c r="B3621" i="26"/>
  <c r="B3620" i="26"/>
  <c r="B3619" i="26"/>
  <c r="B3618" i="26"/>
  <c r="B3617" i="26"/>
  <c r="B3616" i="26"/>
  <c r="B3615" i="26"/>
  <c r="B3614" i="26"/>
  <c r="B3613" i="26"/>
  <c r="B3612" i="26"/>
  <c r="B3611" i="26"/>
  <c r="B3610" i="26"/>
  <c r="B3609" i="26"/>
  <c r="B3608" i="26"/>
  <c r="B3607" i="26"/>
  <c r="B3606" i="26"/>
  <c r="B3605" i="26"/>
  <c r="B3604" i="26"/>
  <c r="B3603" i="26"/>
  <c r="B3602" i="26"/>
  <c r="B3601" i="26"/>
  <c r="B3600" i="26"/>
  <c r="B3599" i="26"/>
  <c r="B3598" i="26"/>
  <c r="B3597" i="26"/>
  <c r="B3596" i="26"/>
  <c r="B3595" i="26"/>
  <c r="B3594" i="26"/>
  <c r="B3593" i="26"/>
  <c r="B3592" i="26"/>
  <c r="B3591" i="26"/>
  <c r="B3590" i="26"/>
  <c r="B3589" i="26"/>
  <c r="B3588" i="26"/>
  <c r="B3587" i="26"/>
  <c r="B3586" i="26"/>
  <c r="B3585" i="26"/>
  <c r="B3584" i="26"/>
  <c r="B3583" i="26"/>
  <c r="B3582" i="26"/>
  <c r="B3581" i="26"/>
  <c r="B3579" i="26"/>
  <c r="B3578" i="26"/>
  <c r="B3577" i="26"/>
  <c r="B3576" i="26"/>
  <c r="B3575" i="26"/>
  <c r="B3574" i="26"/>
  <c r="B3573" i="26"/>
  <c r="B3572" i="26"/>
  <c r="B3571" i="26"/>
  <c r="B3570" i="26"/>
  <c r="B3569" i="26"/>
  <c r="B3568" i="26"/>
  <c r="B3567" i="26"/>
  <c r="B3566" i="26"/>
  <c r="B3565" i="26"/>
  <c r="B3564" i="26"/>
  <c r="B3563" i="26"/>
  <c r="B3562" i="26"/>
  <c r="B3561" i="26"/>
  <c r="B3560" i="26"/>
  <c r="B3559" i="26"/>
  <c r="B3558" i="26"/>
  <c r="B3557" i="26"/>
  <c r="B3556" i="26"/>
  <c r="B3555" i="26"/>
  <c r="B3554" i="26"/>
  <c r="B3553" i="26"/>
  <c r="B3552" i="26"/>
  <c r="B3551" i="26"/>
  <c r="B3550" i="26"/>
  <c r="B3549" i="26"/>
  <c r="B3548" i="26"/>
  <c r="B3547" i="26"/>
  <c r="B3546" i="26"/>
  <c r="B3545" i="26"/>
  <c r="B3544" i="26"/>
  <c r="B3543" i="26"/>
  <c r="B3542" i="26"/>
  <c r="B3541" i="26"/>
  <c r="B3540" i="26"/>
  <c r="B3539" i="26"/>
  <c r="B3538" i="26"/>
  <c r="B3537" i="26"/>
  <c r="B3536" i="26"/>
  <c r="B3535" i="26"/>
  <c r="B3534" i="26"/>
  <c r="B3533" i="26"/>
  <c r="B3532" i="26"/>
  <c r="B3531" i="26"/>
  <c r="B3530" i="26"/>
  <c r="B3529" i="26"/>
  <c r="B3528" i="26"/>
  <c r="B3527" i="26"/>
  <c r="B3526" i="26"/>
  <c r="B3525" i="26"/>
  <c r="B3524" i="26"/>
  <c r="B3523" i="26"/>
  <c r="B3522" i="26"/>
  <c r="B3521" i="26"/>
  <c r="B3520" i="26"/>
  <c r="B3519" i="26"/>
  <c r="B3518" i="26"/>
  <c r="B3517" i="26"/>
  <c r="B3516" i="26"/>
  <c r="B3515" i="26"/>
  <c r="B3514" i="26"/>
  <c r="B3513" i="26"/>
  <c r="B3512" i="26"/>
  <c r="B3511" i="26"/>
  <c r="B3510" i="26"/>
  <c r="B3509" i="26"/>
  <c r="B3508" i="26"/>
  <c r="B3507" i="26"/>
  <c r="B3506" i="26"/>
  <c r="B3505" i="26"/>
  <c r="B3503" i="26"/>
  <c r="B3502" i="26"/>
  <c r="B3501" i="26"/>
  <c r="B3500" i="26"/>
  <c r="B3499" i="26"/>
  <c r="B3498" i="26"/>
  <c r="B3497" i="26"/>
  <c r="B3496" i="26"/>
  <c r="B3495" i="26"/>
  <c r="B3494" i="26"/>
  <c r="B3493" i="26"/>
  <c r="B3492" i="26"/>
  <c r="B3491" i="26"/>
  <c r="B3490" i="26"/>
  <c r="B3489" i="26"/>
  <c r="B3488" i="26"/>
  <c r="B3487" i="26"/>
  <c r="B3486" i="26"/>
  <c r="B3485" i="26"/>
  <c r="B3484" i="26"/>
  <c r="B3483" i="26"/>
  <c r="B3482" i="26"/>
  <c r="B3481" i="26"/>
  <c r="B3480" i="26"/>
  <c r="B3479" i="26"/>
  <c r="B3478" i="26"/>
  <c r="B3477" i="26"/>
  <c r="B3476" i="26"/>
  <c r="B3475" i="26"/>
  <c r="B3474" i="26"/>
  <c r="B3473" i="26"/>
  <c r="B3472" i="26"/>
  <c r="B3471" i="26"/>
  <c r="B3470" i="26"/>
  <c r="B3469" i="26"/>
  <c r="B3468" i="26"/>
  <c r="B3467" i="26"/>
  <c r="B3466" i="26"/>
  <c r="B3465" i="26"/>
  <c r="B3464" i="26"/>
  <c r="B3463" i="26"/>
  <c r="B3462" i="26"/>
  <c r="B3461" i="26"/>
  <c r="B3460" i="26"/>
  <c r="B3459" i="26"/>
  <c r="B3458" i="26"/>
  <c r="B3457" i="26"/>
  <c r="B3456" i="26"/>
  <c r="B3455" i="26"/>
  <c r="B3454" i="26"/>
  <c r="B3453" i="26"/>
  <c r="B3452" i="26"/>
  <c r="B3451" i="26"/>
  <c r="B3450" i="26"/>
  <c r="B3449" i="26"/>
  <c r="B3448" i="26"/>
  <c r="B3447" i="26"/>
  <c r="B3446" i="26"/>
  <c r="B3445" i="26"/>
  <c r="B3444" i="26"/>
  <c r="B3443" i="26"/>
  <c r="B3442" i="26"/>
  <c r="B3441" i="26"/>
  <c r="B3440" i="26"/>
  <c r="B3439" i="26"/>
  <c r="B3438" i="26"/>
  <c r="B3436" i="26"/>
  <c r="B3435" i="26"/>
  <c r="B3434" i="26"/>
  <c r="B3433" i="26"/>
  <c r="B3432" i="26"/>
  <c r="B3431" i="26"/>
  <c r="B3430" i="26"/>
  <c r="B3429" i="26"/>
  <c r="B3428" i="26"/>
  <c r="B3427" i="26"/>
  <c r="B3426" i="26"/>
  <c r="B3425" i="26"/>
  <c r="B3424" i="26"/>
  <c r="B3423" i="26"/>
  <c r="B3422" i="26"/>
  <c r="B3421" i="26"/>
  <c r="B3420" i="26"/>
  <c r="B3419" i="26"/>
  <c r="B3418" i="26"/>
  <c r="B3417" i="26"/>
  <c r="B3416" i="26"/>
  <c r="B3415" i="26"/>
  <c r="B3414" i="26"/>
  <c r="B3413" i="26"/>
  <c r="B3412" i="26"/>
  <c r="B3411" i="26"/>
  <c r="B3410" i="26"/>
  <c r="B3409" i="26"/>
  <c r="B3408" i="26"/>
  <c r="B3407" i="26"/>
  <c r="B3406" i="26"/>
  <c r="B3405" i="26"/>
  <c r="B3404" i="26"/>
  <c r="B3403" i="26"/>
  <c r="B3402" i="26"/>
  <c r="B3401" i="26"/>
  <c r="B3400" i="26"/>
  <c r="B3399" i="26"/>
  <c r="B3398" i="26"/>
  <c r="B3397" i="26"/>
  <c r="B3396" i="26"/>
  <c r="B3395" i="26"/>
  <c r="B3394" i="26"/>
  <c r="B3393" i="26"/>
  <c r="B3392" i="26"/>
  <c r="B3391" i="26"/>
  <c r="B3390" i="26"/>
  <c r="B3389" i="26"/>
  <c r="B3388" i="26"/>
  <c r="B3387" i="26"/>
  <c r="B3386" i="26"/>
  <c r="B3385" i="26"/>
  <c r="B3384" i="26"/>
  <c r="B3383" i="26"/>
  <c r="B3382" i="26"/>
  <c r="B3381" i="26"/>
  <c r="B3380" i="26"/>
  <c r="B3379" i="26"/>
  <c r="B3378" i="26"/>
  <c r="B3377" i="26"/>
  <c r="B3376" i="26"/>
  <c r="B3375" i="26"/>
  <c r="B3374" i="26"/>
  <c r="B3373" i="26"/>
  <c r="B3372" i="26"/>
  <c r="B3371" i="26"/>
  <c r="B3370" i="26"/>
  <c r="B3369" i="26"/>
  <c r="B3368" i="26"/>
  <c r="B3367" i="26"/>
  <c r="B3366" i="26"/>
  <c r="B3365" i="26"/>
  <c r="B3364" i="26"/>
  <c r="B3363" i="26"/>
  <c r="B3362" i="26"/>
  <c r="B3361" i="26"/>
  <c r="B3360" i="26"/>
  <c r="B3359" i="26"/>
  <c r="B3358" i="26"/>
  <c r="B3357" i="26"/>
  <c r="B3356" i="26"/>
  <c r="B3355" i="26"/>
  <c r="B3354" i="26"/>
  <c r="B3353" i="26"/>
  <c r="B3352" i="26"/>
  <c r="B3351" i="26"/>
  <c r="B3350" i="26"/>
  <c r="B3349" i="26"/>
  <c r="B3348" i="26"/>
  <c r="B3347" i="26"/>
  <c r="B3346" i="26"/>
  <c r="B3345" i="26"/>
  <c r="B3344" i="26"/>
  <c r="B3343" i="26"/>
  <c r="B3342" i="26"/>
  <c r="B3341" i="26"/>
  <c r="B3340" i="26"/>
  <c r="B3339" i="26"/>
  <c r="B3338" i="26"/>
  <c r="B3337" i="26"/>
  <c r="B3336" i="26"/>
  <c r="B3335" i="26"/>
  <c r="B3334" i="26"/>
  <c r="B3333" i="26"/>
  <c r="B3332" i="26"/>
  <c r="B3331" i="26"/>
  <c r="B3330" i="26"/>
  <c r="B3329" i="26"/>
  <c r="B3328" i="26"/>
  <c r="B3327" i="26"/>
  <c r="B3326" i="26"/>
  <c r="B3325" i="26"/>
  <c r="B3324" i="26"/>
  <c r="B3323" i="26"/>
  <c r="B3322" i="26"/>
  <c r="B3321" i="26"/>
  <c r="B3320" i="26"/>
  <c r="B3319" i="26"/>
  <c r="B3318" i="26"/>
  <c r="B3317" i="26"/>
  <c r="B3316" i="26"/>
  <c r="B3315" i="26"/>
  <c r="B3314" i="26"/>
  <c r="B3313" i="26"/>
  <c r="B3312" i="26"/>
  <c r="B3311" i="26"/>
  <c r="B3310" i="26"/>
  <c r="B3309" i="26"/>
  <c r="B3308" i="26"/>
  <c r="B3307" i="26"/>
  <c r="B3306" i="26"/>
  <c r="B3305" i="26"/>
  <c r="B3304" i="26"/>
  <c r="B3303" i="26"/>
  <c r="B3302" i="26"/>
  <c r="B3301" i="26"/>
  <c r="B3300" i="26"/>
  <c r="B3299" i="26"/>
  <c r="B3298" i="26"/>
  <c r="B3297" i="26"/>
  <c r="B3296" i="26"/>
  <c r="B3295" i="26"/>
  <c r="B3294" i="26"/>
  <c r="B3293" i="26"/>
  <c r="B3292" i="26"/>
  <c r="B3291" i="26"/>
  <c r="B3290" i="26"/>
  <c r="B3289" i="26"/>
  <c r="B3288" i="26"/>
  <c r="B3287" i="26"/>
  <c r="B3286" i="26"/>
  <c r="B3285" i="26"/>
  <c r="B3284" i="26"/>
  <c r="B3283" i="26"/>
  <c r="B3282" i="26"/>
  <c r="B3281" i="26"/>
  <c r="B3280" i="26"/>
  <c r="B3279" i="26"/>
  <c r="B3278" i="26"/>
  <c r="B3277" i="26"/>
  <c r="B3276" i="26"/>
  <c r="B3275" i="26"/>
  <c r="B3274" i="26"/>
  <c r="B3273" i="26"/>
  <c r="B3272" i="26"/>
  <c r="B3271" i="26"/>
  <c r="B3270" i="26"/>
  <c r="B3269" i="26"/>
  <c r="B3268" i="26"/>
  <c r="B3267" i="26"/>
  <c r="B3266" i="26"/>
  <c r="B3265" i="26"/>
  <c r="B3264" i="26"/>
  <c r="B3263" i="26"/>
  <c r="B3262" i="26"/>
  <c r="B3261" i="26"/>
  <c r="B3260" i="26"/>
  <c r="B3259" i="26"/>
  <c r="B3258" i="26"/>
  <c r="B3257" i="26"/>
  <c r="B3256" i="26"/>
  <c r="B3255" i="26"/>
  <c r="B3254" i="26"/>
  <c r="B3253" i="26"/>
  <c r="B3252" i="26"/>
  <c r="B3251" i="26"/>
  <c r="B3250" i="26"/>
  <c r="B3249" i="26"/>
  <c r="B3248" i="26"/>
  <c r="B3247" i="26"/>
  <c r="B3246" i="26"/>
  <c r="B3245" i="26"/>
  <c r="B3244" i="26"/>
  <c r="B3243" i="26"/>
  <c r="B3242" i="26"/>
  <c r="B3241" i="26"/>
  <c r="B3240" i="26"/>
  <c r="B3239" i="26"/>
  <c r="B3238" i="26"/>
  <c r="B3237" i="26"/>
  <c r="B3236" i="26"/>
  <c r="B3235" i="26"/>
  <c r="B3234" i="26"/>
  <c r="B3233" i="26"/>
  <c r="B3232" i="26"/>
  <c r="B3231" i="26"/>
  <c r="B3230" i="26"/>
  <c r="B3229" i="26"/>
  <c r="B3228" i="26"/>
  <c r="B3227" i="26"/>
  <c r="B3226" i="26"/>
  <c r="B3225" i="26"/>
  <c r="B3224" i="26"/>
  <c r="B3223" i="26"/>
  <c r="B3222" i="26"/>
  <c r="B3221" i="26"/>
  <c r="B3220" i="26"/>
  <c r="B3219" i="26"/>
  <c r="B3218" i="26"/>
  <c r="B3217" i="26"/>
  <c r="B3216" i="26"/>
  <c r="B3215" i="26"/>
  <c r="B3214" i="26"/>
  <c r="B3213" i="26"/>
  <c r="B3212" i="26"/>
  <c r="B3211" i="26"/>
  <c r="B3210" i="26"/>
  <c r="B3209" i="26"/>
  <c r="B3208" i="26"/>
  <c r="B3207" i="26"/>
  <c r="B3206" i="26"/>
  <c r="B3205" i="26"/>
  <c r="B3204" i="26"/>
  <c r="B3203" i="26"/>
  <c r="B3202" i="26"/>
  <c r="B3201" i="26"/>
  <c r="B3200" i="26"/>
  <c r="B3199" i="26"/>
  <c r="B3198" i="26"/>
  <c r="B3197" i="26"/>
  <c r="B3196" i="26"/>
  <c r="B3195" i="26"/>
  <c r="B3194" i="26"/>
  <c r="B3193" i="26"/>
  <c r="B3192" i="26"/>
  <c r="B3191" i="26"/>
  <c r="B3190" i="26"/>
  <c r="B3189" i="26"/>
  <c r="B3188" i="26"/>
  <c r="B3187" i="26"/>
  <c r="B3186" i="26"/>
  <c r="B3185" i="26"/>
  <c r="B3184" i="26"/>
  <c r="B3183" i="26"/>
  <c r="B3182" i="26"/>
  <c r="B3181" i="26"/>
  <c r="B3180" i="26"/>
  <c r="B3179" i="26"/>
  <c r="B3178" i="26"/>
  <c r="B3177" i="26"/>
  <c r="B3176" i="26"/>
  <c r="B3175" i="26"/>
  <c r="B3174" i="26"/>
  <c r="B3173" i="26"/>
  <c r="B3172" i="26"/>
  <c r="B3171" i="26"/>
  <c r="B3170" i="26"/>
  <c r="B3169" i="26"/>
  <c r="B3168" i="26"/>
  <c r="B3167" i="26"/>
  <c r="B3166" i="26"/>
  <c r="B3165" i="26"/>
  <c r="B3164" i="26"/>
  <c r="B3163" i="26"/>
  <c r="B3162" i="26"/>
  <c r="B3161" i="26"/>
  <c r="B3160" i="26"/>
  <c r="B3159" i="26"/>
  <c r="B3158" i="26"/>
  <c r="B3157" i="26"/>
  <c r="B3156" i="26"/>
  <c r="B3155" i="26"/>
  <c r="B3154" i="26"/>
  <c r="B3153" i="26"/>
  <c r="B3152" i="26"/>
  <c r="B3151" i="26"/>
  <c r="B3150" i="26"/>
  <c r="B3149" i="26"/>
  <c r="B3148" i="26"/>
  <c r="B3147" i="26"/>
  <c r="B3146" i="26"/>
  <c r="B3145" i="26"/>
  <c r="B3144" i="26"/>
  <c r="B3143" i="26"/>
  <c r="B3142" i="26"/>
  <c r="B3141" i="26"/>
  <c r="B3140" i="26"/>
  <c r="B3139" i="26"/>
  <c r="B3138" i="26"/>
  <c r="B3137" i="26"/>
  <c r="B3136" i="26"/>
  <c r="B3135" i="26"/>
  <c r="B3134" i="26"/>
  <c r="B3133" i="26"/>
  <c r="B3132" i="26"/>
  <c r="B3131" i="26"/>
  <c r="B3130" i="26"/>
  <c r="B3129" i="26"/>
  <c r="B3128" i="26"/>
  <c r="B3127" i="26"/>
  <c r="B3126" i="26"/>
  <c r="B3125" i="26"/>
  <c r="B3124" i="26"/>
  <c r="B3123" i="26"/>
  <c r="B3122" i="26"/>
  <c r="B3121" i="26"/>
  <c r="B3120" i="26"/>
  <c r="B3119" i="26"/>
  <c r="B3118" i="26"/>
  <c r="B3117" i="26"/>
  <c r="B3116" i="26"/>
  <c r="B3115" i="26"/>
  <c r="B3114" i="26"/>
  <c r="B3113" i="26"/>
  <c r="B3112" i="26"/>
  <c r="B3111" i="26"/>
  <c r="B3110" i="26"/>
  <c r="B3109" i="26"/>
  <c r="B3108" i="26"/>
  <c r="B3107" i="26"/>
  <c r="B3106" i="26"/>
  <c r="B3105" i="26"/>
  <c r="B3104" i="26"/>
  <c r="B3103" i="26"/>
  <c r="B3102" i="26"/>
  <c r="B3101" i="26"/>
  <c r="B3100" i="26"/>
  <c r="B3099" i="26"/>
  <c r="B3098" i="26"/>
  <c r="B3097" i="26"/>
  <c r="B3096" i="26"/>
  <c r="B3095" i="26"/>
  <c r="B3094" i="26"/>
  <c r="B3093" i="26"/>
  <c r="B3092" i="26"/>
  <c r="B3091" i="26"/>
  <c r="B3090" i="26"/>
  <c r="B3089" i="26"/>
  <c r="B3088" i="26"/>
  <c r="B3087" i="26"/>
  <c r="B3086" i="26"/>
  <c r="B3085" i="26"/>
  <c r="B3084" i="26"/>
  <c r="B3083" i="26"/>
  <c r="B3082" i="26"/>
  <c r="B3081" i="26"/>
  <c r="B3080" i="26"/>
  <c r="B3079" i="26"/>
  <c r="B3078" i="26"/>
  <c r="B3077" i="26"/>
  <c r="B3076" i="26"/>
  <c r="B3075" i="26"/>
  <c r="B3074" i="26"/>
  <c r="B3073" i="26"/>
  <c r="B3072" i="26"/>
  <c r="B3071" i="26"/>
  <c r="B3070" i="26"/>
  <c r="B3069" i="26"/>
  <c r="B3068" i="26"/>
  <c r="B3067" i="26"/>
  <c r="B3066" i="26"/>
  <c r="B3065" i="26"/>
  <c r="B3064" i="26"/>
  <c r="B3063" i="26"/>
  <c r="B3062" i="26"/>
  <c r="B3061" i="26"/>
  <c r="B3060" i="26"/>
  <c r="B3059" i="26"/>
  <c r="B3058" i="26"/>
  <c r="B3057" i="26"/>
  <c r="B3056" i="26"/>
  <c r="B3055" i="26"/>
  <c r="B3054" i="26"/>
  <c r="B3053" i="26"/>
  <c r="B3052" i="26"/>
  <c r="B3051" i="26"/>
  <c r="B3050" i="26"/>
  <c r="B3049" i="26"/>
  <c r="B3048" i="26"/>
  <c r="B3047" i="26"/>
  <c r="B3046" i="26"/>
  <c r="B3045" i="26"/>
  <c r="B3044" i="26"/>
  <c r="B3043" i="26"/>
  <c r="B3042" i="26"/>
  <c r="B3041" i="26"/>
  <c r="B3040" i="26"/>
  <c r="B3039" i="26"/>
  <c r="B3038" i="26"/>
  <c r="B3037" i="26"/>
  <c r="B3036" i="26"/>
  <c r="B3035" i="26"/>
  <c r="B3034" i="26"/>
  <c r="B3033" i="26"/>
  <c r="B3032" i="26"/>
  <c r="B3031" i="26"/>
  <c r="B3030" i="26"/>
  <c r="B3029" i="26"/>
  <c r="B3028" i="26"/>
  <c r="B3027" i="26"/>
  <c r="B3026" i="26"/>
  <c r="B3025" i="26"/>
  <c r="B3024" i="26"/>
  <c r="B3023" i="26"/>
  <c r="B3022" i="26"/>
  <c r="B3021" i="26"/>
  <c r="B3020" i="26"/>
  <c r="B3019" i="26"/>
  <c r="B3018" i="26"/>
  <c r="B3017" i="26"/>
  <c r="B3016" i="26"/>
  <c r="B3015" i="26"/>
  <c r="B3014" i="26"/>
  <c r="B3013" i="26"/>
  <c r="B3012" i="26"/>
  <c r="B3011" i="26"/>
  <c r="B3010" i="26"/>
  <c r="B3009" i="26"/>
  <c r="B3008" i="26"/>
  <c r="B3007" i="26"/>
  <c r="B3006" i="26"/>
  <c r="B3005" i="26"/>
  <c r="B3004" i="26"/>
  <c r="B3003" i="26"/>
  <c r="B3002" i="26"/>
  <c r="B3001" i="26"/>
  <c r="B3000" i="26"/>
  <c r="B2999" i="26"/>
  <c r="B2998" i="26"/>
  <c r="B2997" i="26"/>
  <c r="B2996" i="26"/>
  <c r="B2995" i="26"/>
  <c r="B2994" i="26"/>
  <c r="B2993" i="26"/>
  <c r="B2992" i="26"/>
  <c r="B2991" i="26"/>
  <c r="B2990" i="26"/>
  <c r="B2989" i="26"/>
  <c r="B2988" i="26"/>
  <c r="B2987" i="26"/>
  <c r="B2986" i="26"/>
  <c r="B2985" i="26"/>
  <c r="B2984" i="26"/>
  <c r="B2983" i="26"/>
  <c r="B2982" i="26"/>
  <c r="B2981" i="26"/>
  <c r="B2980" i="26"/>
  <c r="B2979" i="26"/>
  <c r="B2978" i="26"/>
  <c r="B2977" i="26"/>
  <c r="B2976" i="26"/>
  <c r="B2975" i="26"/>
  <c r="B2974" i="26"/>
  <c r="B2973" i="26"/>
  <c r="B2972" i="26"/>
  <c r="B2971" i="26"/>
  <c r="B2970" i="26"/>
  <c r="B2969" i="26"/>
  <c r="B2968" i="26"/>
  <c r="B2967" i="26"/>
  <c r="B2966" i="26"/>
  <c r="B2965" i="26"/>
  <c r="B2964" i="26"/>
  <c r="B2963" i="26"/>
  <c r="B2962" i="26"/>
  <c r="B2961" i="26"/>
  <c r="B2960" i="26"/>
  <c r="B2959" i="26"/>
  <c r="B2958" i="26"/>
  <c r="B2957" i="26"/>
  <c r="B2956" i="26"/>
  <c r="B2955" i="26"/>
  <c r="B2954" i="26"/>
  <c r="B2953" i="26"/>
  <c r="B2952" i="26"/>
  <c r="B2951" i="26"/>
  <c r="B2950" i="26"/>
  <c r="B2949" i="26"/>
  <c r="B2948" i="26"/>
  <c r="B2947" i="26"/>
  <c r="B2946" i="26"/>
  <c r="B2945" i="26"/>
  <c r="B2944" i="26"/>
  <c r="B2943" i="26"/>
  <c r="B2942" i="26"/>
  <c r="B2941" i="26"/>
  <c r="B2940" i="26"/>
  <c r="B2939" i="26"/>
  <c r="B2938" i="26"/>
  <c r="B2937" i="26"/>
  <c r="B2936" i="26"/>
  <c r="B2935" i="26"/>
  <c r="B2934" i="26"/>
  <c r="B2933" i="26"/>
  <c r="B2932" i="26"/>
  <c r="B2931" i="26"/>
  <c r="B2930" i="26"/>
  <c r="B2929" i="26"/>
  <c r="B2928" i="26"/>
  <c r="B2927" i="26"/>
  <c r="B2926" i="26"/>
  <c r="B2925" i="26"/>
  <c r="B2924" i="26"/>
  <c r="B2923" i="26"/>
  <c r="B2922" i="26"/>
  <c r="B2921" i="26"/>
  <c r="B2920" i="26"/>
  <c r="B2919" i="26"/>
  <c r="B2918" i="26"/>
  <c r="B2917" i="26"/>
  <c r="B2916" i="26"/>
  <c r="B2915" i="26"/>
  <c r="B2914" i="26"/>
  <c r="B2913" i="26"/>
  <c r="B2912" i="26"/>
  <c r="B2911" i="26"/>
  <c r="B2910" i="26"/>
  <c r="B2909" i="26"/>
  <c r="B2908" i="26"/>
  <c r="B2907" i="26"/>
  <c r="B2906" i="26"/>
  <c r="B2905" i="26"/>
  <c r="B2904" i="26"/>
  <c r="B2903" i="26"/>
  <c r="B2902" i="26"/>
  <c r="B2901" i="26"/>
  <c r="B2900" i="26"/>
  <c r="B2899" i="26"/>
  <c r="B2898" i="26"/>
  <c r="B2897" i="26"/>
  <c r="B2896" i="26"/>
  <c r="B2895" i="26"/>
  <c r="B2894" i="26"/>
  <c r="B2893" i="26"/>
  <c r="B2892" i="26"/>
  <c r="B2891" i="26"/>
  <c r="B2890" i="26"/>
  <c r="B2889" i="26"/>
  <c r="B2888" i="26"/>
  <c r="B2887" i="26"/>
  <c r="B2886" i="26"/>
  <c r="B2885" i="26"/>
  <c r="B2884" i="26"/>
  <c r="B2883" i="26"/>
  <c r="B2882" i="26"/>
  <c r="B2881" i="26"/>
  <c r="B2880" i="26"/>
  <c r="B2879" i="26"/>
  <c r="B2878" i="26"/>
  <c r="B2877" i="26"/>
  <c r="B2876" i="26"/>
  <c r="B2875" i="26"/>
  <c r="B2874" i="26"/>
  <c r="B2873" i="26"/>
  <c r="B2872" i="26"/>
  <c r="B2871" i="26"/>
  <c r="B2870" i="26"/>
  <c r="B2869" i="26"/>
  <c r="B2868" i="26"/>
  <c r="B2867" i="26"/>
  <c r="B2866" i="26"/>
  <c r="B2865" i="26"/>
  <c r="B2864" i="26"/>
  <c r="B2863" i="26"/>
  <c r="B2862" i="26"/>
  <c r="B2861" i="26"/>
  <c r="B2860" i="26"/>
  <c r="B2859" i="26"/>
  <c r="B2858" i="26"/>
  <c r="B2857" i="26"/>
  <c r="B2856" i="26"/>
  <c r="B2855" i="26"/>
  <c r="B2854" i="26"/>
  <c r="B2853" i="26"/>
  <c r="B2852" i="26"/>
  <c r="B2851" i="26"/>
  <c r="B2850" i="26"/>
  <c r="B2849" i="26"/>
  <c r="B2848" i="26"/>
  <c r="B2847" i="26"/>
  <c r="B2846" i="26"/>
  <c r="B2845" i="26"/>
  <c r="B2844" i="26"/>
  <c r="B2843" i="26"/>
  <c r="B2842" i="26"/>
  <c r="B2841" i="26"/>
  <c r="B2840" i="26"/>
  <c r="B2839" i="26"/>
  <c r="B2838" i="26"/>
  <c r="B2837" i="26"/>
  <c r="B2836" i="26"/>
  <c r="B2835" i="26"/>
  <c r="B2834" i="26"/>
  <c r="B2833" i="26"/>
  <c r="B2832" i="26"/>
  <c r="B2831" i="26"/>
  <c r="B2830" i="26"/>
  <c r="B2829" i="26"/>
  <c r="B2828" i="26"/>
  <c r="B2827" i="26"/>
  <c r="B2826" i="26"/>
  <c r="B2825" i="26"/>
  <c r="B2824" i="26"/>
  <c r="B2823" i="26"/>
  <c r="B2822" i="26"/>
  <c r="B2821" i="26"/>
  <c r="B2820" i="26"/>
  <c r="B2819" i="26"/>
  <c r="B2818" i="26"/>
  <c r="B2817" i="26"/>
  <c r="B2816" i="26"/>
  <c r="B2815" i="26"/>
  <c r="B2814" i="26"/>
  <c r="B2813" i="26"/>
  <c r="B2812" i="26"/>
  <c r="B2811" i="26"/>
  <c r="B2810" i="26"/>
  <c r="B2809" i="26"/>
  <c r="B2808" i="26"/>
  <c r="B2807" i="26"/>
  <c r="B2806" i="26"/>
  <c r="B2805" i="26"/>
  <c r="B2804" i="26"/>
  <c r="B2803" i="26"/>
  <c r="B2802" i="26"/>
  <c r="B2801" i="26"/>
  <c r="B2800" i="26"/>
  <c r="B2799" i="26"/>
  <c r="B2798" i="26"/>
  <c r="B2797" i="26"/>
  <c r="B2796" i="26"/>
  <c r="B2795" i="26"/>
  <c r="B2794" i="26"/>
  <c r="B2793" i="26"/>
  <c r="B2792" i="26"/>
  <c r="B2791" i="26"/>
  <c r="B2790" i="26"/>
  <c r="B2789" i="26"/>
  <c r="B2788" i="26"/>
  <c r="B2787" i="26"/>
  <c r="B2786" i="26"/>
  <c r="B2785" i="26"/>
  <c r="B2784" i="26"/>
  <c r="B2783" i="26"/>
  <c r="B2782" i="26"/>
  <c r="B2781" i="26"/>
  <c r="B2780" i="26"/>
  <c r="B2779" i="26"/>
  <c r="B2778" i="26"/>
  <c r="B2777" i="26"/>
  <c r="B2776" i="26"/>
  <c r="B2775" i="26"/>
  <c r="B2774" i="26"/>
  <c r="B2773" i="26"/>
  <c r="B2772" i="26"/>
  <c r="B2771" i="26"/>
  <c r="B2770" i="26"/>
  <c r="B2769" i="26"/>
  <c r="B2768" i="26"/>
  <c r="B2767" i="26"/>
  <c r="B2766" i="26"/>
  <c r="B2765" i="26"/>
  <c r="B2764" i="26"/>
  <c r="B2763" i="26"/>
  <c r="B2762" i="26"/>
  <c r="B2761" i="26"/>
  <c r="B2760" i="26"/>
  <c r="B2759" i="26"/>
  <c r="B2758" i="26"/>
  <c r="B2757" i="26"/>
  <c r="B2756" i="26"/>
  <c r="B2755" i="26"/>
  <c r="B2754" i="26"/>
  <c r="B2753" i="26"/>
  <c r="B2752" i="26"/>
  <c r="B2751" i="26"/>
  <c r="B2750" i="26"/>
  <c r="B2749" i="26"/>
  <c r="B2748" i="26"/>
  <c r="B2747" i="26"/>
  <c r="B2746" i="26"/>
  <c r="B2745" i="26"/>
  <c r="B2744" i="26"/>
  <c r="B2743" i="26"/>
  <c r="B2742" i="26"/>
  <c r="B2741" i="26"/>
  <c r="B2740" i="26"/>
  <c r="B2739" i="26"/>
  <c r="B2738" i="26"/>
  <c r="B2737" i="26"/>
  <c r="B2736" i="26"/>
  <c r="B2735" i="26"/>
  <c r="B2734" i="26"/>
  <c r="B2733" i="26"/>
  <c r="B2732" i="26"/>
  <c r="B2731" i="26"/>
  <c r="B2730" i="26"/>
  <c r="B2729" i="26"/>
  <c r="B2728" i="26"/>
  <c r="B2727" i="26"/>
  <c r="B2726" i="26"/>
  <c r="B2725" i="26"/>
  <c r="B2724" i="26"/>
  <c r="B2723" i="26"/>
  <c r="B2722" i="26"/>
  <c r="B2721" i="26"/>
  <c r="B2720" i="26"/>
  <c r="B2719" i="26"/>
  <c r="B2718" i="26"/>
  <c r="B2717" i="26"/>
  <c r="B2716" i="26"/>
  <c r="B2715" i="26"/>
  <c r="B2714" i="26"/>
  <c r="B2713" i="26"/>
  <c r="B2712" i="26"/>
  <c r="B2711" i="26"/>
  <c r="B2710" i="26"/>
  <c r="B2709" i="26"/>
  <c r="B2708" i="26"/>
  <c r="B2707" i="26"/>
  <c r="B2706" i="26"/>
  <c r="B2705" i="26"/>
  <c r="B2704" i="26"/>
  <c r="B2703" i="26"/>
  <c r="B2702" i="26"/>
  <c r="B2701" i="26"/>
  <c r="B2700" i="26"/>
  <c r="B2699" i="26"/>
  <c r="B2698" i="26"/>
  <c r="B2697" i="26"/>
  <c r="B2696" i="26"/>
  <c r="B2695" i="26"/>
  <c r="B2694" i="26"/>
  <c r="B2693" i="26"/>
  <c r="B2692" i="26"/>
  <c r="B2691" i="26"/>
  <c r="B2690" i="26"/>
  <c r="B2689" i="26"/>
  <c r="B2688" i="26"/>
  <c r="B2687" i="26"/>
  <c r="B2686" i="26"/>
  <c r="B2685" i="26"/>
  <c r="B2684" i="26"/>
  <c r="B2683" i="26"/>
  <c r="B2682" i="26"/>
  <c r="B2681" i="26"/>
  <c r="B2680" i="26"/>
  <c r="B2679" i="26"/>
  <c r="B2678" i="26"/>
  <c r="B2677" i="26"/>
  <c r="B2676" i="26"/>
  <c r="B2675" i="26"/>
  <c r="B2674" i="26"/>
  <c r="B2673" i="26"/>
  <c r="B2672" i="26"/>
  <c r="B2671" i="26"/>
  <c r="B2670" i="26"/>
  <c r="B2669" i="26"/>
  <c r="B2668" i="26"/>
  <c r="B2667" i="26"/>
  <c r="B2666" i="26"/>
  <c r="B2665" i="26"/>
  <c r="B2664" i="26"/>
  <c r="B2663" i="26"/>
  <c r="B2662" i="26"/>
  <c r="B2661" i="26"/>
  <c r="B2660" i="26"/>
  <c r="B2659" i="26"/>
  <c r="B2658" i="26"/>
  <c r="B2657" i="26"/>
  <c r="B2656" i="26"/>
  <c r="B2655" i="26"/>
  <c r="B2654" i="26"/>
  <c r="B2653" i="26"/>
  <c r="B2652" i="26"/>
  <c r="B2651" i="26"/>
  <c r="B2650" i="26"/>
  <c r="B2649" i="26"/>
  <c r="B2648" i="26"/>
  <c r="B2647" i="26"/>
  <c r="B2646" i="26"/>
  <c r="B2645" i="26"/>
  <c r="B2644" i="26"/>
  <c r="B2643" i="26"/>
  <c r="B2642" i="26"/>
  <c r="B2641" i="26"/>
  <c r="B2640" i="26"/>
  <c r="B2639" i="26"/>
  <c r="B2638" i="26"/>
  <c r="B2637" i="26"/>
  <c r="B2636" i="26"/>
  <c r="B2635" i="26"/>
  <c r="B2634" i="26"/>
  <c r="B2633" i="26"/>
  <c r="B2632" i="26"/>
  <c r="B2631" i="26"/>
  <c r="B2630" i="26"/>
  <c r="B2629" i="26"/>
  <c r="B2628" i="26"/>
  <c r="B2627" i="26"/>
  <c r="B2626" i="26"/>
  <c r="B2625" i="26"/>
  <c r="B2624" i="26"/>
  <c r="B2623" i="26"/>
  <c r="B2622" i="26"/>
  <c r="B2621" i="26"/>
  <c r="B2620" i="26"/>
  <c r="B2619" i="26"/>
  <c r="B2618" i="26"/>
  <c r="B2617" i="26"/>
  <c r="B2616" i="26"/>
  <c r="B2615" i="26"/>
  <c r="B2614" i="26"/>
  <c r="B2613" i="26"/>
  <c r="B2612" i="26"/>
  <c r="B2611" i="26"/>
  <c r="B2610" i="26"/>
  <c r="B2609" i="26"/>
  <c r="B2608" i="26"/>
  <c r="B2607" i="26"/>
  <c r="B2606" i="26"/>
  <c r="B2605" i="26"/>
  <c r="B2604" i="26"/>
  <c r="B2603" i="26"/>
  <c r="B2602" i="26"/>
  <c r="B2601" i="26"/>
  <c r="B2600" i="26"/>
  <c r="B2599" i="26"/>
  <c r="B2598" i="26"/>
  <c r="B2597" i="26"/>
  <c r="B2596" i="26"/>
  <c r="B2595" i="26"/>
  <c r="B2594" i="26"/>
  <c r="B2593" i="26"/>
  <c r="B2592" i="26"/>
  <c r="B2591" i="26"/>
  <c r="B2590" i="26"/>
  <c r="B2589" i="26"/>
  <c r="B2588" i="26"/>
  <c r="B2587" i="26"/>
  <c r="B2586" i="26"/>
  <c r="B2585" i="26"/>
  <c r="B2584" i="26"/>
  <c r="B2583" i="26"/>
  <c r="B2582" i="26"/>
  <c r="B2581" i="26"/>
  <c r="B2580" i="26"/>
  <c r="B2579" i="26"/>
  <c r="B2578" i="26"/>
  <c r="B2577" i="26"/>
  <c r="B2576" i="26"/>
  <c r="B2575" i="26"/>
  <c r="B2574" i="26"/>
  <c r="B2573" i="26"/>
  <c r="B2572" i="26"/>
  <c r="B2571" i="26"/>
  <c r="B2570" i="26"/>
  <c r="B2569" i="26"/>
  <c r="B2568" i="26"/>
  <c r="B2567" i="26"/>
  <c r="B2566" i="26"/>
  <c r="B2565" i="26"/>
  <c r="B2564" i="26"/>
  <c r="B2563" i="26"/>
  <c r="B2562" i="26"/>
  <c r="B2561" i="26"/>
  <c r="B2560" i="26"/>
  <c r="B2559" i="26"/>
  <c r="B2558" i="26"/>
  <c r="B2557" i="26"/>
  <c r="B2556" i="26"/>
  <c r="B2555" i="26"/>
  <c r="B2554" i="26"/>
  <c r="B2553" i="26"/>
  <c r="B2552" i="26"/>
  <c r="B2551" i="26"/>
  <c r="B2550" i="26"/>
  <c r="B2549" i="26"/>
  <c r="B2548" i="26"/>
  <c r="B2547" i="26"/>
  <c r="B2546" i="26"/>
  <c r="B2545" i="26"/>
  <c r="B2544" i="26"/>
  <c r="B2543" i="26"/>
  <c r="B2542" i="26"/>
  <c r="B2541" i="26"/>
  <c r="B2540" i="26"/>
  <c r="B2539" i="26"/>
  <c r="B2538" i="26"/>
  <c r="B2537" i="26"/>
  <c r="B2536" i="26"/>
  <c r="B2535" i="26"/>
  <c r="B2534" i="26"/>
  <c r="B2533" i="26"/>
  <c r="B2532" i="26"/>
  <c r="B2531" i="26"/>
  <c r="B2530" i="26"/>
  <c r="B2529" i="26"/>
  <c r="B2528" i="26"/>
  <c r="B2527" i="26"/>
  <c r="B2526" i="26"/>
  <c r="B2525" i="26"/>
  <c r="B2524" i="26"/>
  <c r="B2523" i="26"/>
  <c r="B2522" i="26"/>
  <c r="B2521" i="26"/>
  <c r="B2520" i="26"/>
  <c r="B2519" i="26"/>
  <c r="B2518" i="26"/>
  <c r="B2517" i="26"/>
  <c r="B2516" i="26"/>
  <c r="B2515" i="26"/>
  <c r="B2514" i="26"/>
  <c r="B2513" i="26"/>
  <c r="B2512" i="26"/>
  <c r="B2511" i="26"/>
  <c r="B2510" i="26"/>
  <c r="B2509" i="26"/>
  <c r="B2508" i="26"/>
  <c r="B2507" i="26"/>
  <c r="B2506" i="26"/>
  <c r="B2505" i="26"/>
  <c r="B2504" i="26"/>
  <c r="B2503" i="26"/>
  <c r="B2502" i="26"/>
  <c r="B2501" i="26"/>
  <c r="B2500" i="26"/>
  <c r="B2499" i="26"/>
  <c r="B2498" i="26"/>
  <c r="B2497" i="26"/>
  <c r="B2496" i="26"/>
  <c r="B2495" i="26"/>
  <c r="B2494" i="26"/>
  <c r="B2493" i="26"/>
  <c r="B2492" i="26"/>
  <c r="B2491" i="26"/>
  <c r="B2490" i="26"/>
  <c r="B2489" i="26"/>
  <c r="B2488" i="26"/>
  <c r="B2487" i="26"/>
  <c r="B2486" i="26"/>
  <c r="B2485" i="26"/>
  <c r="B2484" i="26"/>
  <c r="B2483" i="26"/>
  <c r="B2482" i="26"/>
  <c r="B2481" i="26"/>
  <c r="B2480" i="26"/>
  <c r="B2479" i="26"/>
  <c r="B2478" i="26"/>
  <c r="B2477" i="26"/>
  <c r="B2476" i="26"/>
  <c r="B2475" i="26"/>
  <c r="B2474" i="26"/>
  <c r="B2473" i="26"/>
  <c r="B2472" i="26"/>
  <c r="B2471" i="26"/>
  <c r="B2470" i="26"/>
  <c r="B2469" i="26"/>
  <c r="B2468" i="26"/>
  <c r="B2467" i="26"/>
  <c r="B2466" i="26"/>
  <c r="B2465" i="26"/>
  <c r="B2464" i="26"/>
  <c r="B2463" i="26"/>
  <c r="B2462" i="26"/>
  <c r="B2461" i="26"/>
  <c r="B2460" i="26"/>
  <c r="B2459" i="26"/>
  <c r="B2458" i="26"/>
  <c r="B2457" i="26"/>
  <c r="B2456" i="26"/>
  <c r="B2455" i="26"/>
  <c r="B2454" i="26"/>
  <c r="B2453" i="26"/>
  <c r="B2452" i="26"/>
  <c r="B2451" i="26"/>
  <c r="B2450" i="26"/>
  <c r="B2449" i="26"/>
  <c r="B2448" i="26"/>
  <c r="B2447" i="26"/>
  <c r="B2446" i="26"/>
  <c r="B2445" i="26"/>
  <c r="B2444" i="26"/>
  <c r="B2443" i="26"/>
  <c r="B2442" i="26"/>
  <c r="B2441" i="26"/>
  <c r="B2440" i="26"/>
  <c r="B2439" i="26"/>
  <c r="B2438" i="26"/>
  <c r="B2437" i="26"/>
  <c r="B2436" i="26"/>
  <c r="B2435" i="26"/>
  <c r="B2434" i="26"/>
  <c r="B2433" i="26"/>
  <c r="B2432" i="26"/>
  <c r="B2431" i="26"/>
  <c r="B2430" i="26"/>
  <c r="B2429" i="26"/>
  <c r="B2428" i="26"/>
  <c r="B2427" i="26"/>
  <c r="B2426" i="26"/>
  <c r="B2425" i="26"/>
  <c r="B2424" i="26"/>
  <c r="B2423" i="26"/>
  <c r="B2422" i="26"/>
  <c r="B2421" i="26"/>
  <c r="B2420" i="26"/>
  <c r="B2419" i="26"/>
  <c r="B2418" i="26"/>
  <c r="B2417" i="26"/>
  <c r="B2416" i="26"/>
  <c r="B2415" i="26"/>
  <c r="B2414" i="26"/>
  <c r="B2413" i="26"/>
  <c r="B2412" i="26"/>
  <c r="B2411" i="26"/>
  <c r="B2410" i="26"/>
  <c r="B2409" i="26"/>
  <c r="B2408" i="26"/>
  <c r="B2407" i="26"/>
  <c r="B2406" i="26"/>
  <c r="B2405" i="26"/>
  <c r="B2404" i="26"/>
  <c r="B2403" i="26"/>
  <c r="B2402" i="26"/>
  <c r="B2401" i="26"/>
  <c r="B2400" i="26"/>
  <c r="B2399" i="26"/>
  <c r="B2398" i="26"/>
  <c r="B2397" i="26"/>
  <c r="B2396" i="26"/>
  <c r="B2395" i="26"/>
  <c r="B2394" i="26"/>
  <c r="B2393" i="26"/>
  <c r="B2392" i="26"/>
  <c r="B2391" i="26"/>
  <c r="B2390" i="26"/>
  <c r="B2389" i="26"/>
  <c r="B2388" i="26"/>
  <c r="B2387" i="26"/>
  <c r="B2386" i="26"/>
  <c r="B2385" i="26"/>
  <c r="B2384" i="26"/>
  <c r="B2383" i="26"/>
  <c r="B2382" i="26"/>
  <c r="B2381" i="26"/>
  <c r="B2380" i="26"/>
  <c r="B2379" i="26"/>
  <c r="B2378" i="26"/>
  <c r="B2377" i="26"/>
  <c r="B2376" i="26"/>
  <c r="B2375" i="26"/>
  <c r="B2374" i="26"/>
  <c r="B2373" i="26"/>
  <c r="B2372" i="26"/>
  <c r="B2371" i="26"/>
  <c r="B2370" i="26"/>
  <c r="B2369" i="26"/>
  <c r="B2368" i="26"/>
  <c r="B2367" i="26"/>
  <c r="B2365" i="26"/>
  <c r="B2364" i="26"/>
  <c r="B2363" i="26"/>
  <c r="B2362" i="26"/>
  <c r="B2361" i="26"/>
  <c r="B2360" i="26"/>
  <c r="B2359" i="26"/>
  <c r="B2358" i="26"/>
  <c r="B2357" i="26"/>
  <c r="B2356" i="26"/>
  <c r="B2355" i="26"/>
  <c r="B2354" i="26"/>
  <c r="B2353" i="26"/>
  <c r="B2352" i="26"/>
  <c r="B2351" i="26"/>
  <c r="B2350" i="26"/>
  <c r="B2349" i="26"/>
  <c r="B2348" i="26"/>
  <c r="B2347" i="26"/>
  <c r="B2346" i="26"/>
  <c r="B2345" i="26"/>
  <c r="B2344" i="26"/>
  <c r="B2343" i="26"/>
  <c r="B2342" i="26"/>
  <c r="B2341" i="26"/>
  <c r="B2340" i="26"/>
  <c r="B2339" i="26"/>
  <c r="B2338" i="26"/>
  <c r="B2337" i="26"/>
  <c r="B2336" i="26"/>
  <c r="B2335" i="26"/>
  <c r="B2334" i="26"/>
  <c r="B2333" i="26"/>
  <c r="B2332" i="26"/>
  <c r="B2331" i="26"/>
  <c r="B2330" i="26"/>
  <c r="B2329" i="26"/>
  <c r="B2328" i="26"/>
  <c r="B2327" i="26"/>
  <c r="B2326" i="26"/>
  <c r="B2325" i="26"/>
  <c r="B2324" i="26"/>
  <c r="B2323" i="26"/>
  <c r="B2322" i="26"/>
  <c r="B2321" i="26"/>
  <c r="B2320" i="26"/>
  <c r="B2319" i="26"/>
  <c r="B2318" i="26"/>
  <c r="B2317" i="26"/>
  <c r="B2316" i="26"/>
  <c r="B2315" i="26"/>
  <c r="B2314" i="26"/>
  <c r="B2313" i="26"/>
  <c r="B2312" i="26"/>
  <c r="B2311" i="26"/>
  <c r="B2310" i="26"/>
  <c r="B2309" i="26"/>
  <c r="B2308" i="26"/>
  <c r="B2307" i="26"/>
  <c r="B2306" i="26"/>
  <c r="B2305" i="26"/>
  <c r="B2304" i="26"/>
  <c r="B2303" i="26"/>
  <c r="B2302" i="26"/>
  <c r="B2301" i="26"/>
  <c r="B2300" i="26"/>
  <c r="B2299" i="26"/>
  <c r="B2298" i="26"/>
  <c r="B2297" i="26"/>
  <c r="B2296" i="26"/>
  <c r="B2295" i="26"/>
  <c r="B2294" i="26"/>
  <c r="B2293" i="26"/>
  <c r="B2292" i="26"/>
  <c r="B2291" i="26"/>
  <c r="B2290" i="26"/>
  <c r="B2289" i="26"/>
  <c r="B2288" i="26"/>
  <c r="B2287" i="26"/>
  <c r="B2286" i="26"/>
  <c r="B2285" i="26"/>
  <c r="B2284" i="26"/>
  <c r="B2283" i="26"/>
  <c r="B2282" i="26"/>
  <c r="B2281" i="26"/>
  <c r="B2280" i="26"/>
  <c r="B2279" i="26"/>
  <c r="B2278" i="26"/>
  <c r="B2277" i="26"/>
  <c r="B2276" i="26"/>
  <c r="B2275" i="26"/>
  <c r="B2274" i="26"/>
  <c r="B2273" i="26"/>
  <c r="B2272" i="26"/>
  <c r="B2271" i="26"/>
  <c r="B2270" i="26"/>
  <c r="B2269" i="26"/>
  <c r="B2268" i="26"/>
  <c r="B2267" i="26"/>
  <c r="B2266" i="26"/>
  <c r="B2265" i="26"/>
  <c r="B2264" i="26"/>
  <c r="B2263" i="26"/>
  <c r="B2262" i="26"/>
  <c r="B2261" i="26"/>
  <c r="B2260" i="26"/>
  <c r="B2259" i="26"/>
  <c r="B2258" i="26"/>
  <c r="B2257" i="26"/>
  <c r="B2256" i="26"/>
  <c r="B2255" i="26"/>
  <c r="B2254" i="26"/>
  <c r="B2253" i="26"/>
  <c r="B2252" i="26"/>
  <c r="B2251" i="26"/>
  <c r="B2250" i="26"/>
  <c r="B2249" i="26"/>
  <c r="B2248" i="26"/>
  <c r="B2247" i="26"/>
  <c r="B2246" i="26"/>
  <c r="B2245" i="26"/>
  <c r="B2244" i="26"/>
  <c r="B2243" i="26"/>
  <c r="B2242" i="26"/>
  <c r="B2241" i="26"/>
  <c r="B2240" i="26"/>
  <c r="B2239" i="26"/>
  <c r="B2238" i="26"/>
  <c r="B2237" i="26"/>
  <c r="B2236" i="26"/>
  <c r="B2235" i="26"/>
  <c r="B2234" i="26"/>
  <c r="B2233" i="26"/>
  <c r="B2232" i="26"/>
  <c r="B2231" i="26"/>
  <c r="B2230" i="26"/>
  <c r="B2229" i="26"/>
  <c r="B2228" i="26"/>
  <c r="B2227" i="26"/>
  <c r="B2226" i="26"/>
  <c r="B2225" i="26"/>
  <c r="B2224" i="26"/>
  <c r="B2223" i="26"/>
  <c r="B2222" i="26"/>
  <c r="B2221" i="26"/>
  <c r="B2220" i="26"/>
  <c r="B2219" i="26"/>
  <c r="B2218" i="26"/>
  <c r="B2217" i="26"/>
  <c r="B2216" i="26"/>
  <c r="B2215" i="26"/>
  <c r="B2214" i="26"/>
  <c r="B2213" i="26"/>
  <c r="B2212" i="26"/>
  <c r="B2211" i="26"/>
  <c r="B2210" i="26"/>
  <c r="B2209" i="26"/>
  <c r="B2208" i="26"/>
  <c r="B2207" i="26"/>
  <c r="B2206" i="26"/>
  <c r="B2205" i="26"/>
  <c r="B2204" i="26"/>
  <c r="B2203" i="26"/>
  <c r="B2202" i="26"/>
  <c r="B2201" i="26"/>
  <c r="B2200" i="26"/>
  <c r="B2199" i="26"/>
  <c r="B2198" i="26"/>
  <c r="B2197" i="26"/>
  <c r="B2196" i="26"/>
  <c r="B2195" i="26"/>
  <c r="B2194" i="26"/>
  <c r="B2193" i="26"/>
  <c r="B2192" i="26"/>
  <c r="B2191" i="26"/>
  <c r="B2190" i="26"/>
  <c r="B2189" i="26"/>
  <c r="B2188" i="26"/>
  <c r="B2187" i="26"/>
  <c r="B2186" i="26"/>
  <c r="B2185" i="26"/>
  <c r="B2184" i="26"/>
  <c r="B2183" i="26"/>
  <c r="B2182" i="26"/>
  <c r="B2181" i="26"/>
  <c r="B2180" i="26"/>
  <c r="B2179" i="26"/>
  <c r="B2178" i="26"/>
  <c r="B2177" i="26"/>
  <c r="B2176" i="26"/>
  <c r="B2175" i="26"/>
  <c r="B2174" i="26"/>
  <c r="B2173" i="26"/>
  <c r="B2172" i="26"/>
  <c r="B2171" i="26"/>
  <c r="B2170" i="26"/>
  <c r="B2169" i="26"/>
  <c r="B2168" i="26"/>
  <c r="B2167" i="26"/>
  <c r="B2166" i="26"/>
  <c r="B2165" i="26"/>
  <c r="B2164" i="26"/>
  <c r="B2163" i="26"/>
  <c r="B2162" i="26"/>
  <c r="B2161" i="26"/>
  <c r="B2160" i="26"/>
  <c r="B2159" i="26"/>
  <c r="B2158" i="26"/>
  <c r="B2157" i="26"/>
  <c r="B2156" i="26"/>
  <c r="B2155" i="26"/>
  <c r="B2154" i="26"/>
  <c r="B2153" i="26"/>
  <c r="B2152" i="26"/>
  <c r="B2151" i="26"/>
  <c r="B2150" i="26"/>
  <c r="B2149" i="26"/>
  <c r="B2148" i="26"/>
  <c r="B2147" i="26"/>
  <c r="B2146" i="26"/>
  <c r="B2145" i="26"/>
  <c r="B2144" i="26"/>
  <c r="B2143" i="26"/>
  <c r="B2142" i="26"/>
  <c r="B2141" i="26"/>
  <c r="B2140" i="26"/>
  <c r="B2139" i="26"/>
  <c r="B2138" i="26"/>
  <c r="B2137" i="26"/>
  <c r="B2136" i="26"/>
  <c r="B2135" i="26"/>
  <c r="B2134" i="26"/>
  <c r="B2133" i="26"/>
  <c r="B2132" i="26"/>
  <c r="B2131" i="26"/>
  <c r="B2130" i="26"/>
  <c r="B2129" i="26"/>
  <c r="B2128" i="26"/>
  <c r="B2127" i="26"/>
  <c r="B2126" i="26"/>
  <c r="B2125" i="26"/>
  <c r="B2124" i="26"/>
  <c r="B2123" i="26"/>
  <c r="B2122" i="26"/>
  <c r="B2121" i="26"/>
  <c r="B2120" i="26"/>
  <c r="B2119" i="26"/>
  <c r="B2118" i="26"/>
  <c r="B2117" i="26"/>
  <c r="B2116" i="26"/>
  <c r="B2115" i="26"/>
  <c r="B2114" i="26"/>
  <c r="B2113" i="26"/>
  <c r="B2112" i="26"/>
  <c r="B2111" i="26"/>
  <c r="B2110" i="26"/>
  <c r="B2109" i="26"/>
  <c r="B2108" i="26"/>
  <c r="B2107" i="26"/>
  <c r="B2106" i="26"/>
  <c r="B2105" i="26"/>
  <c r="B2104" i="26"/>
  <c r="B2103" i="26"/>
  <c r="B2102" i="26"/>
  <c r="B2101" i="26"/>
  <c r="B2100" i="26"/>
  <c r="B2099" i="26"/>
  <c r="B2098" i="26"/>
  <c r="B2097" i="26"/>
  <c r="B2096" i="26"/>
  <c r="B2095" i="26"/>
  <c r="B2094" i="26"/>
  <c r="B2093" i="26"/>
  <c r="B2092" i="26"/>
  <c r="B2091" i="26"/>
  <c r="B2090" i="26"/>
  <c r="B2089" i="26"/>
  <c r="B2088" i="26"/>
  <c r="B2087" i="26"/>
  <c r="B2086" i="26"/>
  <c r="B2085" i="26"/>
  <c r="B2084" i="26"/>
  <c r="B2083" i="26"/>
  <c r="B2082" i="26"/>
  <c r="B2081" i="26"/>
  <c r="B2080" i="26"/>
  <c r="B2079" i="26"/>
  <c r="B2078" i="26"/>
  <c r="B2077" i="26"/>
  <c r="B2076" i="26"/>
  <c r="B2075" i="26"/>
  <c r="B2074" i="26"/>
  <c r="B2073" i="26"/>
  <c r="B2072" i="26"/>
  <c r="B2071" i="26"/>
  <c r="B2070" i="26"/>
  <c r="B2069" i="26"/>
  <c r="B2068" i="26"/>
  <c r="B2067" i="26"/>
  <c r="B2066" i="26"/>
  <c r="B2065" i="26"/>
  <c r="B2064" i="26"/>
  <c r="B2063" i="26"/>
  <c r="B2062" i="26"/>
  <c r="B2061" i="26"/>
  <c r="B2060" i="26"/>
  <c r="B2059" i="26"/>
  <c r="B2058" i="26"/>
  <c r="B2057" i="26"/>
  <c r="B2056" i="26"/>
  <c r="B2055" i="26"/>
  <c r="B2054" i="26"/>
  <c r="B2053" i="26"/>
  <c r="B2052" i="26"/>
  <c r="B2051" i="26"/>
  <c r="B2050" i="26"/>
  <c r="B2049" i="26"/>
  <c r="B2048" i="26"/>
  <c r="B2047" i="26"/>
  <c r="B2046" i="26"/>
  <c r="B2045" i="26"/>
  <c r="B2044" i="26"/>
  <c r="B2043" i="26"/>
  <c r="B2042" i="26"/>
  <c r="B2041" i="26"/>
  <c r="B2040" i="26"/>
  <c r="B2039" i="26"/>
  <c r="B2038" i="26"/>
  <c r="B2037" i="26"/>
  <c r="B2036" i="26"/>
  <c r="B2035" i="26"/>
  <c r="B2034" i="26"/>
  <c r="B2033" i="26"/>
  <c r="B2032" i="26"/>
  <c r="B2031" i="26"/>
  <c r="B2030" i="26"/>
  <c r="B2029" i="26"/>
  <c r="B2028" i="26"/>
  <c r="B2027" i="26"/>
  <c r="B2026" i="26"/>
  <c r="B2025" i="26"/>
  <c r="B2024" i="26"/>
  <c r="B2023" i="26"/>
  <c r="B2022" i="26"/>
  <c r="B2021" i="26"/>
  <c r="B2020" i="26"/>
  <c r="B2019" i="26"/>
  <c r="B2018" i="26"/>
  <c r="B2017" i="26"/>
  <c r="B2016" i="26"/>
  <c r="B2015" i="26"/>
  <c r="B2014" i="26"/>
  <c r="B2013" i="26"/>
  <c r="B2012" i="26"/>
  <c r="B2011" i="26"/>
  <c r="B2010" i="26"/>
  <c r="B2009" i="26"/>
  <c r="B2008" i="26"/>
  <c r="B2007" i="26"/>
  <c r="B2006" i="26"/>
  <c r="B2005" i="26"/>
  <c r="B2004" i="26"/>
  <c r="B2003" i="26"/>
  <c r="B2002" i="26"/>
  <c r="B2001" i="26"/>
  <c r="B2000" i="26"/>
  <c r="B1999" i="26"/>
  <c r="B1998" i="26"/>
  <c r="B1997" i="26"/>
  <c r="B1996" i="26"/>
  <c r="B1995" i="26"/>
  <c r="B1994" i="26"/>
  <c r="B1993" i="26"/>
  <c r="B1992" i="26"/>
  <c r="B1991" i="26"/>
  <c r="B1990" i="26"/>
  <c r="B1989" i="26"/>
  <c r="B1988" i="26"/>
  <c r="B1987" i="26"/>
  <c r="B1986" i="26"/>
  <c r="B1985" i="26"/>
  <c r="B1984" i="26"/>
  <c r="B1983" i="26"/>
  <c r="B1982" i="26"/>
  <c r="B1981" i="26"/>
  <c r="B1980" i="26"/>
  <c r="B1979" i="26"/>
  <c r="B1978" i="26"/>
  <c r="B1977" i="26"/>
  <c r="B1976" i="26"/>
  <c r="B1975" i="26"/>
  <c r="B1974" i="26"/>
  <c r="B1973" i="26"/>
  <c r="B1972" i="26"/>
  <c r="B1971" i="26"/>
  <c r="B1970" i="26"/>
  <c r="B1969" i="26"/>
  <c r="B1968" i="26"/>
  <c r="B1967" i="26"/>
  <c r="B1966" i="26"/>
  <c r="B1965" i="26"/>
  <c r="B1964" i="26"/>
  <c r="B1963" i="26"/>
  <c r="B1962" i="26"/>
  <c r="B1961" i="26"/>
  <c r="B1960" i="26"/>
  <c r="B1959" i="26"/>
  <c r="B1958" i="26"/>
  <c r="B1957" i="26"/>
  <c r="B1956" i="26"/>
  <c r="B1955" i="26"/>
  <c r="B1954" i="26"/>
  <c r="B1953" i="26"/>
  <c r="B1952" i="26"/>
  <c r="B1951" i="26"/>
  <c r="B1950" i="26"/>
  <c r="B1949" i="26"/>
  <c r="B1948" i="26"/>
  <c r="B1947" i="26"/>
  <c r="B1946" i="26"/>
  <c r="B1945" i="26"/>
  <c r="B1944" i="26"/>
  <c r="B1943" i="26"/>
  <c r="B1942" i="26"/>
  <c r="B1941" i="26"/>
  <c r="B1940" i="26"/>
  <c r="B1939" i="26"/>
  <c r="B1938" i="26"/>
  <c r="B1937" i="26"/>
  <c r="B1936" i="26"/>
  <c r="B1935" i="26"/>
  <c r="B1934" i="26"/>
  <c r="B1933" i="26"/>
  <c r="B1932" i="26"/>
  <c r="B1931" i="26"/>
  <c r="B1930" i="26"/>
  <c r="B1929" i="26"/>
  <c r="B1928" i="26"/>
  <c r="B1927" i="26"/>
  <c r="B1926" i="26"/>
  <c r="B1925" i="26"/>
  <c r="B1924" i="26"/>
  <c r="B1923" i="26"/>
  <c r="B1922" i="26"/>
  <c r="B1921" i="26"/>
  <c r="B1920" i="26"/>
  <c r="B1919" i="26"/>
  <c r="B1918" i="26"/>
  <c r="B1917" i="26"/>
  <c r="B1916" i="26"/>
  <c r="B1915" i="26"/>
  <c r="B1914" i="26"/>
  <c r="B1913" i="26"/>
  <c r="B1912" i="26"/>
  <c r="B1911" i="26"/>
  <c r="B1910" i="26"/>
  <c r="B1909" i="26"/>
  <c r="B1908" i="26"/>
  <c r="B1907" i="26"/>
  <c r="B1906" i="26"/>
  <c r="B1905" i="26"/>
  <c r="B1904" i="26"/>
  <c r="B1903" i="26"/>
  <c r="B1902" i="26"/>
  <c r="B1901" i="26"/>
  <c r="B1900" i="26"/>
  <c r="B1899" i="26"/>
  <c r="B1898" i="26"/>
  <c r="B1897" i="26"/>
  <c r="B1896" i="26"/>
  <c r="B1895" i="26"/>
  <c r="B1894" i="26"/>
  <c r="B1893" i="26"/>
  <c r="B1892" i="26"/>
  <c r="B1891" i="26"/>
  <c r="B1890" i="26"/>
  <c r="B1889" i="26"/>
  <c r="B1888" i="26"/>
  <c r="B1887" i="26"/>
  <c r="B1886" i="26"/>
  <c r="B1885" i="26"/>
  <c r="B1884" i="26"/>
  <c r="B1883" i="26"/>
  <c r="B1882" i="26"/>
  <c r="B1881" i="26"/>
  <c r="B1880" i="26"/>
  <c r="B1879" i="26"/>
  <c r="B1878" i="26"/>
  <c r="B1877" i="26"/>
  <c r="B1876" i="26"/>
  <c r="B1875" i="26"/>
  <c r="B1874" i="26"/>
  <c r="B1873" i="26"/>
  <c r="B1872" i="26"/>
  <c r="B1871" i="26"/>
  <c r="B1870" i="26"/>
  <c r="B1869" i="26"/>
  <c r="B1868" i="26"/>
  <c r="B1867" i="26"/>
  <c r="B1866" i="26"/>
  <c r="B1865" i="26"/>
  <c r="B1864" i="26"/>
  <c r="B1863" i="26"/>
  <c r="B1862" i="26"/>
  <c r="B1861" i="26"/>
  <c r="B1860" i="26"/>
  <c r="B1859" i="26"/>
  <c r="B1858" i="26"/>
  <c r="B1857" i="26"/>
  <c r="B1856" i="26"/>
  <c r="B1855" i="26"/>
  <c r="B1854" i="26"/>
  <c r="B1853" i="26"/>
  <c r="B1852" i="26"/>
  <c r="B1851" i="26"/>
  <c r="B1850" i="26"/>
  <c r="B1849" i="26"/>
  <c r="B1848" i="26"/>
  <c r="B1847" i="26"/>
  <c r="B1846" i="26"/>
  <c r="B1845" i="26"/>
  <c r="B1844" i="26"/>
  <c r="B1843" i="26"/>
  <c r="B1842" i="26"/>
  <c r="B1841" i="26"/>
  <c r="B1840" i="26"/>
  <c r="B1839" i="26"/>
  <c r="B1838" i="26"/>
  <c r="B1837" i="26"/>
  <c r="B1836" i="26"/>
  <c r="B1835" i="26"/>
  <c r="B1834" i="26"/>
  <c r="B1833" i="26"/>
  <c r="B1832" i="26"/>
  <c r="B1831" i="26"/>
  <c r="B1830" i="26"/>
  <c r="B1829" i="26"/>
  <c r="B1828" i="26"/>
  <c r="B1827" i="26"/>
  <c r="B1826" i="26"/>
  <c r="B1825" i="26"/>
  <c r="B1824" i="26"/>
  <c r="B1823" i="26"/>
  <c r="B1822" i="26"/>
  <c r="B1821" i="26"/>
  <c r="B1820" i="26"/>
  <c r="B1819" i="26"/>
  <c r="B1818" i="26"/>
  <c r="B1817" i="26"/>
  <c r="B1816" i="26"/>
  <c r="B1815" i="26"/>
  <c r="B1814" i="26"/>
  <c r="B1813" i="26"/>
  <c r="B1812" i="26"/>
  <c r="B1811" i="26"/>
  <c r="B1810" i="26"/>
  <c r="B1809" i="26"/>
  <c r="B1808" i="26"/>
  <c r="B1807" i="26"/>
  <c r="B1806" i="26"/>
  <c r="B1805" i="26"/>
  <c r="B1804" i="26"/>
  <c r="B1803" i="26"/>
  <c r="B1802" i="26"/>
  <c r="B1801" i="26"/>
  <c r="B1800" i="26"/>
  <c r="B1799" i="26"/>
  <c r="B1798" i="26"/>
  <c r="B1797" i="26"/>
  <c r="B1796" i="26"/>
  <c r="B1795" i="26"/>
  <c r="B1794" i="26"/>
  <c r="B1793" i="26"/>
  <c r="B1792" i="26"/>
  <c r="B1791" i="26"/>
  <c r="B1790" i="26"/>
  <c r="B1789" i="26"/>
  <c r="B1788" i="26"/>
  <c r="B1787" i="26"/>
  <c r="B1786" i="26"/>
  <c r="B1785" i="26"/>
  <c r="B1784" i="26"/>
  <c r="B1783" i="26"/>
  <c r="B1782" i="26"/>
  <c r="B1781" i="26"/>
  <c r="B1780" i="26"/>
  <c r="B1779" i="26"/>
  <c r="B1778" i="26"/>
  <c r="B1777" i="26"/>
  <c r="B1776" i="26"/>
  <c r="B1775" i="26"/>
  <c r="B1774" i="26"/>
  <c r="B1773" i="26"/>
  <c r="B1772" i="26"/>
  <c r="B1771" i="26"/>
  <c r="B1770" i="26"/>
  <c r="B1769" i="26"/>
  <c r="B1768" i="26"/>
  <c r="B1767" i="26"/>
  <c r="B1766" i="26"/>
  <c r="B1765" i="26"/>
  <c r="B1764" i="26"/>
  <c r="B1763" i="26"/>
  <c r="B1762" i="26"/>
  <c r="B1761" i="26"/>
  <c r="B1760" i="26"/>
  <c r="B1759" i="26"/>
  <c r="B1758" i="26"/>
  <c r="B1757" i="26"/>
  <c r="B1756" i="26"/>
  <c r="B1755" i="26"/>
  <c r="B1754" i="26"/>
  <c r="B1753" i="26"/>
  <c r="B1752" i="26"/>
  <c r="B1751" i="26"/>
  <c r="B1750" i="26"/>
  <c r="B1749" i="26"/>
  <c r="B1748" i="26"/>
  <c r="B1747" i="26"/>
  <c r="B1746" i="26"/>
  <c r="B1744" i="26"/>
  <c r="B1743" i="26"/>
  <c r="B1742" i="26"/>
  <c r="B1741" i="26"/>
  <c r="B1740" i="26"/>
  <c r="B1739" i="26"/>
  <c r="B1738" i="26"/>
  <c r="B1737" i="26"/>
  <c r="B1736" i="26"/>
  <c r="B1735" i="26"/>
  <c r="B1734" i="26"/>
  <c r="B1733" i="26"/>
  <c r="B1732" i="26"/>
  <c r="B1731" i="26"/>
  <c r="B1730" i="26"/>
  <c r="B1729" i="26"/>
  <c r="B1728" i="26"/>
  <c r="B1727" i="26"/>
  <c r="B1726" i="26"/>
  <c r="B1725" i="26"/>
  <c r="B1724" i="26"/>
  <c r="B1723" i="26"/>
  <c r="B1722" i="26"/>
  <c r="B1721" i="26"/>
  <c r="B1720" i="26"/>
  <c r="B1719" i="26"/>
  <c r="B1718" i="26"/>
  <c r="B1717" i="26"/>
  <c r="B1716" i="26"/>
  <c r="B1715" i="26"/>
  <c r="B1714" i="26"/>
  <c r="B1713" i="26"/>
  <c r="B1712" i="26"/>
  <c r="B1711" i="26"/>
  <c r="B1710" i="26"/>
  <c r="B1709" i="26"/>
  <c r="B1708" i="26"/>
  <c r="B1707" i="26"/>
  <c r="B1706" i="26"/>
  <c r="B1705" i="26"/>
  <c r="B1704" i="26"/>
  <c r="B1703" i="26"/>
  <c r="B1702" i="26"/>
  <c r="B1701" i="26"/>
  <c r="B1700" i="26"/>
  <c r="B1699" i="26"/>
  <c r="B1698" i="26"/>
  <c r="B1697" i="26"/>
  <c r="B1696" i="26"/>
  <c r="B1695" i="26"/>
  <c r="B1694" i="26"/>
  <c r="B1693" i="26"/>
  <c r="B1692" i="26"/>
  <c r="B1691" i="26"/>
  <c r="B1690" i="26"/>
  <c r="B1689" i="26"/>
  <c r="B1688" i="26"/>
  <c r="B1687" i="26"/>
  <c r="B1686" i="26"/>
  <c r="B1685" i="26"/>
  <c r="B1684" i="26"/>
  <c r="B1683" i="26"/>
  <c r="B1682" i="26"/>
  <c r="B1681" i="26"/>
  <c r="B1680" i="26"/>
  <c r="B1679" i="26"/>
  <c r="B1678" i="26"/>
  <c r="B1677" i="26"/>
  <c r="B1676" i="26"/>
  <c r="B1675" i="26"/>
  <c r="B1674" i="26"/>
  <c r="B1673" i="26"/>
  <c r="B1672" i="26"/>
  <c r="B1671" i="26"/>
  <c r="B1670" i="26"/>
  <c r="B1669" i="26"/>
  <c r="B1668" i="26"/>
  <c r="B1667" i="26"/>
  <c r="B1666" i="26"/>
  <c r="B1665" i="26"/>
  <c r="B1664" i="26"/>
  <c r="B1663" i="26"/>
  <c r="B1662" i="26"/>
  <c r="B1661" i="26"/>
  <c r="B1660" i="26"/>
  <c r="B1659" i="26"/>
  <c r="B1658" i="26"/>
  <c r="B1657" i="26"/>
  <c r="B1656" i="26"/>
  <c r="B1655" i="26"/>
  <c r="B1654" i="26"/>
  <c r="B1653" i="26"/>
  <c r="B1652" i="26"/>
  <c r="B1651" i="26"/>
  <c r="B1650" i="26"/>
  <c r="B1649" i="26"/>
  <c r="B1648" i="26"/>
  <c r="B1647" i="26"/>
  <c r="B1646" i="26"/>
  <c r="B1645" i="26"/>
  <c r="B1644" i="26"/>
  <c r="B1643" i="26"/>
  <c r="B1642" i="26"/>
  <c r="B1641" i="26"/>
  <c r="B1640" i="26"/>
  <c r="B1639" i="26"/>
  <c r="B1638" i="26"/>
  <c r="B1637" i="26"/>
  <c r="B1636" i="26"/>
  <c r="B1635" i="26"/>
  <c r="B1634" i="26"/>
  <c r="B1633" i="26"/>
  <c r="B1632" i="26"/>
  <c r="B1631" i="26"/>
  <c r="B1630" i="26"/>
  <c r="B1629" i="26"/>
  <c r="B1628" i="26"/>
  <c r="B1627" i="26"/>
  <c r="B1626" i="26"/>
  <c r="B1625" i="26"/>
  <c r="B1624" i="26"/>
  <c r="B1623" i="26"/>
  <c r="B1622" i="26"/>
  <c r="B1621" i="26"/>
  <c r="B1620" i="26"/>
  <c r="B1619" i="26"/>
  <c r="B1618" i="26"/>
  <c r="B1617" i="26"/>
  <c r="B1616" i="26"/>
  <c r="B1615" i="26"/>
  <c r="B1614" i="26"/>
  <c r="B1613" i="26"/>
  <c r="B1612" i="26"/>
  <c r="B1611" i="26"/>
  <c r="B1610" i="26"/>
  <c r="B1609" i="26"/>
  <c r="B1608" i="26"/>
  <c r="B1607" i="26"/>
  <c r="B1606" i="26"/>
  <c r="B1605" i="26"/>
  <c r="B1604" i="26"/>
  <c r="B1603" i="26"/>
  <c r="B1602" i="26"/>
  <c r="B1601" i="26"/>
  <c r="B1600" i="26"/>
  <c r="B1599" i="26"/>
  <c r="B1598" i="26"/>
  <c r="B1597" i="26"/>
  <c r="B1596" i="26"/>
  <c r="B1595" i="26"/>
  <c r="B1594" i="26"/>
  <c r="B1593" i="26"/>
  <c r="B1592" i="26"/>
  <c r="B1591" i="26"/>
  <c r="B1590" i="26"/>
  <c r="B1589" i="26"/>
  <c r="B1588" i="26"/>
  <c r="B1587" i="26"/>
  <c r="B1586" i="26"/>
  <c r="B1585" i="26"/>
  <c r="B1584" i="26"/>
  <c r="B1583" i="26"/>
  <c r="B1582" i="26"/>
  <c r="B1581" i="26"/>
  <c r="B1580" i="26"/>
  <c r="B1579" i="26"/>
  <c r="B1578" i="26"/>
  <c r="B1577" i="26"/>
  <c r="B1576" i="26"/>
  <c r="B1575" i="26"/>
  <c r="B1574" i="26"/>
  <c r="B1573" i="26"/>
  <c r="B1572" i="26"/>
  <c r="B1571" i="26"/>
  <c r="B1570" i="26"/>
  <c r="B1569" i="26"/>
  <c r="B1568" i="26"/>
  <c r="B1567" i="26"/>
  <c r="B1566" i="26"/>
  <c r="B1565" i="26"/>
  <c r="B1564" i="26"/>
  <c r="B1563" i="26"/>
  <c r="B1562" i="26"/>
  <c r="B1561" i="26"/>
  <c r="B1560" i="26"/>
  <c r="B1559" i="26"/>
  <c r="B1558" i="26"/>
  <c r="B1557" i="26"/>
  <c r="B1556" i="26"/>
  <c r="B1555" i="26"/>
  <c r="B1554" i="26"/>
  <c r="B1553" i="26"/>
  <c r="B1552" i="26"/>
  <c r="B1550" i="26"/>
  <c r="B1549" i="26"/>
  <c r="B1548" i="26"/>
  <c r="B1547" i="26"/>
  <c r="B1546" i="26"/>
  <c r="B1545" i="26"/>
  <c r="B1544" i="26"/>
  <c r="B1543" i="26"/>
  <c r="B1542" i="26"/>
  <c r="B1541" i="26"/>
  <c r="B1540" i="26"/>
  <c r="B1539" i="26"/>
  <c r="B1538" i="26"/>
  <c r="B1537" i="26"/>
  <c r="B1536" i="26"/>
  <c r="B1535" i="26"/>
  <c r="B1534" i="26"/>
  <c r="B1533" i="26"/>
  <c r="B1532" i="26"/>
  <c r="B1531" i="26"/>
  <c r="B1530" i="26"/>
  <c r="B1529" i="26"/>
  <c r="B1528" i="26"/>
  <c r="B1527" i="26"/>
  <c r="B1526" i="26"/>
  <c r="B1525" i="26"/>
  <c r="B1524" i="26"/>
  <c r="B1523" i="26"/>
  <c r="B1522" i="26"/>
  <c r="B1521" i="26"/>
  <c r="B1520" i="26"/>
  <c r="B1519" i="26"/>
  <c r="B1518" i="26"/>
  <c r="B1517" i="26"/>
  <c r="B1516" i="26"/>
  <c r="B1515" i="26"/>
  <c r="B1514" i="26"/>
  <c r="B1513" i="26"/>
  <c r="B1512" i="26"/>
  <c r="B1511" i="26"/>
  <c r="B1510" i="26"/>
  <c r="B1509" i="26"/>
  <c r="B1508" i="26"/>
  <c r="B1507" i="26"/>
  <c r="B1506" i="26"/>
  <c r="B1505" i="26"/>
  <c r="B1504" i="26"/>
  <c r="B1503" i="26"/>
  <c r="B1502" i="26"/>
  <c r="B1501" i="26"/>
  <c r="B1500" i="26"/>
  <c r="B1499" i="26"/>
  <c r="B1498" i="26"/>
  <c r="B1497" i="26"/>
  <c r="B1496" i="26"/>
  <c r="B1495" i="26"/>
  <c r="B1494" i="26"/>
  <c r="B1493" i="26"/>
  <c r="B1492" i="26"/>
  <c r="B1491" i="26"/>
  <c r="B1490" i="26"/>
  <c r="B1489" i="26"/>
  <c r="B1488" i="26"/>
  <c r="B1487" i="26"/>
  <c r="B1486" i="26"/>
  <c r="B1485" i="26"/>
  <c r="B1484" i="26"/>
  <c r="B1483" i="26"/>
  <c r="B1482" i="26"/>
  <c r="B1481" i="26"/>
  <c r="B1480" i="26"/>
  <c r="B1479" i="26"/>
  <c r="B1478" i="26"/>
  <c r="B1476" i="26"/>
  <c r="B1475" i="26"/>
  <c r="B1474" i="26"/>
  <c r="B1473" i="26"/>
  <c r="B1472" i="26"/>
  <c r="B1471" i="26"/>
  <c r="B1470" i="26"/>
  <c r="B1469" i="26"/>
  <c r="B1468" i="26"/>
  <c r="B1467" i="26"/>
  <c r="B1466" i="26"/>
  <c r="B1465" i="26"/>
  <c r="B1464" i="26"/>
  <c r="B1463" i="26"/>
  <c r="B1462" i="26"/>
  <c r="B1461" i="26"/>
  <c r="B1460" i="26"/>
  <c r="B1459" i="26"/>
  <c r="B1458" i="26"/>
  <c r="B1457" i="26"/>
  <c r="B1456" i="26"/>
  <c r="B1455" i="26"/>
  <c r="B1454" i="26"/>
  <c r="B1453" i="26"/>
  <c r="B1452" i="26"/>
  <c r="B1451" i="26"/>
  <c r="B1450" i="26"/>
  <c r="B1449" i="26"/>
  <c r="B1448" i="26"/>
  <c r="B1447" i="26"/>
  <c r="B1446" i="26"/>
  <c r="B1445" i="26"/>
  <c r="B1444" i="26"/>
  <c r="B1443" i="26"/>
  <c r="B1442" i="26"/>
  <c r="B1441" i="26"/>
  <c r="B1440" i="26"/>
  <c r="B1439" i="26"/>
  <c r="B1438" i="26"/>
  <c r="B1437" i="26"/>
  <c r="B1436" i="26"/>
  <c r="B1435" i="26"/>
  <c r="B1434" i="26"/>
  <c r="B1433" i="26"/>
  <c r="B1432" i="26"/>
  <c r="B1431" i="26"/>
  <c r="B1430" i="26"/>
  <c r="B1429" i="26"/>
  <c r="B1428" i="26"/>
  <c r="B1427" i="26"/>
  <c r="B1426" i="26"/>
  <c r="B1425" i="26"/>
  <c r="B1424" i="26"/>
  <c r="B1423" i="26"/>
  <c r="B1422" i="26"/>
  <c r="B1421" i="26"/>
  <c r="B1420" i="26"/>
  <c r="B1419" i="26"/>
  <c r="B1418" i="26"/>
  <c r="B1417" i="26"/>
  <c r="B1416" i="26"/>
  <c r="B1415" i="26"/>
  <c r="B1414" i="26"/>
  <c r="B1413" i="26"/>
  <c r="B1412" i="26"/>
  <c r="B1411" i="26"/>
  <c r="B1410" i="26"/>
  <c r="B1409" i="26"/>
  <c r="B1408" i="26"/>
  <c r="B1407" i="26"/>
  <c r="B1406" i="26"/>
  <c r="B1405" i="26"/>
  <c r="B1404" i="26"/>
  <c r="B1403" i="26"/>
  <c r="B1402" i="26"/>
  <c r="B1401" i="26"/>
  <c r="B1400" i="26"/>
  <c r="B1399" i="26"/>
  <c r="B1398" i="26"/>
  <c r="B1397" i="26"/>
  <c r="B1396" i="26"/>
  <c r="B1395" i="26"/>
  <c r="B1394" i="26"/>
  <c r="B1393" i="26"/>
  <c r="B1392" i="26"/>
  <c r="B1391" i="26"/>
  <c r="B1390" i="26"/>
  <c r="B1389" i="26"/>
  <c r="B1388" i="26"/>
  <c r="B1387" i="26"/>
  <c r="B1386" i="26"/>
  <c r="B1384" i="26"/>
  <c r="B1383" i="26"/>
  <c r="B1382" i="26"/>
  <c r="B1381" i="26"/>
  <c r="B1380" i="26"/>
  <c r="B1379" i="26"/>
  <c r="B1378" i="26"/>
  <c r="B1377" i="26"/>
  <c r="B1376" i="26"/>
  <c r="B1375" i="26"/>
  <c r="B1374" i="26"/>
  <c r="B1373" i="26"/>
  <c r="B1372" i="26"/>
  <c r="B1371" i="26"/>
  <c r="B1370" i="26"/>
  <c r="B1369" i="26"/>
  <c r="B1368" i="26"/>
  <c r="B1366" i="26"/>
  <c r="B1365" i="26"/>
  <c r="B1364" i="26"/>
  <c r="B1363" i="26"/>
  <c r="B1362" i="26"/>
  <c r="B1361" i="26"/>
  <c r="B1360" i="26"/>
  <c r="B1359" i="26"/>
  <c r="B1358" i="26"/>
  <c r="B1357" i="26"/>
  <c r="B1356" i="26"/>
  <c r="B1355" i="26"/>
  <c r="B1354" i="26"/>
  <c r="B1353" i="26"/>
  <c r="B1352" i="26"/>
  <c r="B1351" i="26"/>
  <c r="B1350" i="26"/>
  <c r="B1349" i="26"/>
  <c r="B1348" i="26"/>
  <c r="B1347" i="26"/>
  <c r="B1346" i="26"/>
  <c r="B1345" i="26"/>
  <c r="B1344" i="26"/>
  <c r="B1343" i="26"/>
  <c r="B1342" i="26"/>
  <c r="B1341" i="26"/>
  <c r="B1340" i="26"/>
  <c r="B1339" i="26"/>
  <c r="B1338" i="26"/>
  <c r="B1337" i="26"/>
  <c r="B1336" i="26"/>
  <c r="B1335" i="26"/>
  <c r="B1334" i="26"/>
  <c r="B1333" i="26"/>
  <c r="B1331" i="26"/>
  <c r="B1330" i="26"/>
  <c r="B1329" i="26"/>
  <c r="B1328" i="26"/>
  <c r="B1327" i="26"/>
  <c r="B1326" i="26"/>
  <c r="B1325" i="26"/>
  <c r="B1324" i="26"/>
  <c r="B1323" i="26"/>
  <c r="B1322" i="26"/>
  <c r="B1321" i="26"/>
  <c r="B1320" i="26"/>
  <c r="B1319" i="26"/>
  <c r="B1318" i="26"/>
  <c r="B1317" i="26"/>
  <c r="B1316" i="26"/>
  <c r="B1315" i="26"/>
  <c r="B1314" i="26"/>
  <c r="B1313" i="26"/>
  <c r="B1312" i="26"/>
  <c r="B1311" i="26"/>
  <c r="B1310" i="26"/>
  <c r="B1309" i="26"/>
  <c r="B1308" i="26"/>
  <c r="B1307" i="26"/>
  <c r="B1306" i="26"/>
  <c r="B1305" i="26"/>
  <c r="B1304" i="26"/>
  <c r="B1303" i="26"/>
  <c r="B1302" i="26"/>
  <c r="B1301" i="26"/>
  <c r="B1300" i="26"/>
  <c r="B1299" i="26"/>
  <c r="B1298" i="26"/>
  <c r="B1297" i="26"/>
  <c r="B1296" i="26"/>
  <c r="B1295" i="26"/>
  <c r="B1294" i="26"/>
  <c r="B1293" i="26"/>
  <c r="B1292" i="26"/>
  <c r="B1291" i="26"/>
  <c r="B1290" i="26"/>
  <c r="B1289" i="26"/>
  <c r="B1288" i="26"/>
  <c r="B1287" i="26"/>
  <c r="B1286" i="26"/>
  <c r="B1285" i="26"/>
  <c r="B1284" i="26"/>
  <c r="B1283" i="26"/>
  <c r="B1282" i="26"/>
  <c r="B1281" i="26"/>
  <c r="B1280" i="26"/>
  <c r="B1279" i="26"/>
  <c r="B1278" i="26"/>
  <c r="B1277" i="26"/>
  <c r="B1276" i="26"/>
  <c r="B1275" i="26"/>
  <c r="B1274" i="26"/>
  <c r="B1273" i="26"/>
  <c r="B1272" i="26"/>
  <c r="B1271" i="26"/>
  <c r="B1270" i="26"/>
  <c r="B1269" i="26"/>
  <c r="B1268" i="26"/>
  <c r="B1267" i="26"/>
  <c r="B1266" i="26"/>
  <c r="B1265" i="26"/>
  <c r="B1264" i="26"/>
  <c r="B1263" i="26"/>
  <c r="B1262" i="26"/>
  <c r="B1261" i="26"/>
  <c r="B1260" i="26"/>
  <c r="B1259" i="26"/>
  <c r="B1258" i="26"/>
  <c r="B1257" i="26"/>
  <c r="B1256" i="26"/>
  <c r="B1255" i="26"/>
  <c r="B1254" i="26"/>
  <c r="B1253" i="26"/>
  <c r="B1252" i="26"/>
  <c r="B1251" i="26"/>
  <c r="B1250" i="26"/>
  <c r="B1249" i="26"/>
  <c r="B1248" i="26"/>
  <c r="B1247" i="26"/>
  <c r="B1246" i="26"/>
  <c r="B1245" i="26"/>
  <c r="B1244" i="26"/>
  <c r="B1243" i="26"/>
  <c r="B1242" i="26"/>
  <c r="B1241" i="26"/>
  <c r="B1240" i="26"/>
  <c r="B1239" i="26"/>
  <c r="B1238" i="26"/>
  <c r="B1237" i="26"/>
  <c r="B1236" i="26"/>
  <c r="B1235" i="26"/>
  <c r="B1234" i="26"/>
  <c r="B1233" i="26"/>
  <c r="B1232" i="26"/>
  <c r="B1231" i="26"/>
  <c r="B1230" i="26"/>
  <c r="B1229" i="26"/>
  <c r="B1228" i="26"/>
  <c r="B1227" i="26"/>
  <c r="B1226" i="26"/>
  <c r="B1225" i="26"/>
  <c r="B1224" i="26"/>
  <c r="B1223" i="26"/>
  <c r="B1222" i="26"/>
  <c r="B1221" i="26"/>
  <c r="B1220" i="26"/>
  <c r="B1219" i="26"/>
  <c r="B1218" i="26"/>
  <c r="B1217" i="26"/>
  <c r="B1216" i="26"/>
  <c r="B1215" i="26"/>
  <c r="B1213" i="26"/>
  <c r="B1212" i="26"/>
  <c r="B1211" i="26"/>
  <c r="B1210" i="26"/>
  <c r="B1209" i="26"/>
  <c r="B1208" i="26"/>
  <c r="B1207" i="26"/>
  <c r="B1206" i="26"/>
  <c r="B1205" i="26"/>
  <c r="B1204" i="26"/>
  <c r="B1203" i="26"/>
  <c r="B1202" i="26"/>
  <c r="B1201" i="26"/>
  <c r="B1200" i="26"/>
  <c r="B1199" i="26"/>
  <c r="B1198" i="26"/>
  <c r="B1197" i="26"/>
  <c r="B1196" i="26"/>
  <c r="B1195" i="26"/>
  <c r="B1194" i="26"/>
  <c r="B1193" i="26"/>
  <c r="B1192" i="26"/>
  <c r="B1191" i="26"/>
  <c r="B1190" i="26"/>
  <c r="B1189" i="26"/>
  <c r="B1188" i="26"/>
  <c r="B1187" i="26"/>
  <c r="B1186" i="26"/>
  <c r="B1185" i="26"/>
  <c r="B1184" i="26"/>
  <c r="B1183" i="26"/>
  <c r="B1182" i="26"/>
  <c r="B1181" i="26"/>
  <c r="B1180" i="26"/>
  <c r="B1179" i="26"/>
  <c r="B1178" i="26"/>
  <c r="B1177" i="26"/>
  <c r="B1176" i="26"/>
  <c r="B1175" i="26"/>
  <c r="B1174" i="26"/>
  <c r="B1173" i="26"/>
  <c r="B1172" i="26"/>
  <c r="B1171" i="26"/>
  <c r="B1170" i="26"/>
  <c r="B1169" i="26"/>
  <c r="B1168" i="26"/>
  <c r="B1167" i="26"/>
  <c r="B1166" i="26"/>
  <c r="B1165" i="26"/>
  <c r="B1164" i="26"/>
  <c r="B1163" i="26"/>
  <c r="B1162" i="26"/>
  <c r="B1161" i="26"/>
  <c r="B1160" i="26"/>
  <c r="B1159" i="26"/>
  <c r="B1158" i="26"/>
  <c r="B1157" i="26"/>
  <c r="B1156" i="26"/>
  <c r="B1155" i="26"/>
  <c r="B1154" i="26"/>
  <c r="B1153" i="26"/>
  <c r="B1152" i="26"/>
  <c r="B1151" i="26"/>
  <c r="B1150" i="26"/>
  <c r="B1149" i="26"/>
  <c r="B1148" i="26"/>
  <c r="B1147" i="26"/>
  <c r="B1146" i="26"/>
  <c r="B1145" i="26"/>
  <c r="B1144" i="26"/>
  <c r="B1143" i="26"/>
  <c r="B1142" i="26"/>
  <c r="B1141" i="26"/>
  <c r="B1140" i="26"/>
  <c r="B1139" i="26"/>
  <c r="B1138" i="26"/>
  <c r="B1137" i="26"/>
  <c r="B1136" i="26"/>
  <c r="B1135" i="26"/>
  <c r="B1134" i="26"/>
  <c r="B1133" i="26"/>
  <c r="B1132" i="26"/>
  <c r="B1131" i="26"/>
  <c r="B1130" i="26"/>
  <c r="B1129" i="26"/>
  <c r="B1128" i="26"/>
  <c r="B1127" i="26"/>
  <c r="B1126" i="26"/>
  <c r="B1125" i="26"/>
  <c r="B1124" i="26"/>
  <c r="B1123" i="26"/>
  <c r="B1122" i="26"/>
  <c r="B1121" i="26"/>
  <c r="B1120" i="26"/>
  <c r="B1119" i="26"/>
  <c r="B1118" i="26"/>
  <c r="B1117" i="26"/>
  <c r="B1116" i="26"/>
  <c r="B1115" i="26"/>
  <c r="B1114" i="26"/>
  <c r="B1113" i="26"/>
  <c r="B1112" i="26"/>
  <c r="B1111" i="26"/>
  <c r="B1110" i="26"/>
  <c r="B1109" i="26"/>
  <c r="B1108" i="26"/>
  <c r="B1107" i="26"/>
  <c r="B1106" i="26"/>
  <c r="B1105" i="26"/>
  <c r="B1104" i="26"/>
  <c r="B1103" i="26"/>
  <c r="B1102" i="26"/>
  <c r="B1101" i="26"/>
  <c r="B1100" i="26"/>
  <c r="B1099" i="26"/>
  <c r="B1098" i="26"/>
  <c r="B1097" i="26"/>
  <c r="B1096" i="26"/>
  <c r="B1095" i="26"/>
  <c r="B1094" i="26"/>
  <c r="B1093" i="26"/>
  <c r="B1092" i="26"/>
  <c r="B1091" i="26"/>
  <c r="B1090" i="26"/>
  <c r="B1089" i="26"/>
  <c r="B1088" i="26"/>
  <c r="B1087" i="26"/>
  <c r="B1086" i="26"/>
  <c r="B1085" i="26"/>
  <c r="B1084" i="26"/>
  <c r="B1083" i="26"/>
  <c r="B1082" i="26"/>
  <c r="B1081" i="26"/>
  <c r="B1080" i="26"/>
  <c r="B1079" i="26"/>
  <c r="B1078" i="26"/>
  <c r="B1077" i="26"/>
  <c r="B1076" i="26"/>
  <c r="B1075" i="26"/>
  <c r="B1074" i="26"/>
  <c r="B1073" i="26"/>
  <c r="B1072" i="26"/>
  <c r="B1071" i="26"/>
  <c r="B1070" i="26"/>
  <c r="B1069" i="26"/>
  <c r="B1068" i="26"/>
  <c r="B1067" i="26"/>
  <c r="B1066" i="26"/>
  <c r="B1065" i="26"/>
  <c r="B1064" i="26"/>
  <c r="B1063" i="26"/>
  <c r="B1062" i="26"/>
  <c r="B1061" i="26"/>
  <c r="B1060" i="26"/>
  <c r="B1059" i="26"/>
  <c r="B1058" i="26"/>
  <c r="B1057" i="26"/>
  <c r="B1056" i="26"/>
  <c r="B1055" i="26"/>
  <c r="B1054" i="26"/>
  <c r="B1053" i="26"/>
  <c r="B1052" i="26"/>
  <c r="B1051" i="26"/>
  <c r="B1050" i="26"/>
  <c r="B1049" i="26"/>
  <c r="B1048" i="26"/>
  <c r="B1047" i="26"/>
  <c r="B1046" i="26"/>
  <c r="B1045" i="26"/>
  <c r="B1044" i="26"/>
  <c r="B1043" i="26"/>
  <c r="B1042" i="26"/>
  <c r="B1041" i="26"/>
  <c r="B1040" i="26"/>
  <c r="B1039" i="26"/>
  <c r="B1038" i="26"/>
  <c r="B1037" i="26"/>
  <c r="B1036" i="26"/>
  <c r="B1035" i="26"/>
  <c r="B1034" i="26"/>
  <c r="B1033" i="26"/>
  <c r="B1032" i="26"/>
  <c r="B1031" i="26"/>
  <c r="B1030" i="26"/>
  <c r="B1029" i="26"/>
  <c r="B1028" i="26"/>
  <c r="B1027" i="26"/>
  <c r="B1026" i="26"/>
  <c r="B1025" i="26"/>
  <c r="B1024" i="26"/>
  <c r="B1023" i="26"/>
  <c r="B1022" i="26"/>
  <c r="B1021" i="26"/>
  <c r="B1020" i="26"/>
  <c r="B1019" i="26"/>
  <c r="B1018" i="26"/>
  <c r="B1017" i="26"/>
  <c r="B1016" i="26"/>
  <c r="B1015" i="26"/>
  <c r="B1014" i="26"/>
  <c r="B1013" i="26"/>
  <c r="B1012" i="26"/>
  <c r="B1011" i="26"/>
  <c r="B1010" i="26"/>
  <c r="B1009" i="26"/>
  <c r="B1008" i="26"/>
  <c r="B1007" i="26"/>
  <c r="B1006" i="26"/>
  <c r="B1005" i="26"/>
  <c r="B1004" i="26"/>
  <c r="B1003" i="26"/>
  <c r="B1002" i="26"/>
  <c r="B1001" i="26"/>
  <c r="B1000" i="26"/>
  <c r="B999" i="26"/>
  <c r="B998" i="26"/>
  <c r="B997" i="26"/>
  <c r="B996" i="26"/>
  <c r="B995" i="26"/>
  <c r="B994" i="26"/>
  <c r="B993" i="26"/>
  <c r="B992" i="26"/>
  <c r="B991" i="26"/>
  <c r="B990" i="26"/>
  <c r="B989" i="26"/>
  <c r="B988" i="26"/>
  <c r="B987" i="26"/>
  <c r="B986" i="26"/>
  <c r="B985" i="26"/>
  <c r="B984" i="26"/>
  <c r="B983" i="26"/>
  <c r="B982" i="26"/>
  <c r="B981" i="26"/>
  <c r="B980" i="26"/>
  <c r="B979" i="26"/>
  <c r="B978" i="26"/>
  <c r="B977" i="26"/>
  <c r="B976" i="26"/>
  <c r="B975" i="26"/>
  <c r="B974" i="26"/>
  <c r="B973" i="26"/>
  <c r="B972" i="26"/>
  <c r="B971" i="26"/>
  <c r="B970" i="26"/>
  <c r="B969" i="26"/>
  <c r="B968" i="26"/>
  <c r="B967" i="26"/>
  <c r="B966" i="26"/>
  <c r="B965" i="26"/>
  <c r="B964" i="26"/>
  <c r="B963" i="26"/>
  <c r="B962" i="26"/>
  <c r="B961" i="26"/>
  <c r="B960" i="26"/>
  <c r="B959" i="26"/>
  <c r="B958" i="26"/>
  <c r="B957" i="26"/>
  <c r="B956" i="26"/>
  <c r="B955" i="26"/>
  <c r="B954" i="26"/>
  <c r="B953" i="26"/>
  <c r="B952" i="26"/>
  <c r="B951" i="26"/>
  <c r="B950" i="26"/>
  <c r="B949" i="26"/>
  <c r="B948" i="26"/>
  <c r="B947" i="26"/>
  <c r="B946" i="26"/>
  <c r="B945" i="26"/>
  <c r="B944" i="26"/>
  <c r="B943" i="26"/>
  <c r="B942" i="26"/>
  <c r="B941" i="26"/>
  <c r="B940" i="26"/>
  <c r="B939" i="26"/>
  <c r="B938" i="26"/>
  <c r="B937" i="26"/>
  <c r="B936" i="26"/>
  <c r="B935" i="26"/>
  <c r="B934" i="26"/>
  <c r="B933" i="26"/>
  <c r="B932" i="26"/>
  <c r="B931" i="26"/>
  <c r="B930" i="26"/>
  <c r="B929" i="26"/>
  <c r="B928" i="26"/>
  <c r="B927" i="26"/>
  <c r="B926" i="26"/>
  <c r="B925" i="26"/>
  <c r="B924" i="26"/>
  <c r="B923" i="26"/>
  <c r="B922" i="26"/>
  <c r="B921" i="26"/>
  <c r="B920" i="26"/>
  <c r="B919" i="26"/>
  <c r="B918" i="26"/>
  <c r="B917" i="26"/>
  <c r="B916" i="26"/>
  <c r="B915" i="26"/>
  <c r="B914" i="26"/>
  <c r="B913" i="26"/>
  <c r="B912" i="26"/>
  <c r="B911" i="26"/>
  <c r="B910" i="26"/>
  <c r="B909" i="26"/>
  <c r="B908" i="26"/>
  <c r="B907" i="26"/>
  <c r="B906" i="26"/>
  <c r="B905" i="26"/>
  <c r="B904" i="26"/>
  <c r="B903" i="26"/>
  <c r="B902" i="26"/>
  <c r="B901" i="26"/>
  <c r="B900" i="26"/>
  <c r="B899" i="26"/>
  <c r="B898" i="26"/>
  <c r="B897" i="26"/>
  <c r="B896" i="26"/>
  <c r="B895" i="26"/>
  <c r="B894" i="26"/>
  <c r="B893" i="26"/>
  <c r="B892" i="26"/>
  <c r="B891" i="26"/>
  <c r="B890" i="26"/>
  <c r="B889" i="26"/>
  <c r="B888" i="26"/>
  <c r="B887" i="26"/>
  <c r="B886" i="26"/>
  <c r="B885" i="26"/>
  <c r="B884" i="26"/>
  <c r="B883" i="26"/>
  <c r="B882" i="26"/>
  <c r="B881" i="26"/>
  <c r="B880" i="26"/>
  <c r="B879" i="26"/>
  <c r="B878" i="26"/>
  <c r="B877" i="26"/>
  <c r="B876" i="26"/>
  <c r="B875" i="26"/>
  <c r="B874" i="26"/>
  <c r="B873" i="26"/>
  <c r="B872" i="26"/>
  <c r="B871" i="26"/>
  <c r="B870" i="26"/>
  <c r="B869" i="26"/>
  <c r="B868" i="26"/>
  <c r="B867" i="26"/>
  <c r="B866" i="26"/>
  <c r="B865" i="26"/>
  <c r="B864" i="26"/>
  <c r="B863" i="26"/>
  <c r="B862" i="26"/>
  <c r="B861" i="26"/>
  <c r="B860" i="26"/>
  <c r="B859" i="26"/>
  <c r="B858" i="26"/>
  <c r="B857" i="26"/>
  <c r="B856" i="26"/>
  <c r="B855" i="26"/>
  <c r="B854" i="26"/>
  <c r="B853" i="26"/>
  <c r="B852" i="26"/>
  <c r="B851" i="26"/>
  <c r="B850" i="26"/>
  <c r="B849" i="26"/>
  <c r="B848" i="26"/>
  <c r="B847" i="26"/>
  <c r="B846" i="26"/>
  <c r="B845" i="26"/>
  <c r="B844" i="26"/>
  <c r="B843" i="26"/>
  <c r="B842" i="26"/>
  <c r="B841" i="26"/>
  <c r="B840" i="26"/>
  <c r="B839" i="26"/>
  <c r="B838" i="26"/>
  <c r="B837" i="26"/>
  <c r="B836" i="26"/>
  <c r="B835" i="26"/>
  <c r="B834" i="26"/>
  <c r="B833" i="26"/>
  <c r="B832" i="26"/>
  <c r="B831" i="26"/>
  <c r="B830" i="26"/>
  <c r="B829" i="26"/>
  <c r="B828" i="26"/>
  <c r="B827" i="26"/>
  <c r="B826" i="26"/>
  <c r="B825" i="26"/>
  <c r="B824" i="26"/>
  <c r="B823" i="26"/>
  <c r="B822" i="26"/>
  <c r="B821" i="26"/>
  <c r="B820" i="26"/>
  <c r="B819" i="26"/>
  <c r="B818" i="26"/>
  <c r="B817" i="26"/>
  <c r="B816" i="26"/>
  <c r="B815" i="26"/>
  <c r="B814" i="26"/>
  <c r="B813" i="26"/>
  <c r="B812" i="26"/>
  <c r="B811" i="26"/>
  <c r="B810" i="26"/>
  <c r="B806" i="26"/>
  <c r="B805" i="26"/>
  <c r="B804" i="26"/>
  <c r="B803" i="26"/>
  <c r="B802" i="26"/>
  <c r="B801" i="26"/>
  <c r="B800" i="26"/>
  <c r="B799" i="26"/>
  <c r="B798" i="26"/>
  <c r="B795" i="26"/>
  <c r="B794" i="26"/>
  <c r="B793" i="26"/>
  <c r="B792" i="26"/>
  <c r="B791" i="26"/>
  <c r="B789" i="26"/>
  <c r="B788" i="26"/>
  <c r="B787" i="26"/>
  <c r="B786" i="26"/>
  <c r="B785" i="26"/>
  <c r="B784" i="26"/>
  <c r="B783" i="26"/>
  <c r="B782" i="26"/>
  <c r="B781" i="26"/>
  <c r="B780" i="26"/>
  <c r="B779" i="26"/>
  <c r="B778" i="26"/>
  <c r="B777" i="26"/>
  <c r="B776" i="26"/>
  <c r="B775" i="26"/>
  <c r="B774" i="26"/>
  <c r="B773" i="26"/>
  <c r="B772" i="26"/>
  <c r="B771" i="26"/>
  <c r="B770" i="26"/>
  <c r="B769" i="26"/>
  <c r="B768" i="26"/>
  <c r="B767" i="26"/>
  <c r="B766" i="26"/>
  <c r="B765" i="26"/>
  <c r="B764" i="26"/>
  <c r="B763" i="26"/>
  <c r="B762" i="26"/>
  <c r="B761" i="26"/>
  <c r="B760" i="26"/>
  <c r="B759" i="26"/>
  <c r="B758" i="26"/>
  <c r="B757" i="26"/>
  <c r="B756" i="26"/>
  <c r="B755" i="26"/>
  <c r="B754" i="26"/>
  <c r="B753" i="26"/>
  <c r="B752" i="26"/>
  <c r="B751" i="26"/>
  <c r="B750" i="26"/>
  <c r="B749" i="26"/>
  <c r="B748" i="26"/>
  <c r="B747" i="26"/>
  <c r="B746" i="26"/>
  <c r="B745" i="26"/>
  <c r="B744" i="26"/>
  <c r="B743" i="26"/>
  <c r="B742" i="26"/>
  <c r="B741" i="26"/>
  <c r="B740" i="26"/>
  <c r="B739" i="26"/>
  <c r="B738" i="26"/>
  <c r="B737" i="26"/>
  <c r="B736" i="26"/>
  <c r="B735" i="26"/>
  <c r="B734" i="26"/>
  <c r="B733" i="26"/>
  <c r="B732" i="26"/>
  <c r="B731" i="26"/>
  <c r="B730" i="26"/>
  <c r="B729" i="26"/>
  <c r="B728" i="26"/>
  <c r="B727" i="26"/>
  <c r="B726" i="26"/>
  <c r="B725" i="26"/>
  <c r="B724" i="26"/>
  <c r="B723" i="26"/>
  <c r="B722" i="26"/>
  <c r="B721" i="26"/>
  <c r="B720" i="26"/>
  <c r="B719" i="26"/>
  <c r="B718" i="26"/>
  <c r="B717" i="26"/>
  <c r="B716" i="26"/>
  <c r="B715" i="26"/>
  <c r="B714" i="26"/>
  <c r="B713" i="26"/>
  <c r="B712" i="26"/>
  <c r="B711" i="26"/>
  <c r="B710" i="26"/>
  <c r="B709" i="26"/>
  <c r="B708" i="26"/>
  <c r="B707" i="26"/>
  <c r="B706" i="26"/>
  <c r="B705" i="26"/>
  <c r="B704" i="26"/>
  <c r="B703" i="26"/>
  <c r="B702" i="26"/>
  <c r="B701" i="26"/>
  <c r="B700" i="26"/>
  <c r="B699" i="26"/>
  <c r="B698" i="26"/>
  <c r="B697" i="26"/>
  <c r="B696" i="26"/>
  <c r="B695" i="26"/>
  <c r="B694" i="26"/>
  <c r="B693" i="26"/>
  <c r="B692" i="26"/>
  <c r="B691" i="26"/>
  <c r="B690" i="26"/>
  <c r="B689" i="26"/>
  <c r="B688" i="26"/>
  <c r="B687" i="26"/>
  <c r="B686" i="26"/>
  <c r="B685" i="26"/>
  <c r="B684" i="26"/>
  <c r="B683" i="26"/>
  <c r="B682" i="26"/>
  <c r="B681" i="26"/>
  <c r="B680" i="26"/>
  <c r="B679" i="26"/>
  <c r="B678" i="26"/>
  <c r="B677" i="26"/>
  <c r="B676" i="26"/>
  <c r="B675" i="26"/>
  <c r="B674" i="26"/>
  <c r="B673" i="26"/>
  <c r="B672" i="26"/>
  <c r="B671" i="26"/>
  <c r="B670" i="26"/>
  <c r="B669" i="26"/>
  <c r="B668" i="26"/>
  <c r="B667" i="26"/>
  <c r="B666" i="26"/>
  <c r="B665" i="26"/>
  <c r="B664" i="26"/>
  <c r="B663" i="26"/>
  <c r="B662" i="26"/>
  <c r="B661" i="26"/>
  <c r="B658" i="26"/>
  <c r="B657" i="26"/>
  <c r="B656" i="26"/>
  <c r="B655" i="26"/>
  <c r="B654" i="26"/>
  <c r="B653" i="26"/>
  <c r="B652" i="26"/>
  <c r="B651" i="26"/>
  <c r="B650" i="26"/>
  <c r="B649" i="26"/>
  <c r="B648" i="26"/>
  <c r="B647" i="26"/>
  <c r="B646" i="26"/>
  <c r="B645" i="26"/>
  <c r="B644" i="26"/>
  <c r="B643" i="26"/>
  <c r="B642" i="26"/>
  <c r="B641" i="26"/>
  <c r="B640" i="26"/>
  <c r="B639" i="26"/>
  <c r="B638" i="26"/>
  <c r="B637" i="26"/>
  <c r="B636" i="26"/>
  <c r="B635" i="26"/>
  <c r="B634" i="26"/>
  <c r="B633" i="26"/>
  <c r="B632" i="26"/>
  <c r="B631" i="26"/>
  <c r="B630" i="26"/>
  <c r="B629" i="26"/>
  <c r="B628" i="26"/>
  <c r="B627" i="26"/>
  <c r="B626" i="26"/>
  <c r="B625" i="26"/>
  <c r="B624" i="26"/>
  <c r="B623" i="26"/>
  <c r="B622" i="26"/>
  <c r="B621" i="26"/>
  <c r="B620" i="26"/>
  <c r="B619" i="26"/>
  <c r="B618" i="26"/>
  <c r="B617" i="26"/>
  <c r="B616" i="26"/>
  <c r="B615" i="26"/>
  <c r="B614" i="26"/>
  <c r="B613" i="26"/>
  <c r="B612" i="26"/>
  <c r="B611" i="26"/>
  <c r="B610" i="26"/>
  <c r="B609" i="26"/>
  <c r="B608" i="26"/>
  <c r="B607" i="26"/>
  <c r="B606" i="26"/>
  <c r="B605" i="26"/>
  <c r="B604" i="26"/>
  <c r="B603" i="26"/>
  <c r="B602" i="26"/>
  <c r="B601" i="26"/>
  <c r="B600" i="26"/>
  <c r="B599" i="26"/>
  <c r="B598" i="26"/>
  <c r="B597" i="26"/>
  <c r="B596" i="26"/>
  <c r="B595" i="26"/>
  <c r="B594" i="26"/>
  <c r="B593" i="26"/>
  <c r="B592" i="26"/>
  <c r="B591" i="26"/>
  <c r="B590" i="26"/>
  <c r="B589" i="26"/>
  <c r="B588" i="26"/>
  <c r="B587" i="26"/>
  <c r="B586" i="26"/>
  <c r="B585" i="26"/>
  <c r="B584" i="26"/>
  <c r="B583" i="26"/>
  <c r="B582" i="26"/>
  <c r="B581" i="26"/>
  <c r="B580" i="26"/>
  <c r="B579" i="26"/>
  <c r="B578" i="26"/>
  <c r="B577" i="26"/>
  <c r="B576" i="26"/>
  <c r="B575" i="26"/>
  <c r="B574" i="26"/>
  <c r="B573" i="26"/>
  <c r="B572" i="26"/>
  <c r="B571" i="26"/>
  <c r="B570" i="26"/>
  <c r="B569" i="26"/>
  <c r="B568" i="26"/>
  <c r="B567" i="26"/>
  <c r="B566" i="26"/>
  <c r="B565" i="26"/>
  <c r="B564" i="26"/>
  <c r="B563" i="26"/>
  <c r="B562" i="26"/>
  <c r="B561" i="26"/>
  <c r="B560" i="26"/>
  <c r="B559" i="26"/>
  <c r="B558" i="26"/>
  <c r="B557" i="26"/>
  <c r="B556" i="26"/>
  <c r="B555" i="26"/>
  <c r="B554" i="26"/>
  <c r="B553" i="26"/>
  <c r="B552" i="26"/>
  <c r="B551" i="26"/>
  <c r="B550" i="26"/>
  <c r="B549" i="26"/>
  <c r="B548" i="26"/>
  <c r="B547" i="26"/>
  <c r="B546" i="26"/>
  <c r="B545" i="26"/>
  <c r="B544" i="26"/>
  <c r="B543" i="26"/>
  <c r="B542" i="26"/>
  <c r="B541" i="26"/>
  <c r="B540" i="26"/>
  <c r="B539" i="26"/>
  <c r="B538" i="26"/>
  <c r="B537" i="26"/>
  <c r="B536" i="26"/>
  <c r="B535" i="26"/>
  <c r="B534" i="26"/>
  <c r="B533" i="26"/>
  <c r="B532" i="26"/>
  <c r="B531" i="26"/>
  <c r="B530" i="26"/>
  <c r="B529" i="26"/>
  <c r="B528" i="26"/>
  <c r="B527" i="26"/>
  <c r="B526" i="26"/>
  <c r="B525" i="26"/>
  <c r="B524" i="26"/>
  <c r="B523" i="26"/>
  <c r="B522" i="26"/>
  <c r="B521" i="26"/>
  <c r="B520" i="26"/>
  <c r="B519" i="26"/>
  <c r="B518" i="26"/>
  <c r="B517" i="26"/>
  <c r="B516" i="26"/>
  <c r="B515" i="26"/>
  <c r="B514" i="26"/>
  <c r="B513" i="26"/>
  <c r="B512" i="26"/>
  <c r="B511" i="26"/>
  <c r="B510" i="26"/>
  <c r="B509" i="26"/>
  <c r="B508" i="26"/>
  <c r="B507" i="26"/>
  <c r="B506" i="26"/>
  <c r="B505" i="26"/>
  <c r="B504" i="26"/>
  <c r="B503" i="26"/>
  <c r="B502" i="26"/>
  <c r="B501" i="26"/>
  <c r="B500" i="26"/>
  <c r="B499" i="26"/>
  <c r="B498" i="26"/>
  <c r="B497" i="26"/>
  <c r="B496" i="26"/>
  <c r="B495" i="26"/>
  <c r="B494" i="26"/>
  <c r="B493" i="26"/>
  <c r="B492" i="26"/>
  <c r="B491" i="26"/>
  <c r="B490" i="26"/>
  <c r="B489" i="26"/>
  <c r="B488" i="26"/>
  <c r="B487" i="26"/>
  <c r="B486" i="26"/>
  <c r="B485" i="26"/>
  <c r="B484" i="26"/>
  <c r="B483" i="26"/>
  <c r="B482" i="26"/>
  <c r="B481" i="26"/>
  <c r="B480" i="26"/>
  <c r="B479" i="26"/>
  <c r="B478" i="26"/>
  <c r="B477" i="26"/>
  <c r="B476" i="26"/>
  <c r="B475" i="26"/>
  <c r="B474" i="26"/>
  <c r="B473" i="26"/>
  <c r="B472" i="26"/>
  <c r="B471" i="26"/>
  <c r="B470" i="26"/>
  <c r="B469" i="26"/>
  <c r="B468" i="26"/>
  <c r="B467" i="26"/>
  <c r="B466" i="26"/>
  <c r="B465" i="26"/>
  <c r="B464" i="26"/>
  <c r="B463" i="26"/>
  <c r="B462" i="26"/>
  <c r="B461" i="26"/>
  <c r="B460" i="26"/>
  <c r="B459" i="26"/>
  <c r="B458" i="26"/>
  <c r="B457" i="26"/>
  <c r="B456" i="26"/>
  <c r="B455" i="26"/>
  <c r="B454" i="26"/>
  <c r="B453" i="26"/>
  <c r="B452" i="26"/>
  <c r="B451" i="26"/>
  <c r="B450" i="26"/>
  <c r="B449" i="26"/>
  <c r="B448" i="26"/>
  <c r="B447" i="26"/>
  <c r="B446" i="26"/>
  <c r="B445" i="26"/>
  <c r="B444" i="26"/>
  <c r="B443" i="26"/>
  <c r="B442" i="26"/>
  <c r="B441" i="26"/>
  <c r="B440" i="26"/>
  <c r="B439" i="26"/>
  <c r="B438" i="26"/>
  <c r="B437" i="26"/>
  <c r="B436" i="26"/>
  <c r="B435" i="26"/>
  <c r="B434" i="26"/>
  <c r="B433" i="26"/>
  <c r="B432" i="26"/>
  <c r="B431" i="26"/>
  <c r="B430" i="26"/>
  <c r="B429" i="26"/>
  <c r="B428" i="26"/>
  <c r="B427" i="26"/>
  <c r="B426" i="26"/>
  <c r="B425" i="26"/>
  <c r="B424" i="26"/>
  <c r="B423" i="26"/>
  <c r="B422" i="26"/>
  <c r="B421" i="26"/>
  <c r="B420" i="26"/>
  <c r="B419" i="26"/>
  <c r="B418" i="26"/>
  <c r="B417" i="26"/>
  <c r="B416" i="26"/>
  <c r="B415" i="26"/>
  <c r="B414" i="26"/>
  <c r="B413" i="26"/>
  <c r="B412" i="26"/>
  <c r="B411" i="26"/>
  <c r="B410" i="26"/>
  <c r="B409" i="26"/>
  <c r="B408" i="26"/>
  <c r="B407" i="26"/>
  <c r="B406" i="26"/>
  <c r="B405" i="26"/>
  <c r="B404" i="26"/>
  <c r="B403" i="26"/>
  <c r="B402" i="26"/>
  <c r="B401" i="26"/>
  <c r="B400" i="26"/>
  <c r="B399" i="26"/>
  <c r="B398" i="26"/>
  <c r="B397" i="26"/>
  <c r="B396" i="26"/>
  <c r="B395" i="26"/>
  <c r="B394" i="26"/>
  <c r="B393" i="26"/>
  <c r="B392" i="26"/>
  <c r="B391" i="26"/>
  <c r="B390" i="26"/>
  <c r="B389" i="26"/>
  <c r="B388" i="26"/>
  <c r="B387" i="26"/>
  <c r="B386" i="26"/>
  <c r="B385" i="26"/>
  <c r="B384" i="26"/>
  <c r="B383" i="26"/>
  <c r="B382" i="26"/>
  <c r="B381" i="26"/>
  <c r="B380" i="26"/>
  <c r="B379" i="26"/>
  <c r="B378" i="26"/>
  <c r="B377" i="26"/>
  <c r="B376" i="26"/>
  <c r="B375" i="26"/>
  <c r="B374" i="26"/>
  <c r="B373" i="26"/>
  <c r="B372" i="26"/>
  <c r="B371" i="26"/>
  <c r="B370" i="26"/>
  <c r="B368" i="26"/>
  <c r="B367" i="26"/>
  <c r="B366" i="26"/>
  <c r="B365" i="26"/>
  <c r="B364" i="26"/>
  <c r="B363" i="26"/>
  <c r="B362" i="26"/>
  <c r="B361" i="26"/>
  <c r="B360" i="26"/>
  <c r="B359" i="26"/>
  <c r="B358" i="26"/>
  <c r="B357" i="26"/>
  <c r="B356" i="26"/>
  <c r="B355" i="26"/>
  <c r="B354" i="26"/>
  <c r="B353" i="26"/>
  <c r="B352" i="26"/>
  <c r="B351" i="26"/>
  <c r="B350" i="26"/>
  <c r="B349" i="26"/>
  <c r="B348" i="26"/>
  <c r="B347" i="26"/>
  <c r="B346" i="26"/>
  <c r="B345" i="26"/>
  <c r="B344" i="26"/>
  <c r="B343" i="26"/>
  <c r="B342" i="26"/>
  <c r="B341" i="26"/>
  <c r="B340" i="26"/>
  <c r="B339" i="26"/>
  <c r="B338" i="26"/>
  <c r="B337" i="26"/>
  <c r="B336" i="26"/>
  <c r="B335" i="26"/>
  <c r="B334" i="26"/>
  <c r="B333" i="26"/>
  <c r="B332" i="26"/>
  <c r="B331" i="26"/>
  <c r="B330" i="26"/>
  <c r="B329" i="26"/>
  <c r="B328" i="26"/>
  <c r="B327" i="26"/>
  <c r="B326" i="26"/>
  <c r="B325" i="26"/>
  <c r="B324" i="26"/>
  <c r="B323" i="26"/>
  <c r="B322" i="26"/>
  <c r="B321" i="26"/>
  <c r="B320" i="26"/>
  <c r="B319" i="26"/>
  <c r="B318" i="26"/>
  <c r="B317" i="26"/>
  <c r="B316" i="26"/>
  <c r="B315" i="26"/>
  <c r="B314" i="26"/>
  <c r="B313" i="26"/>
  <c r="B312" i="26"/>
  <c r="B311" i="26"/>
  <c r="B310" i="26"/>
  <c r="B309" i="26"/>
  <c r="B308" i="26"/>
  <c r="B307" i="26"/>
  <c r="B306" i="26"/>
  <c r="B305" i="26"/>
  <c r="B304" i="26"/>
  <c r="B303" i="26"/>
  <c r="B302" i="26"/>
  <c r="B301" i="26"/>
  <c r="B300" i="26"/>
  <c r="B299" i="26"/>
  <c r="B298" i="26"/>
  <c r="B297" i="26"/>
  <c r="B296" i="26"/>
  <c r="B295" i="26"/>
  <c r="B294" i="26"/>
  <c r="B293" i="26"/>
  <c r="B292" i="26"/>
  <c r="B291" i="26"/>
  <c r="B290" i="26"/>
  <c r="B289" i="26"/>
  <c r="B288" i="26"/>
  <c r="B287" i="26"/>
  <c r="B286" i="26"/>
  <c r="B285" i="26"/>
  <c r="B284" i="26"/>
  <c r="B283" i="26"/>
  <c r="B282" i="26"/>
  <c r="B281" i="26"/>
  <c r="B280" i="26"/>
  <c r="B279" i="26"/>
  <c r="B278" i="26"/>
  <c r="B277" i="26"/>
  <c r="B276" i="26"/>
  <c r="B275" i="26"/>
  <c r="B274" i="26"/>
  <c r="B273" i="26"/>
  <c r="B272" i="26"/>
  <c r="B271" i="26"/>
  <c r="B270" i="26"/>
  <c r="B269" i="26"/>
  <c r="B268" i="26"/>
  <c r="B267" i="26"/>
  <c r="B266" i="26"/>
  <c r="B265" i="26"/>
  <c r="B264" i="26"/>
  <c r="B263" i="26"/>
  <c r="B262" i="26"/>
  <c r="B261" i="26"/>
  <c r="B260" i="26"/>
  <c r="B259" i="26"/>
  <c r="B258" i="26"/>
  <c r="B257" i="26"/>
  <c r="B256" i="26"/>
  <c r="B255" i="26"/>
  <c r="B254" i="26"/>
  <c r="B253" i="26"/>
  <c r="B252" i="26"/>
  <c r="B251" i="26"/>
  <c r="B250" i="26"/>
  <c r="B249" i="26"/>
  <c r="B248" i="26"/>
  <c r="B247" i="26"/>
  <c r="B246" i="26"/>
  <c r="B245" i="26"/>
  <c r="B244" i="26"/>
  <c r="B243" i="26"/>
  <c r="B242" i="26"/>
  <c r="B241" i="26"/>
  <c r="B240" i="26"/>
  <c r="B239" i="26"/>
  <c r="B238" i="26"/>
  <c r="B237" i="26"/>
  <c r="B236" i="26"/>
  <c r="B235" i="26"/>
  <c r="B234" i="26"/>
  <c r="B233" i="26"/>
  <c r="B232" i="26"/>
  <c r="B231" i="26"/>
  <c r="B230" i="26"/>
  <c r="B229" i="26"/>
  <c r="B228" i="26"/>
  <c r="B227" i="26"/>
  <c r="B226" i="26"/>
  <c r="B225" i="26"/>
  <c r="B224" i="26"/>
  <c r="B223" i="26"/>
  <c r="B222" i="26"/>
  <c r="B221" i="26"/>
  <c r="B220" i="26"/>
  <c r="B219" i="26"/>
  <c r="B218" i="26"/>
  <c r="B217" i="26"/>
  <c r="B216" i="26"/>
  <c r="B215" i="26"/>
  <c r="B214" i="26"/>
  <c r="B213" i="26"/>
  <c r="B212" i="26"/>
  <c r="B211" i="26"/>
  <c r="B210" i="26"/>
  <c r="B209" i="26"/>
  <c r="B208" i="26"/>
  <c r="B207" i="26"/>
  <c r="B206" i="26"/>
  <c r="B205" i="26"/>
  <c r="B204" i="26"/>
  <c r="B203" i="26"/>
  <c r="B202" i="26"/>
  <c r="B201" i="26"/>
  <c r="B200" i="26"/>
  <c r="B199" i="26"/>
  <c r="B198" i="26"/>
  <c r="B197" i="26"/>
  <c r="B196" i="26"/>
  <c r="B195" i="26"/>
  <c r="B194" i="26"/>
  <c r="B193" i="26"/>
  <c r="B192" i="26"/>
  <c r="B191" i="26"/>
  <c r="B190" i="26"/>
  <c r="B189" i="26"/>
  <c r="B188" i="26"/>
  <c r="B187" i="26"/>
  <c r="B186" i="26"/>
  <c r="B185" i="26"/>
  <c r="B184" i="26"/>
  <c r="B183" i="26"/>
  <c r="B182" i="26"/>
  <c r="B181" i="26"/>
  <c r="B180" i="26"/>
  <c r="B179" i="26"/>
  <c r="B178" i="26"/>
  <c r="B177" i="26"/>
  <c r="B176" i="26"/>
  <c r="B175" i="26"/>
  <c r="B174" i="26"/>
  <c r="B173" i="26"/>
  <c r="B172" i="26"/>
  <c r="B171" i="26"/>
  <c r="B170" i="26"/>
  <c r="B169" i="26"/>
  <c r="B168" i="26"/>
  <c r="B167" i="26"/>
  <c r="B166" i="26"/>
  <c r="B165" i="26"/>
  <c r="B164" i="26"/>
  <c r="B163" i="26"/>
  <c r="B162" i="26"/>
  <c r="B161" i="26"/>
  <c r="B160" i="26"/>
  <c r="B159" i="26"/>
  <c r="B158" i="26"/>
  <c r="B157" i="26"/>
  <c r="B156" i="26"/>
  <c r="B155" i="26"/>
  <c r="B154" i="26"/>
  <c r="B153" i="26"/>
  <c r="B152" i="26"/>
  <c r="B151" i="26"/>
  <c r="B150" i="26"/>
  <c r="B149" i="26"/>
  <c r="B148" i="26"/>
  <c r="B147" i="26"/>
  <c r="B146" i="26"/>
  <c r="B145" i="26"/>
  <c r="B144" i="26"/>
  <c r="B143" i="26"/>
  <c r="B142" i="26"/>
  <c r="B141" i="26"/>
  <c r="B140" i="26"/>
  <c r="B139" i="26"/>
  <c r="B138" i="26"/>
  <c r="B137" i="26"/>
  <c r="B136" i="26"/>
  <c r="B135" i="26"/>
  <c r="B134" i="26"/>
  <c r="B133" i="26"/>
  <c r="B132" i="26"/>
  <c r="B131" i="26"/>
  <c r="B130" i="26"/>
  <c r="B128" i="26"/>
  <c r="B127" i="26"/>
  <c r="B126" i="26"/>
  <c r="B125" i="26"/>
  <c r="B124" i="26"/>
  <c r="B123" i="26"/>
  <c r="B122" i="26"/>
  <c r="B121" i="26"/>
  <c r="B120" i="26"/>
  <c r="B119" i="26"/>
  <c r="B118" i="26"/>
  <c r="B117" i="26"/>
  <c r="B116" i="26"/>
  <c r="B115" i="26"/>
  <c r="B114" i="26"/>
  <c r="B113" i="26"/>
  <c r="B112" i="26"/>
  <c r="B111" i="26"/>
  <c r="B110" i="26"/>
  <c r="B109" i="26"/>
  <c r="B108" i="26"/>
  <c r="B107" i="26"/>
  <c r="B106" i="26"/>
  <c r="B105" i="26"/>
  <c r="B104" i="26"/>
  <c r="B103" i="26"/>
  <c r="B102" i="26"/>
  <c r="B101" i="26"/>
  <c r="B100" i="26"/>
  <c r="B99" i="26"/>
  <c r="B98" i="26"/>
  <c r="B97" i="26"/>
  <c r="B96" i="26"/>
  <c r="B95" i="26"/>
  <c r="B94" i="26"/>
  <c r="B93" i="26"/>
  <c r="B92" i="26"/>
  <c r="B91" i="26"/>
  <c r="B90" i="26"/>
  <c r="B89" i="26"/>
  <c r="B88" i="26"/>
  <c r="B87" i="26"/>
  <c r="B86" i="26"/>
  <c r="B85" i="26"/>
  <c r="B84" i="26"/>
  <c r="B83" i="26"/>
  <c r="B82" i="26"/>
  <c r="B81" i="26"/>
  <c r="B80" i="26"/>
  <c r="B79" i="26"/>
  <c r="B78" i="26"/>
  <c r="B77" i="26"/>
  <c r="B76" i="26"/>
  <c r="B75" i="26"/>
  <c r="B74" i="26"/>
  <c r="B73" i="26"/>
  <c r="B72" i="26"/>
  <c r="B71" i="26"/>
  <c r="B70" i="26"/>
  <c r="B69" i="26"/>
  <c r="B68" i="26"/>
  <c r="B67" i="26"/>
  <c r="B66" i="26"/>
  <c r="B65" i="26"/>
  <c r="B64" i="26"/>
  <c r="B63" i="26"/>
  <c r="B62" i="26"/>
  <c r="B61" i="26"/>
  <c r="B60" i="26"/>
  <c r="B59" i="26"/>
  <c r="B58" i="26"/>
  <c r="B57" i="26"/>
  <c r="B56" i="26"/>
  <c r="B55" i="26"/>
  <c r="B54" i="26"/>
  <c r="B53" i="26"/>
  <c r="B52" i="26"/>
  <c r="B51" i="26"/>
  <c r="B50" i="26"/>
  <c r="B49" i="26"/>
  <c r="B48" i="26"/>
  <c r="B47" i="26"/>
  <c r="B46" i="26"/>
  <c r="B45" i="26"/>
  <c r="B44" i="26"/>
  <c r="B43" i="26"/>
  <c r="B42" i="26"/>
  <c r="B41" i="26"/>
  <c r="B40" i="26"/>
  <c r="B39" i="26"/>
  <c r="B38" i="26"/>
  <c r="B37" i="26"/>
  <c r="B36" i="26"/>
  <c r="B35" i="26"/>
  <c r="B34" i="26"/>
  <c r="B33" i="26"/>
  <c r="B32" i="26"/>
  <c r="B31" i="26"/>
  <c r="B30" i="26"/>
  <c r="B29" i="26"/>
  <c r="B28" i="26"/>
  <c r="B27" i="26"/>
  <c r="B26" i="26"/>
  <c r="B25" i="26"/>
  <c r="B24" i="26"/>
  <c r="B23" i="26"/>
  <c r="B22" i="26"/>
  <c r="B21" i="26"/>
  <c r="B20" i="26"/>
  <c r="B19" i="26"/>
  <c r="B18" i="26"/>
  <c r="B17" i="26"/>
  <c r="B16" i="26"/>
  <c r="B15" i="26"/>
  <c r="B14" i="26"/>
  <c r="B13" i="26"/>
  <c r="B12" i="26"/>
  <c r="B11" i="26"/>
  <c r="B10" i="26"/>
  <c r="B9" i="26"/>
  <c r="B8" i="26"/>
  <c r="B7" i="26"/>
  <c r="B6" i="26"/>
  <c r="B5" i="26"/>
</calcChain>
</file>

<file path=xl/sharedStrings.xml><?xml version="1.0" encoding="utf-8"?>
<sst xmlns="http://schemas.openxmlformats.org/spreadsheetml/2006/main" count="22633" uniqueCount="7362">
  <si>
    <t>梅田１丁目</t>
  </si>
  <si>
    <t>阿倍野筋３丁目</t>
  </si>
  <si>
    <t>東高津町</t>
  </si>
  <si>
    <t>海岸通２丁目</t>
  </si>
  <si>
    <t>浪速西４丁目</t>
  </si>
  <si>
    <t>矢田５丁目</t>
  </si>
  <si>
    <t>真法院町</t>
  </si>
  <si>
    <t>桜島２丁目</t>
  </si>
  <si>
    <t>大今里西３丁目</t>
  </si>
  <si>
    <t>森之宮２丁目</t>
  </si>
  <si>
    <t>日本橋１丁目</t>
  </si>
  <si>
    <t>海岸通１丁目</t>
  </si>
  <si>
    <t>網島町</t>
  </si>
  <si>
    <t>中之島４丁目</t>
  </si>
  <si>
    <t>天満橋１丁目</t>
  </si>
  <si>
    <t>法円坂１丁目</t>
  </si>
  <si>
    <t>北浜３丁目</t>
  </si>
  <si>
    <t>大手前４丁目</t>
  </si>
  <si>
    <t>馬場町</t>
  </si>
  <si>
    <t>南港北２丁目</t>
  </si>
  <si>
    <t>夕凪２丁目</t>
  </si>
  <si>
    <t>中津６丁目</t>
  </si>
  <si>
    <t>南港北１丁目</t>
  </si>
  <si>
    <t>上本町８丁目</t>
  </si>
  <si>
    <t>南港中６丁目</t>
  </si>
  <si>
    <t>玉出中１丁目</t>
  </si>
  <si>
    <t>十三東４丁目</t>
  </si>
  <si>
    <t>新喜多東１丁目</t>
  </si>
  <si>
    <t>曽根崎２丁目</t>
  </si>
  <si>
    <t>苅田１０丁目</t>
  </si>
  <si>
    <t>安立３丁目</t>
  </si>
  <si>
    <t>加美東６丁目</t>
  </si>
  <si>
    <t>林寺１丁目</t>
  </si>
  <si>
    <t>松１丁目</t>
  </si>
  <si>
    <t>桜川３丁目</t>
  </si>
  <si>
    <t>中開２丁目</t>
  </si>
  <si>
    <t>西淡路１丁目</t>
  </si>
  <si>
    <t>出城２丁目</t>
  </si>
  <si>
    <t>野田２丁目</t>
  </si>
  <si>
    <t>御幣島２丁目</t>
  </si>
  <si>
    <t>泉尾６丁目</t>
  </si>
  <si>
    <t>阿波座１丁目</t>
  </si>
  <si>
    <t>茨田大宮２丁目</t>
  </si>
  <si>
    <t>浪速西１丁目</t>
  </si>
  <si>
    <t>浪速東３丁目</t>
  </si>
  <si>
    <t>巽東２丁目</t>
  </si>
  <si>
    <t>鶴町２丁目</t>
  </si>
  <si>
    <t>千本北２丁目</t>
  </si>
  <si>
    <t>東中島２丁目</t>
  </si>
  <si>
    <t>中崎１丁目</t>
  </si>
  <si>
    <t>浪速西２丁目</t>
  </si>
  <si>
    <t>浪速東２丁目</t>
  </si>
  <si>
    <t>六万体町</t>
  </si>
  <si>
    <t>九条２丁目</t>
  </si>
  <si>
    <t>谷町６丁目</t>
  </si>
  <si>
    <t>王子町３丁目</t>
  </si>
  <si>
    <t>中加賀屋２丁目</t>
  </si>
  <si>
    <t>海老江２丁目</t>
  </si>
  <si>
    <t>玉出西２丁目</t>
  </si>
  <si>
    <t>十三元今里２丁目</t>
  </si>
  <si>
    <t>千林２丁目</t>
  </si>
  <si>
    <t>泉尾２丁目</t>
  </si>
  <si>
    <t>大淀中３丁目</t>
  </si>
  <si>
    <t>平野東２丁目</t>
  </si>
  <si>
    <t>放出東３丁目</t>
  </si>
  <si>
    <t>北田辺４丁目</t>
  </si>
  <si>
    <t>東野田町４丁目</t>
  </si>
  <si>
    <t>島屋４丁目</t>
  </si>
  <si>
    <t>住道矢田３丁目</t>
  </si>
  <si>
    <t>田中３丁目</t>
  </si>
  <si>
    <t>本町１丁目</t>
  </si>
  <si>
    <t>高殿６丁目</t>
  </si>
  <si>
    <t>岸里１丁目</t>
  </si>
  <si>
    <t>西九条６丁目</t>
  </si>
  <si>
    <t>浅香１丁目</t>
  </si>
  <si>
    <t>関目２丁目</t>
  </si>
  <si>
    <t>巽西１丁目</t>
  </si>
  <si>
    <t>桃谷３丁目</t>
  </si>
  <si>
    <t>島之内２丁目</t>
  </si>
  <si>
    <t>中野町５丁目</t>
  </si>
  <si>
    <t>都島本通４丁目</t>
  </si>
  <si>
    <t>公園南矢田４丁目</t>
  </si>
  <si>
    <t>東中本２丁目</t>
  </si>
  <si>
    <t>東淡路１丁目</t>
  </si>
  <si>
    <t>東中島４丁目</t>
  </si>
  <si>
    <t>吉野３丁目</t>
  </si>
  <si>
    <t>平野南４丁目</t>
  </si>
  <si>
    <t>中津３丁目</t>
  </si>
  <si>
    <t>十三東２丁目</t>
  </si>
  <si>
    <t>難波中３丁目</t>
  </si>
  <si>
    <t>松３丁目</t>
  </si>
  <si>
    <t>南港南５丁目</t>
  </si>
  <si>
    <t>野田４丁目</t>
  </si>
  <si>
    <t>今林１丁目</t>
  </si>
  <si>
    <t>野田１丁目</t>
  </si>
  <si>
    <t>北堀江４丁目</t>
  </si>
  <si>
    <t>中之島１丁目</t>
  </si>
  <si>
    <t>豊新１丁目</t>
  </si>
  <si>
    <t>扇町２丁目</t>
  </si>
  <si>
    <t>生江３丁目</t>
  </si>
  <si>
    <t>浅香２丁目</t>
  </si>
  <si>
    <t>帝塚山東５丁目</t>
  </si>
  <si>
    <t>長橋２丁目</t>
  </si>
  <si>
    <t>平野市町３丁目</t>
  </si>
  <si>
    <t>加島１丁目</t>
  </si>
  <si>
    <t>大国３丁目</t>
  </si>
  <si>
    <t>御崎７丁目</t>
  </si>
  <si>
    <t>北開２丁目</t>
  </si>
  <si>
    <t>長橋３丁目</t>
  </si>
  <si>
    <t>長橋１丁目</t>
  </si>
  <si>
    <t>浪速西３丁目</t>
  </si>
  <si>
    <t>上汐５丁目</t>
  </si>
  <si>
    <t>喜連西６丁目</t>
  </si>
  <si>
    <t>木津川２丁目</t>
  </si>
  <si>
    <t>旭町１丁目</t>
  </si>
  <si>
    <t>高殿７丁目</t>
  </si>
  <si>
    <t>照ケ丘矢田１丁目</t>
  </si>
  <si>
    <t>天満３丁目</t>
  </si>
  <si>
    <t>大宮１丁目</t>
  </si>
  <si>
    <t>津守３丁目</t>
  </si>
  <si>
    <t>花園南２丁目</t>
  </si>
  <si>
    <t>住道矢田１丁目</t>
  </si>
  <si>
    <t>玉津２丁目</t>
  </si>
  <si>
    <t>北江口２丁目</t>
  </si>
  <si>
    <t>堂山町</t>
  </si>
  <si>
    <t>三国東地区</t>
  </si>
  <si>
    <t>山崎町</t>
  </si>
  <si>
    <t>共立通１丁目</t>
  </si>
  <si>
    <t>我孫子４丁目</t>
  </si>
  <si>
    <t>筆ケ崎町</t>
  </si>
  <si>
    <t>西三国３丁目</t>
  </si>
  <si>
    <t>東心斎橋１丁目</t>
  </si>
  <si>
    <t>逢阪１丁目</t>
  </si>
  <si>
    <t>玉川４丁目</t>
  </si>
  <si>
    <t>瓦屋町１丁目</t>
  </si>
  <si>
    <t>長吉出戸１丁目</t>
  </si>
  <si>
    <t>松屋町住吉</t>
  </si>
  <si>
    <t>市岡元町１丁目</t>
  </si>
  <si>
    <t>平野本町４丁目</t>
  </si>
  <si>
    <t>泉尾１丁目</t>
  </si>
  <si>
    <t>姫里２丁目</t>
  </si>
  <si>
    <t>鴫野西２丁目</t>
  </si>
  <si>
    <t>市岡１丁目</t>
  </si>
  <si>
    <t>鶴町３丁目</t>
  </si>
  <si>
    <t>南恩加島３丁目</t>
  </si>
  <si>
    <t>波除６丁目</t>
  </si>
  <si>
    <t>西九条５丁目</t>
  </si>
  <si>
    <t>今福西２丁目</t>
  </si>
  <si>
    <t>梅香２丁目</t>
  </si>
  <si>
    <t>西今川４丁目</t>
  </si>
  <si>
    <t>柴谷２丁目</t>
  </si>
  <si>
    <t>万代６丁目</t>
  </si>
  <si>
    <t>春日出南１丁目</t>
  </si>
  <si>
    <t>諸口２丁目</t>
  </si>
  <si>
    <t>鴫野西４丁目</t>
  </si>
  <si>
    <t>蒲生町</t>
  </si>
  <si>
    <t>関目６丁目</t>
  </si>
  <si>
    <t>今福西３丁目</t>
  </si>
  <si>
    <t>東田辺３丁目</t>
  </si>
  <si>
    <t>北久宝寺町４丁目</t>
  </si>
  <si>
    <t>杭全２丁目</t>
  </si>
  <si>
    <t>千本中１丁目</t>
  </si>
  <si>
    <t>泉尾３丁目</t>
  </si>
  <si>
    <t>谷町２丁目</t>
  </si>
  <si>
    <t>佃２丁目</t>
  </si>
  <si>
    <t>中道４丁目</t>
  </si>
  <si>
    <t>天神橋７丁目</t>
  </si>
  <si>
    <t>三軒家東１丁目</t>
  </si>
  <si>
    <t>御崎３丁目</t>
  </si>
  <si>
    <t>中加賀屋１丁目</t>
  </si>
  <si>
    <t>中島１丁目</t>
  </si>
  <si>
    <t>朝日１丁目</t>
  </si>
  <si>
    <t>阪南町１丁目</t>
  </si>
  <si>
    <t>千本北１丁目</t>
  </si>
  <si>
    <t>北田辺６丁目</t>
  </si>
  <si>
    <t>緑３丁目</t>
  </si>
  <si>
    <t>糸屋町２丁目</t>
  </si>
  <si>
    <t>大今里南６丁目</t>
  </si>
  <si>
    <t>大今里西１丁目</t>
  </si>
  <si>
    <t>淡路５丁目</t>
  </si>
  <si>
    <t>清水５丁目</t>
  </si>
  <si>
    <t>高津３丁目</t>
  </si>
  <si>
    <t>南市岡３丁目</t>
  </si>
  <si>
    <t>西脇３丁目</t>
  </si>
  <si>
    <t>西脇１丁目</t>
  </si>
  <si>
    <t>泉２丁目</t>
  </si>
  <si>
    <t>曽根崎１丁目</t>
  </si>
  <si>
    <t>島屋町</t>
  </si>
  <si>
    <t>清水３丁目</t>
  </si>
  <si>
    <t>中本４丁目</t>
  </si>
  <si>
    <t>野田５丁目</t>
  </si>
  <si>
    <t>姫里１丁目</t>
  </si>
  <si>
    <t>阿倍野筋５丁目</t>
  </si>
  <si>
    <t>中宮１丁目</t>
  </si>
  <si>
    <t>太子橋１丁目</t>
  </si>
  <si>
    <t>天神橋１丁目</t>
  </si>
  <si>
    <t>新森７丁目</t>
  </si>
  <si>
    <t>森小路２丁目</t>
  </si>
  <si>
    <t>南安治川通２丁目</t>
  </si>
  <si>
    <t>恵美須東３丁目</t>
  </si>
  <si>
    <t>中浜町</t>
  </si>
  <si>
    <t>野里町</t>
  </si>
  <si>
    <t>勝山北４丁目</t>
  </si>
  <si>
    <t>西三国４丁目</t>
  </si>
  <si>
    <t>中浜３丁目</t>
  </si>
  <si>
    <t>片町２丁目</t>
  </si>
  <si>
    <t>井高野町</t>
  </si>
  <si>
    <t>高殿５丁目</t>
  </si>
  <si>
    <t>築港２丁目</t>
  </si>
  <si>
    <t>三先２丁目</t>
  </si>
  <si>
    <t>春日出南２丁目</t>
  </si>
  <si>
    <t>東加賀屋１丁目</t>
  </si>
  <si>
    <t>南堀江４丁目</t>
  </si>
  <si>
    <t>大和田１丁目</t>
  </si>
  <si>
    <t>南恩加島１丁目</t>
  </si>
  <si>
    <t>南船場１丁目</t>
  </si>
  <si>
    <t>玉津３丁目</t>
  </si>
  <si>
    <t>中之島３丁目</t>
  </si>
  <si>
    <t>十三本町１丁目</t>
  </si>
  <si>
    <t>下寺２丁目</t>
  </si>
  <si>
    <t>池島３丁目</t>
  </si>
  <si>
    <t>波除２丁目</t>
  </si>
  <si>
    <t>春日出北１丁目</t>
  </si>
  <si>
    <t>柴谷１丁目</t>
  </si>
  <si>
    <t>東粉浜３丁目</t>
  </si>
  <si>
    <t>中央１丁目</t>
  </si>
  <si>
    <t>永田３丁目</t>
  </si>
  <si>
    <t>鴫野西３丁目</t>
  </si>
  <si>
    <t>勝山北３丁目</t>
  </si>
  <si>
    <t>鶴橋３丁目</t>
  </si>
  <si>
    <t>南船場４丁目</t>
  </si>
  <si>
    <t>川口２丁目</t>
  </si>
  <si>
    <t>立売堀６丁目</t>
  </si>
  <si>
    <t>萩之茶屋２丁目</t>
  </si>
  <si>
    <t>玉出東２丁目</t>
  </si>
  <si>
    <t>千舟２丁目</t>
  </si>
  <si>
    <t>天神橋５丁目</t>
  </si>
  <si>
    <t>小林東３丁目</t>
  </si>
  <si>
    <t>中津１丁目</t>
  </si>
  <si>
    <t>西天満１丁目</t>
  </si>
  <si>
    <t>西天満２丁目</t>
  </si>
  <si>
    <t>堂島浜２丁目</t>
  </si>
  <si>
    <t>都島北通１丁目</t>
  </si>
  <si>
    <t>南本町１丁目</t>
  </si>
  <si>
    <t>東田辺２丁目</t>
  </si>
  <si>
    <t>杭全６丁目</t>
  </si>
  <si>
    <t>南久宝寺町１丁目</t>
  </si>
  <si>
    <t>平野町１丁目</t>
  </si>
  <si>
    <t>東小橋１丁目</t>
  </si>
  <si>
    <t>上新庄２丁目</t>
  </si>
  <si>
    <t>上本町西５丁目</t>
  </si>
  <si>
    <t>恵美須東１丁目</t>
  </si>
  <si>
    <t>赤川町</t>
  </si>
  <si>
    <t>今福南２丁目</t>
  </si>
  <si>
    <t>北畠２丁目</t>
  </si>
  <si>
    <t>南市岡１丁目</t>
  </si>
  <si>
    <t>伝法３丁目</t>
  </si>
  <si>
    <t>安立２丁目</t>
  </si>
  <si>
    <t>勝山南１丁目</t>
  </si>
  <si>
    <t>天下茶屋３丁目</t>
  </si>
  <si>
    <t>佃３丁目</t>
  </si>
  <si>
    <t>三軒家西２丁目</t>
  </si>
  <si>
    <t>北浜４丁目</t>
  </si>
  <si>
    <t>鶴見２丁目</t>
  </si>
  <si>
    <t>玉造元町</t>
  </si>
  <si>
    <t>片町１丁目</t>
  </si>
  <si>
    <t>南田辺１丁目</t>
  </si>
  <si>
    <t>杭全３丁目</t>
  </si>
  <si>
    <t>大今里３丁目</t>
  </si>
  <si>
    <t>下新庄３丁目</t>
  </si>
  <si>
    <t>玉川１丁目</t>
  </si>
  <si>
    <t>平野宮町２丁目</t>
  </si>
  <si>
    <t>野中北２丁目</t>
  </si>
  <si>
    <t>恵美須西３丁目</t>
  </si>
  <si>
    <t>花川２丁目</t>
  </si>
  <si>
    <t>今福南１丁目</t>
  </si>
  <si>
    <t>緑１丁目</t>
  </si>
  <si>
    <t>放出西１丁目</t>
  </si>
  <si>
    <t>島之内１丁目</t>
  </si>
  <si>
    <t>大手前３丁目</t>
  </si>
  <si>
    <t>靱本町１丁目</t>
  </si>
  <si>
    <t>海老江８丁目</t>
  </si>
  <si>
    <t>平野元町</t>
  </si>
  <si>
    <t>平野宮町１丁目</t>
  </si>
  <si>
    <t>十三本町３丁目</t>
  </si>
  <si>
    <t>日本橋５丁目</t>
  </si>
  <si>
    <t>日本橋４丁目</t>
  </si>
  <si>
    <t>蒲生２丁目</t>
  </si>
  <si>
    <t>波除５丁目</t>
  </si>
  <si>
    <t>港晴１丁目</t>
  </si>
  <si>
    <t>津守１丁目</t>
  </si>
  <si>
    <t>柴島２丁目</t>
  </si>
  <si>
    <t>神山町</t>
  </si>
  <si>
    <t>吉野４丁目</t>
  </si>
  <si>
    <t>花園北２丁目</t>
  </si>
  <si>
    <t>宮原１丁目</t>
  </si>
  <si>
    <t>中川２丁目</t>
  </si>
  <si>
    <t>古市３丁目</t>
  </si>
  <si>
    <t>大桐１丁目</t>
  </si>
  <si>
    <t>野田３丁目</t>
  </si>
  <si>
    <t>長吉長原東３丁目</t>
  </si>
  <si>
    <t>天神橋４丁目</t>
  </si>
  <si>
    <t>難波中１丁目</t>
  </si>
  <si>
    <t>恵美須西１丁目</t>
  </si>
  <si>
    <t>玉川２丁目</t>
  </si>
  <si>
    <t>南津守１丁目</t>
  </si>
  <si>
    <t>大宮５丁目</t>
  </si>
  <si>
    <t>西加賀屋４丁目</t>
  </si>
  <si>
    <t>横堤５丁目</t>
  </si>
  <si>
    <t>中之島５丁目</t>
  </si>
  <si>
    <t>野田６丁目</t>
  </si>
  <si>
    <t>大深町</t>
  </si>
  <si>
    <t>桜島３丁目</t>
  </si>
  <si>
    <t>千代崎３丁目</t>
  </si>
  <si>
    <t>天王寺町南１丁目</t>
  </si>
  <si>
    <t>瓜破１丁目</t>
  </si>
  <si>
    <t>長吉六反１丁目</t>
  </si>
  <si>
    <t>伝法５丁目</t>
  </si>
  <si>
    <t>鶴橋１丁目</t>
  </si>
  <si>
    <t>湊町２丁目</t>
  </si>
  <si>
    <t>湊町１丁目</t>
  </si>
  <si>
    <t>長吉出戸７丁目</t>
  </si>
  <si>
    <t>旭３丁目</t>
  </si>
  <si>
    <t>鶴見橋３丁目</t>
  </si>
  <si>
    <t>生野東２丁目</t>
  </si>
  <si>
    <t>今川２丁目</t>
  </si>
  <si>
    <t>海老江１丁目</t>
  </si>
  <si>
    <t>東中島３丁目</t>
  </si>
  <si>
    <t>南開２丁目</t>
  </si>
  <si>
    <t>北田辺１丁目</t>
  </si>
  <si>
    <t>矢田６丁目</t>
  </si>
  <si>
    <t>塩草３丁目</t>
  </si>
  <si>
    <t>北津守２丁目</t>
  </si>
  <si>
    <t>北津守３丁目</t>
  </si>
  <si>
    <t>天下茶屋北１丁目</t>
  </si>
  <si>
    <t>大桐４丁目</t>
  </si>
  <si>
    <t>長柄西１丁目</t>
  </si>
  <si>
    <t>菅原町</t>
  </si>
  <si>
    <t>萩之茶屋３丁目</t>
  </si>
  <si>
    <t>海道町</t>
  </si>
  <si>
    <t>加美北７丁目</t>
  </si>
  <si>
    <t>萩之茶屋１丁目</t>
  </si>
  <si>
    <t>西淡路２丁目</t>
  </si>
  <si>
    <t>四貫島２丁目</t>
  </si>
  <si>
    <t>北港白津２丁目</t>
  </si>
  <si>
    <t>北村３丁目</t>
  </si>
  <si>
    <t>三明町１丁目</t>
  </si>
  <si>
    <t>天神ノ森２丁目</t>
  </si>
  <si>
    <t>美章園３丁目</t>
  </si>
  <si>
    <t>小路３丁目</t>
  </si>
  <si>
    <t>加美西２丁目</t>
  </si>
  <si>
    <t>平野南３丁目</t>
  </si>
  <si>
    <t>立売堀１丁目</t>
  </si>
  <si>
    <t>豊新２丁目</t>
  </si>
  <si>
    <t>今林３丁目</t>
  </si>
  <si>
    <t>焼野１丁目</t>
  </si>
  <si>
    <t>姫島６丁目</t>
  </si>
  <si>
    <t>九条南１丁目</t>
  </si>
  <si>
    <t>泉１丁目</t>
  </si>
  <si>
    <t>西淡路５丁目</t>
  </si>
  <si>
    <t>島屋３丁目</t>
  </si>
  <si>
    <t>新高４丁目</t>
  </si>
  <si>
    <t>東上町</t>
  </si>
  <si>
    <t>長居公園</t>
  </si>
  <si>
    <t>南加賀屋３丁目</t>
  </si>
  <si>
    <t>帝塚山１丁目</t>
  </si>
  <si>
    <t>文の里３丁目</t>
  </si>
  <si>
    <t>井高野１丁目</t>
  </si>
  <si>
    <t>茨田大宮３丁目</t>
  </si>
  <si>
    <t>北加賀屋１丁目</t>
  </si>
  <si>
    <t>加美東１丁目</t>
  </si>
  <si>
    <t>我孫子東１丁目</t>
  </si>
  <si>
    <t>梅南１丁目</t>
  </si>
  <si>
    <t>成育５丁目</t>
  </si>
  <si>
    <t>喜連西３丁目</t>
  </si>
  <si>
    <t>喜連東３丁目</t>
  </si>
  <si>
    <t>西宮原１丁目</t>
  </si>
  <si>
    <t>靱本町３丁目</t>
  </si>
  <si>
    <t>弁天２丁目</t>
  </si>
  <si>
    <t>今市１丁目</t>
  </si>
  <si>
    <t>今津南１丁目</t>
  </si>
  <si>
    <t>山王１丁目</t>
  </si>
  <si>
    <t>御崎４丁目</t>
  </si>
  <si>
    <t>長池町</t>
  </si>
  <si>
    <t>中央２丁目</t>
  </si>
  <si>
    <t>諏訪４丁目</t>
  </si>
  <si>
    <t>長柄中１丁目</t>
  </si>
  <si>
    <t>小松１丁目</t>
  </si>
  <si>
    <t>菅原７丁目</t>
  </si>
  <si>
    <t>大和田２丁目</t>
  </si>
  <si>
    <t>福町２丁目</t>
  </si>
  <si>
    <t>小林西１丁目</t>
  </si>
  <si>
    <t>鶴町１丁目</t>
  </si>
  <si>
    <t>上本町西２丁目</t>
  </si>
  <si>
    <t>長吉出戸６丁目</t>
  </si>
  <si>
    <t>長吉六反４丁目</t>
  </si>
  <si>
    <t>長居西３丁目</t>
  </si>
  <si>
    <t>諸口５丁目</t>
  </si>
  <si>
    <t>帝塚山東２丁目</t>
  </si>
  <si>
    <t>天下茶屋東２丁目</t>
  </si>
  <si>
    <t>都島本通３丁目</t>
  </si>
  <si>
    <t>苅田４丁目</t>
  </si>
  <si>
    <t>田辺２丁目</t>
  </si>
  <si>
    <t>大今里南３丁目</t>
  </si>
  <si>
    <t>菅原４丁目</t>
  </si>
  <si>
    <t>天王寺町北３丁目</t>
  </si>
  <si>
    <t>諸口１丁目</t>
  </si>
  <si>
    <t>我孫子西１丁目</t>
  </si>
  <si>
    <t>浜口東２丁目</t>
  </si>
  <si>
    <t>今川７丁目</t>
  </si>
  <si>
    <t>西九条１丁目</t>
  </si>
  <si>
    <t>三国本町２丁目</t>
  </si>
  <si>
    <t>農人橋１丁目</t>
  </si>
  <si>
    <t>神路１丁目</t>
  </si>
  <si>
    <t>鴫野東２丁目</t>
  </si>
  <si>
    <t>淡路３丁目</t>
  </si>
  <si>
    <t>安田２丁目</t>
  </si>
  <si>
    <t>丸山通１丁目</t>
  </si>
  <si>
    <t>遠里小野２丁目</t>
  </si>
  <si>
    <t>八幡屋４丁目</t>
  </si>
  <si>
    <t>瓜破南１丁目</t>
  </si>
  <si>
    <t>江之子島１丁目</t>
  </si>
  <si>
    <t>喜連東５丁目</t>
  </si>
  <si>
    <t>北山町</t>
  </si>
  <si>
    <t>巽東４丁目</t>
  </si>
  <si>
    <t>長吉川辺３丁目</t>
  </si>
  <si>
    <t>本庄西２丁目</t>
  </si>
  <si>
    <t>吉野５丁目</t>
  </si>
  <si>
    <t>木川西４丁目</t>
  </si>
  <si>
    <t>恵美須東２丁目</t>
  </si>
  <si>
    <t>海老江６丁目</t>
  </si>
  <si>
    <t>背戸口１丁目</t>
  </si>
  <si>
    <t>清水丘３丁目</t>
  </si>
  <si>
    <t>友渕町１丁目</t>
  </si>
  <si>
    <t>川口３丁目</t>
  </si>
  <si>
    <t>毛馬町５丁目</t>
  </si>
  <si>
    <t>御幸町２丁目</t>
  </si>
  <si>
    <t>毛馬町４丁目</t>
  </si>
  <si>
    <t>阪南町５丁目</t>
  </si>
  <si>
    <t>岸里３丁目</t>
  </si>
  <si>
    <t>東中島５丁目</t>
  </si>
  <si>
    <t>四貫島１丁目</t>
  </si>
  <si>
    <t>西今川３丁目</t>
  </si>
  <si>
    <t>遠里小野１丁目</t>
  </si>
  <si>
    <t>中央３丁目</t>
  </si>
  <si>
    <t>菅原３丁目</t>
  </si>
  <si>
    <t>池田町</t>
  </si>
  <si>
    <t>勝山南４丁目</t>
  </si>
  <si>
    <t>本田３丁目</t>
  </si>
  <si>
    <t>都島本通２丁目</t>
  </si>
  <si>
    <t>相川２丁目</t>
  </si>
  <si>
    <t>大桐３丁目</t>
  </si>
  <si>
    <t>瑞光３丁目</t>
  </si>
  <si>
    <t>瑞光通６丁目</t>
  </si>
  <si>
    <t>大道南１丁目</t>
  </si>
  <si>
    <t>伝法４丁目</t>
  </si>
  <si>
    <t>関目３丁目</t>
  </si>
  <si>
    <t>酉島６丁目</t>
  </si>
  <si>
    <t>井高野３丁目</t>
  </si>
  <si>
    <t>東淡路２丁目</t>
  </si>
  <si>
    <t>新今里３丁目</t>
  </si>
  <si>
    <t>酉島１丁目</t>
  </si>
  <si>
    <t>加美鞍作１丁目</t>
  </si>
  <si>
    <t>弁天５丁目</t>
  </si>
  <si>
    <t>豊新４丁目</t>
  </si>
  <si>
    <t>本庄東１丁目</t>
  </si>
  <si>
    <t>同心１丁目</t>
  </si>
  <si>
    <t>墨江４丁目</t>
  </si>
  <si>
    <t>清水２丁目</t>
  </si>
  <si>
    <t>南河堀町</t>
  </si>
  <si>
    <t>日本橋３丁目</t>
  </si>
  <si>
    <t>都島南通１丁目</t>
  </si>
  <si>
    <t>新町４丁目</t>
  </si>
  <si>
    <t>千躰２丁目</t>
  </si>
  <si>
    <t>中野２丁目</t>
  </si>
  <si>
    <t>南住吉４丁目</t>
  </si>
  <si>
    <t>三軒家東２丁目</t>
  </si>
  <si>
    <t>東中島１丁目</t>
  </si>
  <si>
    <t>阪南町２丁目</t>
  </si>
  <si>
    <t>鶴見橋２丁目</t>
  </si>
  <si>
    <t>北津守４丁目</t>
  </si>
  <si>
    <t>住道矢田２丁目</t>
  </si>
  <si>
    <t>天王寺町北２丁目</t>
  </si>
  <si>
    <t>森ノ宮中央１丁目</t>
  </si>
  <si>
    <t>生野西２丁目</t>
  </si>
  <si>
    <t>赤川２丁目</t>
  </si>
  <si>
    <t>敷津西１丁目</t>
  </si>
  <si>
    <t>浮田２丁目</t>
  </si>
  <si>
    <t>今福西１丁目</t>
  </si>
  <si>
    <t>南住吉町２丁目</t>
  </si>
  <si>
    <t>巽北２丁目</t>
  </si>
  <si>
    <t>新高１丁目</t>
  </si>
  <si>
    <t>生野東４丁目</t>
  </si>
  <si>
    <t>今橋３丁目</t>
  </si>
  <si>
    <t>加美北４丁目</t>
  </si>
  <si>
    <t>鷺洲５丁目</t>
  </si>
  <si>
    <t>玉出中２丁目</t>
  </si>
  <si>
    <t>玉造１丁目</t>
  </si>
  <si>
    <t>上之宮町</t>
  </si>
  <si>
    <t>大今里１丁目</t>
  </si>
  <si>
    <t>東野田町１丁目</t>
  </si>
  <si>
    <t>三軒家西１丁目</t>
  </si>
  <si>
    <t>三先１丁目</t>
  </si>
  <si>
    <t>帝塚山西４丁目</t>
  </si>
  <si>
    <t>鴫野東３丁目</t>
  </si>
  <si>
    <t>松崎町３丁目</t>
  </si>
  <si>
    <t>餌差町</t>
  </si>
  <si>
    <t>生玉町</t>
  </si>
  <si>
    <t>西中島７丁目</t>
  </si>
  <si>
    <t>大和田４丁目</t>
  </si>
  <si>
    <t>天満１丁目</t>
  </si>
  <si>
    <t>大淀中４丁目</t>
  </si>
  <si>
    <t>長吉瓜破地区</t>
  </si>
  <si>
    <t>桃谷２丁目</t>
  </si>
  <si>
    <t>聖天下１丁目</t>
  </si>
  <si>
    <t>田川２丁目</t>
  </si>
  <si>
    <t>東小橋２丁目</t>
  </si>
  <si>
    <t>内久宝寺町２丁目</t>
  </si>
  <si>
    <t>南船場３丁目</t>
  </si>
  <si>
    <t>姫島１丁目</t>
  </si>
  <si>
    <t>粉浜１丁目</t>
  </si>
  <si>
    <t>中道２丁目</t>
  </si>
  <si>
    <t>墨江２丁目</t>
  </si>
  <si>
    <t>味原町</t>
  </si>
  <si>
    <t>歌島２丁目</t>
  </si>
  <si>
    <t>桜川４丁目</t>
  </si>
  <si>
    <t>長吉六反５丁目</t>
  </si>
  <si>
    <t>今津北１丁目</t>
  </si>
  <si>
    <t>千島３丁目</t>
  </si>
  <si>
    <t>立売堀４丁目</t>
  </si>
  <si>
    <t>池島２丁目</t>
  </si>
  <si>
    <t>相川３丁目</t>
  </si>
  <si>
    <t>今津中１丁目</t>
  </si>
  <si>
    <t>南港中５丁目</t>
  </si>
  <si>
    <t>小林東２丁目</t>
  </si>
  <si>
    <t>野江２丁目</t>
  </si>
  <si>
    <t>波除１丁目</t>
  </si>
  <si>
    <t>加美北５丁目</t>
  </si>
  <si>
    <t>玉出東１丁目</t>
  </si>
  <si>
    <t>古市１丁目</t>
  </si>
  <si>
    <t>池島１丁目</t>
  </si>
  <si>
    <t>平林南２丁目</t>
  </si>
  <si>
    <t>山之内４丁目</t>
  </si>
  <si>
    <t>諏訪３丁目</t>
  </si>
  <si>
    <t>成育１丁目</t>
  </si>
  <si>
    <t>新町２丁目</t>
  </si>
  <si>
    <t>港晴３丁目</t>
  </si>
  <si>
    <t>南港中２丁目</t>
  </si>
  <si>
    <t>大東町２丁目</t>
  </si>
  <si>
    <t>巽中１丁目</t>
  </si>
  <si>
    <t>築港１丁目</t>
  </si>
  <si>
    <t>中津２丁目</t>
  </si>
  <si>
    <t>中野４丁目</t>
  </si>
  <si>
    <t>林寺４丁目</t>
  </si>
  <si>
    <t>瓜破５丁目</t>
  </si>
  <si>
    <t>我孫子１丁目</t>
  </si>
  <si>
    <t>安立４丁目</t>
  </si>
  <si>
    <t>磯路２丁目</t>
  </si>
  <si>
    <t>横堤４丁目</t>
  </si>
  <si>
    <t>瓜破３丁目</t>
  </si>
  <si>
    <t>下新庄５丁目</t>
  </si>
  <si>
    <t>加美正覚寺２丁目</t>
  </si>
  <si>
    <t>加美南１丁目</t>
  </si>
  <si>
    <t>加美東２丁目</t>
  </si>
  <si>
    <t>苅田９丁目</t>
  </si>
  <si>
    <t>関目１丁目</t>
  </si>
  <si>
    <t>喜連６丁目</t>
  </si>
  <si>
    <t>橘３丁目</t>
  </si>
  <si>
    <t>日本橋西２丁目</t>
  </si>
  <si>
    <t>御幣島５丁目</t>
  </si>
  <si>
    <t>高見３丁目</t>
  </si>
  <si>
    <t>今津中３丁目</t>
  </si>
  <si>
    <t>阪南町３丁目</t>
  </si>
  <si>
    <t>西宮原２丁目</t>
  </si>
  <si>
    <t>梅香３丁目</t>
  </si>
  <si>
    <t>野中南２丁目</t>
  </si>
  <si>
    <t>塩草２丁目</t>
  </si>
  <si>
    <t>旭２丁目</t>
  </si>
  <si>
    <t>舎利寺１丁目</t>
  </si>
  <si>
    <t>加島４丁目</t>
  </si>
  <si>
    <t>淡路４丁目</t>
  </si>
  <si>
    <t>千代崎２丁目</t>
  </si>
  <si>
    <t>千本南２丁目</t>
  </si>
  <si>
    <t>中宮２丁目</t>
  </si>
  <si>
    <t>大和田５丁目</t>
  </si>
  <si>
    <t>鷹合１丁目</t>
  </si>
  <si>
    <t>長吉長原東２丁目</t>
  </si>
  <si>
    <t>南開１丁目</t>
  </si>
  <si>
    <t>塚本６丁目</t>
  </si>
  <si>
    <t>桃谷５丁目</t>
  </si>
  <si>
    <t>東小橋３丁目</t>
  </si>
  <si>
    <t>東中浜２丁目</t>
  </si>
  <si>
    <t>太子１丁目</t>
  </si>
  <si>
    <t>下寺３丁目</t>
  </si>
  <si>
    <t>本田１丁目</t>
  </si>
  <si>
    <t>八幡屋３丁目</t>
  </si>
  <si>
    <t>姫島４丁目</t>
  </si>
  <si>
    <t>浜口西３丁目</t>
  </si>
  <si>
    <t>平野本町１丁目</t>
  </si>
  <si>
    <t>豊里７丁目</t>
  </si>
  <si>
    <t>万代東４丁目</t>
  </si>
  <si>
    <t>毛馬町２丁目</t>
  </si>
  <si>
    <t>三国本町１丁目</t>
  </si>
  <si>
    <t>野里２丁目</t>
  </si>
  <si>
    <t>照ケ丘矢田２丁目</t>
  </si>
  <si>
    <t>矢田２丁目</t>
  </si>
  <si>
    <t>公園南矢田２丁目</t>
  </si>
  <si>
    <t>清水４丁目</t>
  </si>
  <si>
    <t>喜連東４丁目</t>
  </si>
  <si>
    <t>茨田大宮４丁目</t>
  </si>
  <si>
    <t>大野３丁目</t>
  </si>
  <si>
    <t>小松５丁目</t>
  </si>
  <si>
    <t>南津守２丁目</t>
  </si>
  <si>
    <t>大国２丁目</t>
  </si>
  <si>
    <t>新今里７丁目</t>
  </si>
  <si>
    <t>鶴町４丁目</t>
  </si>
  <si>
    <t>木川東４丁目</t>
  </si>
  <si>
    <t>十八条３丁目</t>
  </si>
  <si>
    <t>西中島３丁目</t>
  </si>
  <si>
    <t>中開１丁目</t>
  </si>
  <si>
    <t>伝法２丁目</t>
  </si>
  <si>
    <t>天下茶屋東１丁目</t>
  </si>
  <si>
    <t>中開３丁目</t>
  </si>
  <si>
    <t>築港４丁目</t>
  </si>
  <si>
    <t>常吉２丁目</t>
  </si>
  <si>
    <t>西住之江３丁目</t>
  </si>
  <si>
    <t>安立１丁目</t>
  </si>
  <si>
    <t>瓜破東４丁目</t>
  </si>
  <si>
    <t>山之内２丁目</t>
  </si>
  <si>
    <t>加美北８丁目</t>
  </si>
  <si>
    <t>苅田２丁目</t>
  </si>
  <si>
    <t>関目５丁目</t>
  </si>
  <si>
    <t>御幣島１丁目</t>
  </si>
  <si>
    <t>杭全１丁目</t>
  </si>
  <si>
    <t>中宮３丁目</t>
  </si>
  <si>
    <t>出城１丁目</t>
  </si>
  <si>
    <t>今川４丁目</t>
  </si>
  <si>
    <t>今林４丁目</t>
  </si>
  <si>
    <t>諏訪１丁目</t>
  </si>
  <si>
    <t>三津屋北３丁目</t>
  </si>
  <si>
    <t>山之内１丁目</t>
  </si>
  <si>
    <t>住之江２丁目</t>
  </si>
  <si>
    <t>十八条２丁目</t>
  </si>
  <si>
    <t>山坂５丁目</t>
  </si>
  <si>
    <t>上新庄３丁目</t>
  </si>
  <si>
    <t>今市２丁目</t>
  </si>
  <si>
    <t>野江４丁目</t>
  </si>
  <si>
    <t>新喜多東２丁目</t>
  </si>
  <si>
    <t>大宮３丁目</t>
  </si>
  <si>
    <t>杉本２丁目</t>
  </si>
  <si>
    <t>生江２丁目</t>
  </si>
  <si>
    <t>西長居町</t>
  </si>
  <si>
    <t>千躰１丁目</t>
  </si>
  <si>
    <t>善源寺町２丁目</t>
  </si>
  <si>
    <t>阿倍野筋４丁目</t>
  </si>
  <si>
    <t>大和田６丁目</t>
  </si>
  <si>
    <t>巽中２丁目</t>
  </si>
  <si>
    <t>道頓堀１丁目</t>
  </si>
  <si>
    <t>佃６丁目</t>
  </si>
  <si>
    <t>中川西１丁目</t>
  </si>
  <si>
    <t>鶴見１丁目</t>
  </si>
  <si>
    <t>庭井２丁目</t>
  </si>
  <si>
    <t>東三国６丁目</t>
  </si>
  <si>
    <t>新北島２丁目</t>
  </si>
  <si>
    <t>豊崎１丁目</t>
  </si>
  <si>
    <t>姫島２丁目</t>
  </si>
  <si>
    <t>平野北２丁目</t>
  </si>
  <si>
    <t>新森６丁目</t>
  </si>
  <si>
    <t>阿倍野元町</t>
  </si>
  <si>
    <t>長柄中２丁目</t>
  </si>
  <si>
    <t>公園南矢田３丁目</t>
  </si>
  <si>
    <t>同心２丁目</t>
  </si>
  <si>
    <t>上新庄１丁目</t>
  </si>
  <si>
    <t>焼野２丁目</t>
  </si>
  <si>
    <t>南津守５丁目</t>
  </si>
  <si>
    <t>松屋町</t>
  </si>
  <si>
    <t>岸里東２丁目</t>
  </si>
  <si>
    <t>大開４丁目</t>
  </si>
  <si>
    <t>文の里１丁目</t>
  </si>
  <si>
    <t>三明町２丁目</t>
  </si>
  <si>
    <t>諸口６丁目</t>
  </si>
  <si>
    <t>瓦屋町２丁目</t>
  </si>
  <si>
    <t>都島中通２丁目</t>
  </si>
  <si>
    <t>天満橋３丁目</t>
  </si>
  <si>
    <t>北加賀屋４丁目</t>
  </si>
  <si>
    <t>北港白津１丁目</t>
  </si>
  <si>
    <t>南江口３丁目</t>
  </si>
  <si>
    <t>森之宮１丁目</t>
  </si>
  <si>
    <t>福崎１丁目</t>
  </si>
  <si>
    <t>南港南１丁目</t>
  </si>
  <si>
    <t>戎本町２丁目</t>
  </si>
  <si>
    <t>出城３丁目</t>
  </si>
  <si>
    <t>安田４丁目</t>
  </si>
  <si>
    <t>瓜破西３丁目</t>
  </si>
  <si>
    <t>加美東３丁目</t>
  </si>
  <si>
    <t>加美西１丁目</t>
  </si>
  <si>
    <t>杭全７丁目</t>
  </si>
  <si>
    <t>出来島１丁目</t>
  </si>
  <si>
    <t>塩草１丁目</t>
  </si>
  <si>
    <t>西淡路４丁目</t>
  </si>
  <si>
    <t>中浜１丁目</t>
  </si>
  <si>
    <t>長吉出戸８丁目</t>
  </si>
  <si>
    <t>長吉六反３丁目</t>
  </si>
  <si>
    <t>歌島１丁目</t>
  </si>
  <si>
    <t>北江口３丁目</t>
  </si>
  <si>
    <t>木津川１丁目</t>
  </si>
  <si>
    <t>浪速東１丁目</t>
  </si>
  <si>
    <t>北津守１丁目</t>
  </si>
  <si>
    <t>菅原６丁目</t>
  </si>
  <si>
    <t>古市２丁目</t>
  </si>
  <si>
    <t>勝山２丁目</t>
  </si>
  <si>
    <t>東中島６丁目</t>
  </si>
  <si>
    <t>旭町３丁目</t>
  </si>
  <si>
    <t>旭町２丁目</t>
  </si>
  <si>
    <t>井高野４丁目</t>
  </si>
  <si>
    <t>井高野２丁目</t>
  </si>
  <si>
    <t>稲荷１丁目</t>
  </si>
  <si>
    <t>諸口３丁目</t>
  </si>
  <si>
    <t>中茶屋１丁目</t>
  </si>
  <si>
    <t>茨田大宮１丁目</t>
  </si>
  <si>
    <t>瓜破西１丁目</t>
  </si>
  <si>
    <t>瓜破東１丁目</t>
  </si>
  <si>
    <t>瓜破東２丁目</t>
  </si>
  <si>
    <t>横堤３丁目</t>
  </si>
  <si>
    <t>横堤１丁目</t>
  </si>
  <si>
    <t>下新庄４丁目</t>
  </si>
  <si>
    <t>加島２丁目</t>
  </si>
  <si>
    <t>加美東４丁目</t>
  </si>
  <si>
    <t>加美正覚寺３丁目</t>
  </si>
  <si>
    <t>加美北６丁目</t>
  </si>
  <si>
    <t>歌島４丁目</t>
  </si>
  <si>
    <t>我孫子５丁目</t>
  </si>
  <si>
    <t>我孫子東３丁目</t>
  </si>
  <si>
    <t>喜連７丁目</t>
  </si>
  <si>
    <t>喜連４丁目</t>
  </si>
  <si>
    <t>喜連東１丁目</t>
  </si>
  <si>
    <t>空清町</t>
  </si>
  <si>
    <t>御幸町１丁目</t>
  </si>
  <si>
    <t>御崎２丁目</t>
  </si>
  <si>
    <t>御崎６丁目</t>
  </si>
  <si>
    <t>御幣島６丁目</t>
  </si>
  <si>
    <t>御幣島４丁目</t>
  </si>
  <si>
    <t>御幣島３丁目</t>
  </si>
  <si>
    <t>高見１丁目</t>
  </si>
  <si>
    <t>伝法１丁目</t>
  </si>
  <si>
    <t>高殿３丁目</t>
  </si>
  <si>
    <t>高殿２丁目</t>
  </si>
  <si>
    <t>今津北２丁目</t>
  </si>
  <si>
    <t>今福東１丁目</t>
  </si>
  <si>
    <t>今福南４丁目</t>
  </si>
  <si>
    <t>中野町４丁目</t>
  </si>
  <si>
    <t>三津屋南１丁目</t>
  </si>
  <si>
    <t>出来島３丁目</t>
  </si>
  <si>
    <t>春日出北２丁目</t>
  </si>
  <si>
    <t>春日出北３丁目</t>
  </si>
  <si>
    <t>春日出中１丁目</t>
  </si>
  <si>
    <t>諸口４丁目</t>
  </si>
  <si>
    <t>徳庵１丁目</t>
  </si>
  <si>
    <t>烏ケ辻２丁目</t>
  </si>
  <si>
    <t>小宮町</t>
  </si>
  <si>
    <t>松崎町２丁目</t>
  </si>
  <si>
    <t>上住吉１丁目</t>
  </si>
  <si>
    <t>西宮原３丁目</t>
  </si>
  <si>
    <t>新北島４丁目</t>
  </si>
  <si>
    <t>新北島８丁目</t>
  </si>
  <si>
    <t>千舟３丁目</t>
  </si>
  <si>
    <t>瑞光２丁目</t>
  </si>
  <si>
    <t>瑞光５丁目</t>
  </si>
  <si>
    <t>瑞光４丁目</t>
  </si>
  <si>
    <t>杉本１丁目</t>
  </si>
  <si>
    <t>喜連西２丁目</t>
  </si>
  <si>
    <t>西九条２丁目</t>
  </si>
  <si>
    <t>西三国１丁目</t>
  </si>
  <si>
    <t>大桐２丁目</t>
  </si>
  <si>
    <t>赤川１丁目</t>
  </si>
  <si>
    <t>赤川３丁目</t>
  </si>
  <si>
    <t>千本中２丁目</t>
  </si>
  <si>
    <t>泉尾４丁目</t>
  </si>
  <si>
    <t>泉尾７丁目</t>
  </si>
  <si>
    <t>北恩加島１丁目</t>
  </si>
  <si>
    <t>泉尾５丁目</t>
  </si>
  <si>
    <t>大淀北１丁目</t>
  </si>
  <si>
    <t>大領５丁目</t>
  </si>
  <si>
    <t>大領４丁目</t>
  </si>
  <si>
    <t>久保吉２丁目</t>
  </si>
  <si>
    <t>北島１丁目</t>
  </si>
  <si>
    <t>淡路２丁目</t>
  </si>
  <si>
    <t>淡路１丁目</t>
  </si>
  <si>
    <t>長吉長原２丁目</t>
  </si>
  <si>
    <t>長吉東部地区</t>
  </si>
  <si>
    <t>長吉出戸２丁目</t>
  </si>
  <si>
    <t>長吉長原４丁目</t>
  </si>
  <si>
    <t>長吉長原西３丁目</t>
  </si>
  <si>
    <t>長吉長原西４丁目</t>
  </si>
  <si>
    <t>長吉長原東１丁目</t>
  </si>
  <si>
    <t>長居１丁目</t>
  </si>
  <si>
    <t>矢田１丁目</t>
  </si>
  <si>
    <t>長柄東３丁目</t>
  </si>
  <si>
    <t>長柄東２丁目</t>
  </si>
  <si>
    <t>佃４丁目</t>
  </si>
  <si>
    <t>鶴見４丁目</t>
  </si>
  <si>
    <t>田川北１丁目</t>
  </si>
  <si>
    <t>田中１丁目</t>
  </si>
  <si>
    <t>舎利寺２丁目</t>
  </si>
  <si>
    <t>都島南通２丁目</t>
  </si>
  <si>
    <t>島屋２丁目</t>
  </si>
  <si>
    <t>東三国３丁目</t>
  </si>
  <si>
    <t>東淡路３丁目</t>
  </si>
  <si>
    <t>東淡路４丁目</t>
  </si>
  <si>
    <t>長居東３丁目</t>
  </si>
  <si>
    <t>長居東４丁目</t>
  </si>
  <si>
    <t>堂ケ芝２丁目</t>
  </si>
  <si>
    <t>徳庵２丁目</t>
  </si>
  <si>
    <t>酉島４丁目</t>
  </si>
  <si>
    <t>内代町４丁目</t>
  </si>
  <si>
    <t>南江口２丁目</t>
  </si>
  <si>
    <t>南江口１丁目</t>
  </si>
  <si>
    <t>南港東１丁目</t>
  </si>
  <si>
    <t>南住吉３丁目</t>
  </si>
  <si>
    <t>南住吉２丁目</t>
  </si>
  <si>
    <t>南住吉１丁目</t>
  </si>
  <si>
    <t>南津守６丁目</t>
  </si>
  <si>
    <t>南田辺５丁目</t>
  </si>
  <si>
    <t>日本橋東３丁目</t>
  </si>
  <si>
    <t>柏里３丁目</t>
  </si>
  <si>
    <t>八幡屋２丁目</t>
  </si>
  <si>
    <t>港晴２丁目</t>
  </si>
  <si>
    <t>御崎５丁目</t>
  </si>
  <si>
    <t>敷津東３丁目</t>
  </si>
  <si>
    <t>平野上町１丁目</t>
  </si>
  <si>
    <t>放出西３丁目</t>
  </si>
  <si>
    <t>放出東２丁目</t>
  </si>
  <si>
    <t>豊崎５丁目</t>
  </si>
  <si>
    <t>豊崎７丁目</t>
  </si>
  <si>
    <t>豊里５丁目</t>
  </si>
  <si>
    <t>北加賀屋５丁目</t>
  </si>
  <si>
    <t>北開１丁目</t>
  </si>
  <si>
    <t>喜連西１丁目</t>
  </si>
  <si>
    <t>北村２丁目</t>
  </si>
  <si>
    <t>大桐５丁目</t>
  </si>
  <si>
    <t>北畠３丁目</t>
  </si>
  <si>
    <t>西淡路６丁目</t>
  </si>
  <si>
    <t>万代２丁目</t>
  </si>
  <si>
    <t>毛馬町１丁目</t>
  </si>
  <si>
    <t>木川西３丁目</t>
  </si>
  <si>
    <t>木川東３丁目</t>
  </si>
  <si>
    <t>野江１丁目</t>
  </si>
  <si>
    <t>野中北１丁目</t>
  </si>
  <si>
    <t>緑木１丁目</t>
  </si>
  <si>
    <t>緑木２丁目</t>
  </si>
  <si>
    <t>久保吉１丁目</t>
  </si>
  <si>
    <t>今福東３丁目</t>
  </si>
  <si>
    <t>瓜破東８丁目</t>
  </si>
  <si>
    <t>横堤２丁目</t>
  </si>
  <si>
    <t>歌島３丁目</t>
  </si>
  <si>
    <t>太子橋３丁目</t>
  </si>
  <si>
    <t>今福東２丁目</t>
  </si>
  <si>
    <t>住之江３丁目</t>
  </si>
  <si>
    <t>小松４丁目</t>
  </si>
  <si>
    <t>中宮５丁目</t>
  </si>
  <si>
    <t>菅原１丁目</t>
  </si>
  <si>
    <t>西中島２丁目</t>
  </si>
  <si>
    <t>酉島３丁目</t>
  </si>
  <si>
    <t>内代町２丁目</t>
  </si>
  <si>
    <t>豊新５丁目</t>
  </si>
  <si>
    <t>北江口１丁目</t>
  </si>
  <si>
    <t>公園南矢田１丁目</t>
  </si>
  <si>
    <t>長居西１丁目</t>
  </si>
  <si>
    <t>本庄東３丁目</t>
  </si>
  <si>
    <t>瓜破２丁目</t>
  </si>
  <si>
    <t>上町</t>
  </si>
  <si>
    <t>弁天１丁目</t>
  </si>
  <si>
    <t>天神橋６丁目</t>
  </si>
  <si>
    <t>京町堀１丁目</t>
  </si>
  <si>
    <t>堀越町</t>
  </si>
  <si>
    <t>大野１丁目</t>
  </si>
  <si>
    <t>平尾１丁目</t>
  </si>
  <si>
    <t>天神橋３丁目</t>
  </si>
  <si>
    <t>長柄中３丁目</t>
  </si>
  <si>
    <t>磯路３丁目</t>
  </si>
  <si>
    <t>元町１丁目</t>
  </si>
  <si>
    <t>西中島６丁目</t>
  </si>
  <si>
    <t>平林南１丁目</t>
  </si>
  <si>
    <t>九条南３丁目</t>
  </si>
  <si>
    <t>平尾２丁目</t>
  </si>
  <si>
    <t>中津７丁目</t>
  </si>
  <si>
    <t>磯路１丁目</t>
  </si>
  <si>
    <t>柴島１丁目</t>
  </si>
  <si>
    <t>長吉長原３丁目</t>
  </si>
  <si>
    <t>上本町９丁目</t>
  </si>
  <si>
    <t>聖天下２丁目</t>
  </si>
  <si>
    <t>北村１丁目</t>
  </si>
  <si>
    <t>上本町６丁目</t>
  </si>
  <si>
    <t>松２丁目</t>
  </si>
  <si>
    <t>日本橋東２丁目</t>
  </si>
  <si>
    <t>松虫通１丁目</t>
  </si>
  <si>
    <t>阿倍野筋１丁目</t>
  </si>
  <si>
    <t>西三国２丁目</t>
  </si>
  <si>
    <t>勝山南３丁目</t>
  </si>
  <si>
    <t>生野東３丁目</t>
  </si>
  <si>
    <t>生野東１丁目</t>
  </si>
  <si>
    <t>長居３丁目</t>
  </si>
  <si>
    <t>安治川２丁目</t>
  </si>
  <si>
    <t>下新庄２丁目</t>
  </si>
  <si>
    <t>天王寺町南３丁目</t>
  </si>
  <si>
    <t>駒川３丁目</t>
  </si>
  <si>
    <t>遠里小野３丁目</t>
  </si>
  <si>
    <t>新喜多１丁目</t>
  </si>
  <si>
    <t>豊里１丁目</t>
  </si>
  <si>
    <t>海老江７丁目</t>
  </si>
  <si>
    <t>十八条１丁目</t>
  </si>
  <si>
    <t>本町４丁目</t>
  </si>
  <si>
    <t>淡路町３丁目</t>
  </si>
  <si>
    <t>深江北２丁目</t>
  </si>
  <si>
    <t>豊崎６丁目</t>
  </si>
  <si>
    <t>諏訪２丁目</t>
  </si>
  <si>
    <t>小路東４丁目</t>
  </si>
  <si>
    <t>住道矢田５丁目</t>
  </si>
  <si>
    <t>苅田６丁目</t>
  </si>
  <si>
    <t>長吉長原西１丁目</t>
  </si>
  <si>
    <t>内代町３丁目</t>
  </si>
  <si>
    <t>北浜東</t>
  </si>
  <si>
    <t>今津北５丁目</t>
  </si>
  <si>
    <t>法円坂２丁目</t>
  </si>
  <si>
    <t>潮路２丁目</t>
  </si>
  <si>
    <t>桜川１丁目</t>
  </si>
  <si>
    <t>平野本町２丁目</t>
  </si>
  <si>
    <t>田島２丁目</t>
  </si>
  <si>
    <t>都島本通１丁目</t>
  </si>
  <si>
    <t>杭全５丁目</t>
  </si>
  <si>
    <t>東中本３丁目</t>
  </si>
  <si>
    <t>国分寺１丁目</t>
  </si>
  <si>
    <t>矢田３丁目</t>
  </si>
  <si>
    <t>海岸通４丁目</t>
  </si>
  <si>
    <t>南津守７丁目</t>
  </si>
  <si>
    <t>背戸口３丁目</t>
  </si>
  <si>
    <t>西田辺町２丁目</t>
  </si>
  <si>
    <t>扇町１丁目</t>
  </si>
  <si>
    <t>長吉長原１丁目</t>
  </si>
  <si>
    <t>深江南３丁目</t>
  </si>
  <si>
    <t>巽北４丁目</t>
  </si>
  <si>
    <t>千代崎１丁目</t>
  </si>
  <si>
    <t>三軒家東４丁目</t>
  </si>
  <si>
    <t>難波１丁目</t>
  </si>
  <si>
    <t>小橋町</t>
  </si>
  <si>
    <t>大今里西２丁目</t>
  </si>
  <si>
    <t>吉野１丁目</t>
  </si>
  <si>
    <t>中之島６丁目</t>
  </si>
  <si>
    <t>万代東３丁目</t>
  </si>
  <si>
    <t>船場中央２丁目</t>
  </si>
  <si>
    <t>中本１丁目</t>
  </si>
  <si>
    <t>福崎２丁目</t>
  </si>
  <si>
    <t>島屋６丁目</t>
  </si>
  <si>
    <t>中島２丁目</t>
  </si>
  <si>
    <t>千島２丁目</t>
  </si>
  <si>
    <t>大道１丁目</t>
  </si>
  <si>
    <t>今川８丁目</t>
  </si>
  <si>
    <t>玉津１丁目</t>
  </si>
  <si>
    <t>福島６丁目</t>
  </si>
  <si>
    <t>梅田３丁目</t>
  </si>
  <si>
    <t>西中島５丁目</t>
  </si>
  <si>
    <t>恵美須町１丁目</t>
  </si>
  <si>
    <t>西住之江１丁目</t>
  </si>
  <si>
    <t>柏里２丁目</t>
  </si>
  <si>
    <t>北港１丁目</t>
  </si>
  <si>
    <t>巽中４丁目</t>
  </si>
  <si>
    <t>桑津３丁目</t>
  </si>
  <si>
    <t>長吉六反２丁目</t>
  </si>
  <si>
    <t>境川１丁目</t>
  </si>
  <si>
    <t>西九条３丁目</t>
  </si>
  <si>
    <t>石田１丁目</t>
  </si>
  <si>
    <t>天満橋京町</t>
  </si>
  <si>
    <t>上本町３丁目</t>
  </si>
  <si>
    <t>内本町１丁目</t>
  </si>
  <si>
    <t>北浜１丁目</t>
  </si>
  <si>
    <t>上汐３丁目</t>
  </si>
  <si>
    <t>北堀江２丁目</t>
  </si>
  <si>
    <t>谷町１丁目</t>
  </si>
  <si>
    <t>新町３丁目</t>
  </si>
  <si>
    <t>難波２丁目</t>
  </si>
  <si>
    <t>吉野２丁目</t>
  </si>
  <si>
    <t>九条南４丁目</t>
  </si>
  <si>
    <t>安土町３丁目</t>
  </si>
  <si>
    <t>南炭屋町</t>
  </si>
  <si>
    <t>北田辺３丁目</t>
  </si>
  <si>
    <t>長居４丁目</t>
  </si>
  <si>
    <t>上本町西１丁目</t>
  </si>
  <si>
    <t>林寺３丁目</t>
  </si>
  <si>
    <t>加美正覚寺４丁目</t>
  </si>
  <si>
    <t>大手前１丁目</t>
  </si>
  <si>
    <t>生野西４丁目</t>
  </si>
  <si>
    <t>南加賀屋４丁目</t>
  </si>
  <si>
    <t>三津屋南３丁目</t>
  </si>
  <si>
    <t>住吉１丁目</t>
  </si>
  <si>
    <t>田島５丁目</t>
  </si>
  <si>
    <t>遠里小野７丁目</t>
  </si>
  <si>
    <t>立売堀２丁目</t>
  </si>
  <si>
    <t>北堀江３丁目</t>
  </si>
  <si>
    <t>杭全８丁目</t>
  </si>
  <si>
    <t>桜川２丁目</t>
  </si>
  <si>
    <t>大道３丁目</t>
  </si>
  <si>
    <t>大淀南３丁目</t>
  </si>
  <si>
    <t>瓜破７丁目</t>
  </si>
  <si>
    <t>瓜破東６丁目</t>
  </si>
  <si>
    <t>瓜破６丁目</t>
  </si>
  <si>
    <t>瓜破西２丁目</t>
  </si>
  <si>
    <t>瓜破南２丁目</t>
  </si>
  <si>
    <t>永田４丁目</t>
  </si>
  <si>
    <t>玉造２丁目</t>
  </si>
  <si>
    <t>清水丘２丁目</t>
  </si>
  <si>
    <t>遠里小野５丁目</t>
  </si>
  <si>
    <t>下新庄１丁目</t>
  </si>
  <si>
    <t>福島４丁目</t>
  </si>
  <si>
    <t>中加賀屋３丁目</t>
  </si>
  <si>
    <t>加島３丁目</t>
  </si>
  <si>
    <t>加美東５丁目</t>
  </si>
  <si>
    <t>花園北１丁目</t>
  </si>
  <si>
    <t>柏里１丁目</t>
  </si>
  <si>
    <t>我孫子東２丁目</t>
  </si>
  <si>
    <t>海老江３丁目</t>
  </si>
  <si>
    <t>蒲生３丁目</t>
  </si>
  <si>
    <t>関目４丁目</t>
  </si>
  <si>
    <t>岸里２丁目</t>
  </si>
  <si>
    <t>喜連２丁目</t>
  </si>
  <si>
    <t>喜連西５丁目</t>
  </si>
  <si>
    <t>喜連東２丁目</t>
  </si>
  <si>
    <t>北久宝寺町３丁目</t>
  </si>
  <si>
    <t>東野田町２丁目</t>
  </si>
  <si>
    <t>玉出西１丁目</t>
  </si>
  <si>
    <t>九条南２丁目</t>
  </si>
  <si>
    <t>駒川２丁目</t>
  </si>
  <si>
    <t>駒川１丁目</t>
  </si>
  <si>
    <t>桑津４丁目</t>
  </si>
  <si>
    <t>桑津１丁目</t>
  </si>
  <si>
    <t>矢田７丁目</t>
  </si>
  <si>
    <t>御崎１丁目</t>
  </si>
  <si>
    <t>幸町３丁目</t>
  </si>
  <si>
    <t>上町１丁目</t>
  </si>
  <si>
    <t>杭全４丁目</t>
  </si>
  <si>
    <t>港晴４丁目</t>
  </si>
  <si>
    <t>南堀江２丁目</t>
  </si>
  <si>
    <t>高津１丁目</t>
  </si>
  <si>
    <t>高殿１丁目</t>
  </si>
  <si>
    <t>国分町</t>
  </si>
  <si>
    <t>黒崎町</t>
  </si>
  <si>
    <t>日本橋２丁目</t>
  </si>
  <si>
    <t>春日出南３丁目</t>
  </si>
  <si>
    <t>今津中２丁目</t>
  </si>
  <si>
    <t>今津北４丁目</t>
  </si>
  <si>
    <t>今津南３丁目</t>
  </si>
  <si>
    <t>大今里南１丁目</t>
  </si>
  <si>
    <t>永田２丁目</t>
  </si>
  <si>
    <t>玉造本町</t>
  </si>
  <si>
    <t>中崎西１丁目</t>
  </si>
  <si>
    <t>平野市町１丁目</t>
  </si>
  <si>
    <t>王子町４丁目</t>
  </si>
  <si>
    <t>深江北１丁目</t>
  </si>
  <si>
    <t>中野町１丁目</t>
  </si>
  <si>
    <t>東野田町５丁目</t>
  </si>
  <si>
    <t>三国本町３丁目</t>
  </si>
  <si>
    <t>三津屋南２丁目</t>
  </si>
  <si>
    <t>三津屋北１丁目</t>
  </si>
  <si>
    <t>豊里２丁目</t>
  </si>
  <si>
    <t>山坂２丁目</t>
  </si>
  <si>
    <t>山之内５丁目</t>
  </si>
  <si>
    <t>市岡元町３丁目</t>
  </si>
  <si>
    <t>市岡４丁目</t>
  </si>
  <si>
    <t>市岡元町２丁目</t>
  </si>
  <si>
    <t>寺田町１丁目</t>
  </si>
  <si>
    <t>鴫野東１丁目</t>
  </si>
  <si>
    <t>柴島３丁目</t>
  </si>
  <si>
    <t>舎利寺３丁目</t>
  </si>
  <si>
    <t>鷹合２丁目</t>
  </si>
  <si>
    <t>中加賀屋４丁目</t>
  </si>
  <si>
    <t>十三元今里１丁目</t>
  </si>
  <si>
    <t>戎本町１丁目</t>
  </si>
  <si>
    <t>長吉出戸５丁目</t>
  </si>
  <si>
    <t>勝山北１丁目</t>
  </si>
  <si>
    <t>小松２丁目</t>
  </si>
  <si>
    <t>恩加島附近</t>
  </si>
  <si>
    <t>小林西２丁目</t>
  </si>
  <si>
    <t>小路東２丁目</t>
  </si>
  <si>
    <t>小路２丁目</t>
  </si>
  <si>
    <t>上汐４丁目</t>
  </si>
  <si>
    <t>上本町７丁目</t>
  </si>
  <si>
    <t>上住吉２丁目</t>
  </si>
  <si>
    <t>姫里３丁目</t>
  </si>
  <si>
    <t>福島７丁目</t>
  </si>
  <si>
    <t>城見１丁目</t>
  </si>
  <si>
    <t>新今里６丁目</t>
  </si>
  <si>
    <t>新今里２丁目</t>
  </si>
  <si>
    <t>新森４丁目</t>
  </si>
  <si>
    <t>新森１丁目</t>
  </si>
  <si>
    <t>新森３丁目</t>
  </si>
  <si>
    <t>新町１丁目</t>
  </si>
  <si>
    <t>新北島５丁目</t>
  </si>
  <si>
    <t>新北島７丁目</t>
  </si>
  <si>
    <t>新北島３丁目</t>
  </si>
  <si>
    <t>新北野３丁目</t>
  </si>
  <si>
    <t>森小路１丁目</t>
  </si>
  <si>
    <t>真田山町</t>
  </si>
  <si>
    <t>菅原２丁目</t>
  </si>
  <si>
    <t>菅栄町</t>
  </si>
  <si>
    <t>成育３丁目</t>
  </si>
  <si>
    <t>相生通２丁目</t>
  </si>
  <si>
    <t>北畠１丁目</t>
  </si>
  <si>
    <t>清水谷町</t>
  </si>
  <si>
    <t>生江１丁目</t>
  </si>
  <si>
    <t>生野西３丁目</t>
  </si>
  <si>
    <t>松虫通３丁目</t>
  </si>
  <si>
    <t>西加賀屋３丁目</t>
  </si>
  <si>
    <t>西九条４丁目</t>
  </si>
  <si>
    <t>潮路１丁目</t>
  </si>
  <si>
    <t>西住之江２丁目</t>
  </si>
  <si>
    <t>深江南１丁目</t>
  </si>
  <si>
    <t>西淡路３丁目</t>
  </si>
  <si>
    <t>西天満５丁目</t>
  </si>
  <si>
    <t>梅田２丁目</t>
  </si>
  <si>
    <t>放出西２丁目</t>
  </si>
  <si>
    <t>出来島２丁目</t>
  </si>
  <si>
    <t>西脇２丁目</t>
  </si>
  <si>
    <t>石ケ辻町</t>
  </si>
  <si>
    <t>赤川４丁目</t>
  </si>
  <si>
    <t>永田１丁目</t>
  </si>
  <si>
    <t>千島１丁目</t>
  </si>
  <si>
    <t>善源寺町１丁目</t>
  </si>
  <si>
    <t>太子橋２丁目</t>
  </si>
  <si>
    <t>大開１丁目</t>
  </si>
  <si>
    <t>下寺町２丁目</t>
  </si>
  <si>
    <t>大今里４丁目</t>
  </si>
  <si>
    <t>大今里南４丁目</t>
  </si>
  <si>
    <t>大阪城</t>
  </si>
  <si>
    <t>文の里４丁目</t>
  </si>
  <si>
    <t>大道５丁目</t>
  </si>
  <si>
    <t>大道４丁目</t>
  </si>
  <si>
    <t>大隅１丁目</t>
  </si>
  <si>
    <t>大淀北２丁目</t>
  </si>
  <si>
    <t>大淀中５丁目</t>
  </si>
  <si>
    <t>大淀中１丁目</t>
  </si>
  <si>
    <t>大淀南１丁目</t>
  </si>
  <si>
    <t>鷹合４丁目</t>
  </si>
  <si>
    <t>天満４丁目</t>
  </si>
  <si>
    <t>巽東１丁目</t>
  </si>
  <si>
    <t>巽西３丁目</t>
  </si>
  <si>
    <t>巽西４丁目</t>
  </si>
  <si>
    <t>巽中３丁目</t>
  </si>
  <si>
    <t>巽東３丁目</t>
  </si>
  <si>
    <t>巽南１丁目</t>
  </si>
  <si>
    <t>巽北１丁目</t>
  </si>
  <si>
    <t>和泉町１丁目</t>
  </si>
  <si>
    <t>竹島３丁目</t>
  </si>
  <si>
    <t>竹島５丁目</t>
  </si>
  <si>
    <t>中川６丁目</t>
  </si>
  <si>
    <t>中川西２丁目</t>
  </si>
  <si>
    <t>中川東２丁目</t>
  </si>
  <si>
    <t>中川５丁目</t>
  </si>
  <si>
    <t>中津５丁目</t>
  </si>
  <si>
    <t>中之島２丁目</t>
  </si>
  <si>
    <t>中浜２丁目</t>
  </si>
  <si>
    <t>中野１丁目</t>
  </si>
  <si>
    <t>中野町３丁目</t>
  </si>
  <si>
    <t>長居東１丁目</t>
  </si>
  <si>
    <t>長柄西２丁目</t>
  </si>
  <si>
    <t>長柄東１丁目</t>
  </si>
  <si>
    <t>津守２丁目</t>
  </si>
  <si>
    <t>塚本４丁目</t>
  </si>
  <si>
    <t>塚本１丁目</t>
  </si>
  <si>
    <t>佃５丁目</t>
  </si>
  <si>
    <t>鶴橋２丁目</t>
  </si>
  <si>
    <t>鶴見橋１丁目</t>
  </si>
  <si>
    <t>緑地公園</t>
  </si>
  <si>
    <t>帝塚山西２丁目</t>
  </si>
  <si>
    <t>茶臼山町</t>
  </si>
  <si>
    <t>東中浜７丁目</t>
  </si>
  <si>
    <t>岸里東１丁目</t>
  </si>
  <si>
    <t>天神ノ森１丁目</t>
  </si>
  <si>
    <t>築港３丁目</t>
  </si>
  <si>
    <t>田川３丁目</t>
  </si>
  <si>
    <t>十三元今里３丁目</t>
  </si>
  <si>
    <t>田川北２丁目</t>
  </si>
  <si>
    <t>千本南１丁目</t>
  </si>
  <si>
    <t>田島４丁目</t>
  </si>
  <si>
    <t>田島３丁目</t>
  </si>
  <si>
    <t>田辺６丁目</t>
  </si>
  <si>
    <t>都島北通２丁目</t>
  </si>
  <si>
    <t>立売堀５丁目</t>
  </si>
  <si>
    <t>本町橋</t>
  </si>
  <si>
    <t>東加賀屋２丁目</t>
  </si>
  <si>
    <t>東今里３丁目</t>
  </si>
  <si>
    <t>東三国５丁目</t>
  </si>
  <si>
    <t>東三国２丁目</t>
  </si>
  <si>
    <t>深江北３丁目</t>
  </si>
  <si>
    <t>東中浜５丁目</t>
  </si>
  <si>
    <t>佃１丁目</t>
  </si>
  <si>
    <t>東田辺１丁目</t>
  </si>
  <si>
    <t>東粉浜１丁目</t>
  </si>
  <si>
    <t>上本町西４丁目</t>
  </si>
  <si>
    <t>桃ケ池町１丁目</t>
  </si>
  <si>
    <t>桃谷１丁目</t>
  </si>
  <si>
    <t>湯里５丁目</t>
  </si>
  <si>
    <t>湯里１丁目</t>
  </si>
  <si>
    <t>堂島浜１丁目</t>
  </si>
  <si>
    <t>南恩加島６丁目</t>
  </si>
  <si>
    <t>南港東２丁目</t>
  </si>
  <si>
    <t>南市岡２丁目</t>
  </si>
  <si>
    <t>深江南２丁目</t>
  </si>
  <si>
    <t>粉川町</t>
  </si>
  <si>
    <t>巽南３丁目</t>
  </si>
  <si>
    <t>南津守４丁目</t>
  </si>
  <si>
    <t>天満２丁目</t>
  </si>
  <si>
    <t>姫島３丁目</t>
  </si>
  <si>
    <t>中野３丁目</t>
  </si>
  <si>
    <t>難波千日前</t>
  </si>
  <si>
    <t>八幡屋１丁目</t>
  </si>
  <si>
    <t>生野西１丁目</t>
  </si>
  <si>
    <t>播磨町３丁目</t>
  </si>
  <si>
    <t>背戸口５丁目</t>
  </si>
  <si>
    <t>梅香１丁目</t>
  </si>
  <si>
    <t>梅南２丁目</t>
  </si>
  <si>
    <t>梅南３丁目</t>
  </si>
  <si>
    <t>美章園２丁目</t>
  </si>
  <si>
    <t>百島１丁目</t>
  </si>
  <si>
    <t>浜口西２丁目</t>
  </si>
  <si>
    <t>浜４丁目</t>
  </si>
  <si>
    <t>福町１丁目</t>
  </si>
  <si>
    <t>福町３丁目</t>
  </si>
  <si>
    <t>福島５丁目</t>
  </si>
  <si>
    <t>粉浜西２丁目</t>
  </si>
  <si>
    <t>粉浜３丁目</t>
  </si>
  <si>
    <t>粉浜西１丁目</t>
  </si>
  <si>
    <t>平野西３丁目</t>
  </si>
  <si>
    <t>今川６丁目</t>
  </si>
  <si>
    <t>平野北１丁目</t>
  </si>
  <si>
    <t>平野南１丁目</t>
  </si>
  <si>
    <t>平林北１丁目</t>
  </si>
  <si>
    <t>弁天３丁目</t>
  </si>
  <si>
    <t>弁天６丁目</t>
  </si>
  <si>
    <t>波除４丁目</t>
  </si>
  <si>
    <t>豊崎４丁目</t>
  </si>
  <si>
    <t>豊崎３丁目</t>
  </si>
  <si>
    <t>北江口４丁目</t>
  </si>
  <si>
    <t>石町１丁目</t>
  </si>
  <si>
    <t>宮原５丁目</t>
  </si>
  <si>
    <t>中本２丁目</t>
  </si>
  <si>
    <t>鶴橋４丁目</t>
  </si>
  <si>
    <t>北島３丁目</t>
  </si>
  <si>
    <t>墨江１丁目</t>
  </si>
  <si>
    <t>南堀江１丁目</t>
  </si>
  <si>
    <t>本庄長柄工区</t>
  </si>
  <si>
    <t>本庄東２丁目</t>
  </si>
  <si>
    <t>本庄西１丁目</t>
  </si>
  <si>
    <t>万代東１丁目</t>
  </si>
  <si>
    <t>毛馬町３丁目</t>
  </si>
  <si>
    <t>木川西２丁目</t>
  </si>
  <si>
    <t>木川東１丁目</t>
  </si>
  <si>
    <t>野崎町</t>
  </si>
  <si>
    <t>豊里３丁目</t>
  </si>
  <si>
    <t>野里１丁目</t>
  </si>
  <si>
    <t>西島２丁目</t>
  </si>
  <si>
    <t>住道矢田６丁目</t>
  </si>
  <si>
    <t>照ケ丘矢田３丁目</t>
  </si>
  <si>
    <t>矢田４丁目</t>
  </si>
  <si>
    <t>友渕町３丁目</t>
  </si>
  <si>
    <t>夕陽丘町</t>
  </si>
  <si>
    <t>与力町１丁目</t>
  </si>
  <si>
    <t>新北野２丁目</t>
  </si>
  <si>
    <t>立葉２丁目</t>
  </si>
  <si>
    <t>豊新３丁目</t>
  </si>
  <si>
    <t>今福西６丁目</t>
  </si>
  <si>
    <t>今福西５丁目</t>
  </si>
  <si>
    <t>瓜破東３丁目</t>
  </si>
  <si>
    <t>京町堀２丁目</t>
  </si>
  <si>
    <t>苅田３丁目</t>
  </si>
  <si>
    <t>喜連５丁目</t>
  </si>
  <si>
    <t>喜連１丁目</t>
  </si>
  <si>
    <t>京町堀３丁目</t>
  </si>
  <si>
    <t>高倉町３丁目</t>
  </si>
  <si>
    <t>高殿４丁目</t>
  </si>
  <si>
    <t>鷺洲２丁目</t>
  </si>
  <si>
    <t>山王２丁目</t>
  </si>
  <si>
    <t>山之内３丁目</t>
  </si>
  <si>
    <t>住道矢田９丁目</t>
  </si>
  <si>
    <t>新高３丁目</t>
  </si>
  <si>
    <t>針中野３丁目</t>
  </si>
  <si>
    <t>西天満３丁目</t>
  </si>
  <si>
    <t>長吉川辺２丁目</t>
  </si>
  <si>
    <t>大宮４丁目</t>
  </si>
  <si>
    <t>大今里２丁目</t>
  </si>
  <si>
    <t>大道南２丁目</t>
  </si>
  <si>
    <t>大和田３丁目</t>
  </si>
  <si>
    <t>巽南５丁目</t>
  </si>
  <si>
    <t>中本５丁目</t>
  </si>
  <si>
    <t>長吉長原西２丁目</t>
  </si>
  <si>
    <t>塚本２丁目</t>
  </si>
  <si>
    <t>島屋５丁目</t>
  </si>
  <si>
    <t>巽南４丁目</t>
  </si>
  <si>
    <t>元町２丁目</t>
  </si>
  <si>
    <t>大道南３丁目</t>
  </si>
  <si>
    <t>宮原３丁目</t>
  </si>
  <si>
    <t>南港東８丁目</t>
  </si>
  <si>
    <t>林寺２丁目</t>
  </si>
  <si>
    <t>瑞光１丁目</t>
  </si>
  <si>
    <t>市岡２丁目</t>
  </si>
  <si>
    <t>平野西１丁目</t>
  </si>
  <si>
    <t>道頓堀２丁目</t>
  </si>
  <si>
    <t>浜口西１丁目</t>
  </si>
  <si>
    <t>新今里５丁目</t>
  </si>
  <si>
    <t>新家町２丁目</t>
  </si>
  <si>
    <t>幸町１丁目</t>
  </si>
  <si>
    <t>内代町１丁目</t>
  </si>
  <si>
    <t>酉島５丁目</t>
  </si>
  <si>
    <t>西心斎橋２丁目</t>
  </si>
  <si>
    <t>福島２丁目</t>
  </si>
  <si>
    <t>谷町７丁目</t>
  </si>
  <si>
    <t>朝日２丁目</t>
  </si>
  <si>
    <t>清水丘１丁目</t>
  </si>
  <si>
    <t>天王寺町南２丁目</t>
  </si>
  <si>
    <t>南津守３丁目</t>
  </si>
  <si>
    <t>湯里６丁目</t>
  </si>
  <si>
    <t>福島３丁目</t>
  </si>
  <si>
    <t>喜連西４丁目</t>
  </si>
  <si>
    <t>芝田２丁目</t>
  </si>
  <si>
    <t>海岸通３丁目</t>
  </si>
  <si>
    <t>今福南３丁目</t>
  </si>
  <si>
    <t>北港２丁目</t>
  </si>
  <si>
    <t>西島１丁目</t>
  </si>
  <si>
    <t>船町１丁目</t>
  </si>
  <si>
    <t>東加賀屋４丁目</t>
  </si>
  <si>
    <t>竹島４丁目</t>
  </si>
  <si>
    <t>佃７丁目</t>
  </si>
  <si>
    <t>田島１丁目</t>
  </si>
  <si>
    <t>東野田町３丁目</t>
  </si>
  <si>
    <t>南港中１丁目</t>
  </si>
  <si>
    <t>南港南４丁目</t>
  </si>
  <si>
    <t>三軒家東３丁目</t>
  </si>
  <si>
    <t>鶴町５丁目</t>
  </si>
  <si>
    <t>加美北２丁目</t>
  </si>
  <si>
    <t>平林北２丁目</t>
  </si>
  <si>
    <t>梅町２丁目</t>
  </si>
  <si>
    <t>梅町１丁目</t>
  </si>
  <si>
    <t>船町２丁目</t>
  </si>
  <si>
    <t>南港北３丁目</t>
  </si>
  <si>
    <t>南港東５丁目</t>
  </si>
  <si>
    <t>南港南６丁目</t>
  </si>
  <si>
    <t>南港中８丁目</t>
  </si>
  <si>
    <t>桜島１丁目</t>
  </si>
  <si>
    <t>北港緑地２丁目</t>
  </si>
  <si>
    <t>南港東７丁目</t>
  </si>
  <si>
    <t>南港東９丁目</t>
  </si>
  <si>
    <t>常吉１丁目</t>
  </si>
  <si>
    <t>北恩加島２丁目</t>
  </si>
  <si>
    <t>石田２丁目</t>
  </si>
  <si>
    <t>南恩加島５丁目</t>
  </si>
  <si>
    <t>南港南３丁目</t>
  </si>
  <si>
    <t>港晴５丁目</t>
  </si>
  <si>
    <t>石田３丁目</t>
  </si>
  <si>
    <t>南港中７丁目</t>
  </si>
  <si>
    <t>松崎町４丁目</t>
  </si>
  <si>
    <t>播磨町１丁目</t>
  </si>
  <si>
    <t>晴明通</t>
  </si>
  <si>
    <t>新森２丁目</t>
  </si>
  <si>
    <t>田中２丁目</t>
  </si>
  <si>
    <t>成育４丁目</t>
  </si>
  <si>
    <t>江戸堀１丁目</t>
  </si>
  <si>
    <t>竹島２丁目</t>
  </si>
  <si>
    <t>内本町２丁目</t>
  </si>
  <si>
    <t>中寺１丁目</t>
  </si>
  <si>
    <t>千日前２丁目</t>
  </si>
  <si>
    <t>四天王寺１丁目</t>
  </si>
  <si>
    <t>友渕町２丁目</t>
  </si>
  <si>
    <t>南田辺３丁目</t>
  </si>
  <si>
    <t>小松３丁目</t>
  </si>
  <si>
    <t>加美正覚寺１丁目</t>
  </si>
  <si>
    <t>茶屋町</t>
  </si>
  <si>
    <t>南森町１丁目</t>
  </si>
  <si>
    <t>酉島２丁目</t>
  </si>
  <si>
    <t>浪花町</t>
  </si>
  <si>
    <t>緑２丁目</t>
  </si>
  <si>
    <t>難波３丁目</t>
  </si>
  <si>
    <t>久太郎町１丁目</t>
  </si>
  <si>
    <t>昭和町３丁目</t>
  </si>
  <si>
    <t>住之江１丁目</t>
  </si>
  <si>
    <t>浜３丁目</t>
  </si>
  <si>
    <t>野江３丁目</t>
  </si>
  <si>
    <t>遠里小野６丁目</t>
  </si>
  <si>
    <t>北加賀屋２丁目</t>
  </si>
  <si>
    <t>西加賀屋２丁目</t>
  </si>
  <si>
    <t>江戸堀２丁目</t>
  </si>
  <si>
    <t>今橋１丁目</t>
  </si>
  <si>
    <t>苅田１丁目</t>
  </si>
  <si>
    <t>橘２丁目</t>
  </si>
  <si>
    <t>桑津５丁目</t>
  </si>
  <si>
    <t>城南寺町</t>
  </si>
  <si>
    <t>高見２丁目</t>
  </si>
  <si>
    <t>天下茶屋１丁目</t>
  </si>
  <si>
    <t>今津中４丁目</t>
  </si>
  <si>
    <t>三津屋中１丁目</t>
  </si>
  <si>
    <t>市岡３丁目</t>
  </si>
  <si>
    <t>帝塚山西３丁目</t>
  </si>
  <si>
    <t>御崎８丁目</t>
  </si>
  <si>
    <t>十三東５丁目</t>
  </si>
  <si>
    <t>桃ケ池町２丁目</t>
  </si>
  <si>
    <t>上本町西３丁目</t>
  </si>
  <si>
    <t>新北島６丁目</t>
  </si>
  <si>
    <t>林寺６丁目</t>
  </si>
  <si>
    <t>新喜多２丁目</t>
  </si>
  <si>
    <t>神路２丁目</t>
  </si>
  <si>
    <t>大開２丁目</t>
  </si>
  <si>
    <t>中宮４丁目</t>
  </si>
  <si>
    <t>大隅２丁目</t>
  </si>
  <si>
    <t>大国１丁目</t>
  </si>
  <si>
    <t>大淀中２丁目</t>
  </si>
  <si>
    <t>大領３丁目</t>
  </si>
  <si>
    <t>鷹合３丁目</t>
  </si>
  <si>
    <t>巽南２丁目</t>
  </si>
  <si>
    <t>中川３丁目</t>
  </si>
  <si>
    <t>長吉出戸３丁目</t>
  </si>
  <si>
    <t>昭和町５丁目</t>
  </si>
  <si>
    <t>塚本３丁目</t>
  </si>
  <si>
    <t>北河堀町</t>
  </si>
  <si>
    <t>橘１丁目</t>
  </si>
  <si>
    <t>小路東３丁目</t>
  </si>
  <si>
    <t>東粉浜２丁目</t>
  </si>
  <si>
    <t>豊里６丁目</t>
  </si>
  <si>
    <t>堂ケ芝１丁目</t>
  </si>
  <si>
    <t>南港中４丁目</t>
  </si>
  <si>
    <t>南港中３丁目</t>
  </si>
  <si>
    <t>南田辺４丁目</t>
  </si>
  <si>
    <t>日本橋西１丁目</t>
  </si>
  <si>
    <t>今川１丁目</t>
  </si>
  <si>
    <t>鷺洲６丁目</t>
  </si>
  <si>
    <t>姫島町</t>
  </si>
  <si>
    <t>北島２丁目</t>
  </si>
  <si>
    <t>粉浜２丁目</t>
  </si>
  <si>
    <t>美章園１丁目</t>
  </si>
  <si>
    <t>背戸口４丁目</t>
  </si>
  <si>
    <t>平野南２丁目</t>
  </si>
  <si>
    <t>大今里南２丁目</t>
  </si>
  <si>
    <t>東天満２丁目</t>
  </si>
  <si>
    <t>川口１丁目</t>
  </si>
  <si>
    <t>阿波座２丁目</t>
  </si>
  <si>
    <t>鶴見６丁目</t>
  </si>
  <si>
    <t>今福西４丁目</t>
  </si>
  <si>
    <t>谷町８丁目</t>
  </si>
  <si>
    <t>江戸堀３丁目</t>
  </si>
  <si>
    <t>新北野１丁目</t>
  </si>
  <si>
    <t>平野東１丁目</t>
  </si>
  <si>
    <t>堂島２丁目</t>
  </si>
  <si>
    <t>中野町２丁目</t>
  </si>
  <si>
    <t>福島８丁目</t>
  </si>
  <si>
    <t>春日出中２丁目</t>
  </si>
  <si>
    <t>九条１丁目</t>
  </si>
  <si>
    <t>南恩加島２丁目</t>
  </si>
  <si>
    <t>生玉寺町</t>
  </si>
  <si>
    <t>元町３丁目</t>
  </si>
  <si>
    <t>敷津東１丁目</t>
  </si>
  <si>
    <t>稲荷２丁目</t>
  </si>
  <si>
    <t>西中島４丁目</t>
  </si>
  <si>
    <t>東三国１丁目</t>
  </si>
  <si>
    <t>十三東１丁目</t>
  </si>
  <si>
    <t>淡路駅周辺地区</t>
  </si>
  <si>
    <t>大今里南５丁目</t>
  </si>
  <si>
    <t>鴫野西５丁目</t>
  </si>
  <si>
    <t>蒲生１丁目</t>
  </si>
  <si>
    <t>鶴見５丁目</t>
  </si>
  <si>
    <t>阪南町６丁目</t>
  </si>
  <si>
    <t>浜口東３丁目</t>
  </si>
  <si>
    <t>庭井１丁目</t>
  </si>
  <si>
    <t>針中野４丁目</t>
  </si>
  <si>
    <t>加美南５丁目</t>
  </si>
  <si>
    <t>長吉川辺１丁目</t>
  </si>
  <si>
    <t>平野上町２丁目</t>
  </si>
  <si>
    <t>新今里４丁目</t>
  </si>
  <si>
    <t>船場中央３丁目</t>
  </si>
  <si>
    <t>千林１丁目</t>
  </si>
  <si>
    <t>淡路町４丁目</t>
  </si>
  <si>
    <t>土佐堀１丁目</t>
  </si>
  <si>
    <t>法円坂</t>
  </si>
  <si>
    <t>南船場２丁目</t>
  </si>
  <si>
    <t>靱本町２丁目</t>
  </si>
  <si>
    <t>長居公園１丁目</t>
  </si>
  <si>
    <t>平野馬場２丁目</t>
  </si>
  <si>
    <t>南森町２丁目</t>
  </si>
  <si>
    <t>万代３丁目</t>
  </si>
  <si>
    <t>宮原２丁目</t>
  </si>
  <si>
    <t>南加賀屋１丁目</t>
  </si>
  <si>
    <t>波除３丁目</t>
  </si>
  <si>
    <t>長峡町</t>
  </si>
  <si>
    <t>新北島１丁目</t>
  </si>
  <si>
    <t>昭和町１丁目</t>
  </si>
  <si>
    <t>神路４丁目</t>
  </si>
  <si>
    <t>中道１丁目</t>
  </si>
  <si>
    <t>駒川５丁目</t>
  </si>
  <si>
    <t>杉本３丁目</t>
  </si>
  <si>
    <t>西田辺町１丁目</t>
  </si>
  <si>
    <t>相川１丁目</t>
  </si>
  <si>
    <t>殿辻２丁目</t>
  </si>
  <si>
    <t>生玉前町</t>
  </si>
  <si>
    <t>安堂寺町１丁目</t>
  </si>
  <si>
    <t>流町１丁目</t>
  </si>
  <si>
    <t>帝塚山中３丁目</t>
  </si>
  <si>
    <t>松崎町１丁目</t>
  </si>
  <si>
    <t>萩之茶屋</t>
  </si>
  <si>
    <t>東中本１丁目</t>
  </si>
  <si>
    <t>南港南７丁目</t>
  </si>
  <si>
    <t>駒川</t>
  </si>
  <si>
    <t>田辺</t>
  </si>
  <si>
    <t>山坂１丁目</t>
  </si>
  <si>
    <t>山王３丁目</t>
  </si>
  <si>
    <t>北区</t>
  </si>
  <si>
    <t>阿倍野区</t>
  </si>
  <si>
    <t>天王寺区</t>
  </si>
  <si>
    <t>港区</t>
  </si>
  <si>
    <t>浪速区</t>
  </si>
  <si>
    <t>東住吉区</t>
  </si>
  <si>
    <t>此花区</t>
  </si>
  <si>
    <t>東成区</t>
  </si>
  <si>
    <t>城東区</t>
  </si>
  <si>
    <t>中央区</t>
  </si>
  <si>
    <t>都島区</t>
  </si>
  <si>
    <t>住之江区</t>
  </si>
  <si>
    <t>西成区</t>
  </si>
  <si>
    <t>淀川区</t>
  </si>
  <si>
    <t>住吉区</t>
  </si>
  <si>
    <t>平野区</t>
  </si>
  <si>
    <t>生野区</t>
  </si>
  <si>
    <t>東淀川区</t>
  </si>
  <si>
    <t>福島区</t>
  </si>
  <si>
    <t>西淀川区</t>
  </si>
  <si>
    <t>大正区</t>
  </si>
  <si>
    <t>西区</t>
  </si>
  <si>
    <t>鶴見区</t>
  </si>
  <si>
    <t>旭区</t>
  </si>
  <si>
    <t>【一般会計、政令等特別会計及び準公営企業会計】</t>
    <rPh sb="1" eb="3">
      <t>イッパン</t>
    </rPh>
    <rPh sb="3" eb="5">
      <t>カイケイ</t>
    </rPh>
    <rPh sb="6" eb="8">
      <t>セイレイ</t>
    </rPh>
    <rPh sb="8" eb="9">
      <t>トウ</t>
    </rPh>
    <rPh sb="9" eb="11">
      <t>トクベツ</t>
    </rPh>
    <rPh sb="11" eb="13">
      <t>カイケイ</t>
    </rPh>
    <rPh sb="13" eb="14">
      <t>オヨ</t>
    </rPh>
    <rPh sb="15" eb="16">
      <t>ジュン</t>
    </rPh>
    <rPh sb="16" eb="18">
      <t>コウエイ</t>
    </rPh>
    <rPh sb="18" eb="20">
      <t>キギョウ</t>
    </rPh>
    <rPh sb="20" eb="22">
      <t>カイケイ</t>
    </rPh>
    <phoneticPr fontId="7"/>
  </si>
  <si>
    <t>代表所在地
（区）</t>
    <rPh sb="0" eb="2">
      <t>ダイヒョウ</t>
    </rPh>
    <rPh sb="2" eb="5">
      <t>ショザイチ</t>
    </rPh>
    <rPh sb="7" eb="8">
      <t>ク</t>
    </rPh>
    <phoneticPr fontId="7"/>
  </si>
  <si>
    <t>代表所在地（町丁目）</t>
    <rPh sb="0" eb="2">
      <t>ダイヒョウ</t>
    </rPh>
    <rPh sb="2" eb="5">
      <t>ショザイチ</t>
    </rPh>
    <rPh sb="6" eb="9">
      <t>チョウチョウモク</t>
    </rPh>
    <phoneticPr fontId="7"/>
  </si>
  <si>
    <t>土地</t>
    <rPh sb="0" eb="2">
      <t>トチ</t>
    </rPh>
    <phoneticPr fontId="7"/>
  </si>
  <si>
    <t>建物</t>
    <rPh sb="0" eb="2">
      <t>タテモノ</t>
    </rPh>
    <phoneticPr fontId="7"/>
  </si>
  <si>
    <t>所属区・局</t>
  </si>
  <si>
    <t>実測面積
（㎡）</t>
    <rPh sb="0" eb="2">
      <t>ジッソク</t>
    </rPh>
    <rPh sb="2" eb="4">
      <t>メンセキ</t>
    </rPh>
    <phoneticPr fontId="7"/>
  </si>
  <si>
    <t>未利用地
番号</t>
    <rPh sb="0" eb="4">
      <t>ミリヨウチ</t>
    </rPh>
    <rPh sb="5" eb="7">
      <t>バンゴウ</t>
    </rPh>
    <phoneticPr fontId="7"/>
  </si>
  <si>
    <t>延床面積
（㎡）</t>
    <rPh sb="0" eb="4">
      <t>ノベユカメンセキ</t>
    </rPh>
    <phoneticPr fontId="7"/>
  </si>
  <si>
    <t>供用廃止
施設</t>
    <rPh sb="0" eb="2">
      <t>キョウヨウ</t>
    </rPh>
    <rPh sb="2" eb="4">
      <t>ハイシ</t>
    </rPh>
    <rPh sb="5" eb="7">
      <t>シセツ</t>
    </rPh>
    <phoneticPr fontId="7"/>
  </si>
  <si>
    <t>住之江区</t>
    <rPh sb="0" eb="4">
      <t>スミノエク</t>
    </rPh>
    <phoneticPr fontId="7"/>
  </si>
  <si>
    <t>南港中</t>
  </si>
  <si>
    <t>本庄東通</t>
  </si>
  <si>
    <t>南堀江３丁目</t>
  </si>
  <si>
    <t>北久宝寺町１丁目</t>
  </si>
  <si>
    <t>焼野３丁目</t>
  </si>
  <si>
    <t>中津４丁目</t>
  </si>
  <si>
    <t>恵美須西２丁目</t>
  </si>
  <si>
    <t>和泉市</t>
  </si>
  <si>
    <t>伯太町３丁目</t>
  </si>
  <si>
    <t>伯太町４丁目</t>
  </si>
  <si>
    <t>松之浜町１丁目</t>
  </si>
  <si>
    <t>泉大津市</t>
  </si>
  <si>
    <t>円明町</t>
  </si>
  <si>
    <t>柏原市</t>
  </si>
  <si>
    <t>大字私市</t>
  </si>
  <si>
    <t>交野市</t>
  </si>
  <si>
    <t>東上野芝町２丁</t>
  </si>
  <si>
    <t>堺市北区</t>
  </si>
  <si>
    <t>東御旅町</t>
  </si>
  <si>
    <t>吹田市</t>
  </si>
  <si>
    <t>古江台５丁目</t>
  </si>
  <si>
    <t>古江台６丁目</t>
  </si>
  <si>
    <t>大字奈佐原</t>
  </si>
  <si>
    <t>高槻市</t>
  </si>
  <si>
    <t>赤阪</t>
  </si>
  <si>
    <t>豊中市</t>
  </si>
  <si>
    <t>広田町</t>
  </si>
  <si>
    <t>箱作</t>
  </si>
  <si>
    <t>阪南市</t>
  </si>
  <si>
    <t>稲田本町１丁目</t>
  </si>
  <si>
    <t>東大阪市</t>
  </si>
  <si>
    <t>東豊浦町</t>
  </si>
  <si>
    <t>三島２丁目</t>
  </si>
  <si>
    <t>枚方市</t>
  </si>
  <si>
    <t>南中振１丁目</t>
  </si>
  <si>
    <t>守口市</t>
  </si>
  <si>
    <t>大字高瀬旧世木</t>
  </si>
  <si>
    <t>緑町</t>
  </si>
  <si>
    <t>南寺方東通１丁目</t>
  </si>
  <si>
    <t>大字恩智</t>
  </si>
  <si>
    <t>八尾市</t>
  </si>
  <si>
    <t>恩智中町</t>
  </si>
  <si>
    <t>上尾町７丁目</t>
  </si>
  <si>
    <t>空港２丁目</t>
  </si>
  <si>
    <t>平木</t>
  </si>
  <si>
    <t>兵庫県加東市</t>
  </si>
  <si>
    <t>索引番号</t>
    <phoneticPr fontId="5"/>
  </si>
  <si>
    <t>施設名（財産名称）</t>
    <phoneticPr fontId="5"/>
  </si>
  <si>
    <t>公有財産一覧表　（令和7年3月31日時点）</t>
    <phoneticPr fontId="7"/>
  </si>
  <si>
    <t>030404-00011</t>
  </si>
  <si>
    <t>城東区役所</t>
  </si>
  <si>
    <t>030404-10015</t>
  </si>
  <si>
    <t>030404-10017</t>
  </si>
  <si>
    <t>030419-00004</t>
  </si>
  <si>
    <t>市民局</t>
  </si>
  <si>
    <t>030419-00005</t>
  </si>
  <si>
    <t>030419-00006</t>
  </si>
  <si>
    <t>030419-00009</t>
  </si>
  <si>
    <t>030419-00010</t>
  </si>
  <si>
    <t>030419-00011</t>
  </si>
  <si>
    <t>030419-00012</t>
  </si>
  <si>
    <t>030419-00014</t>
  </si>
  <si>
    <t>030419-00015</t>
  </si>
  <si>
    <t>030419-00016</t>
  </si>
  <si>
    <t>030419-00017</t>
  </si>
  <si>
    <t>030419-00018</t>
  </si>
  <si>
    <t>030419-00019</t>
  </si>
  <si>
    <t>030419-00020</t>
  </si>
  <si>
    <t>030419-00021</t>
  </si>
  <si>
    <t>030419-00022</t>
  </si>
  <si>
    <t>030419-00023</t>
  </si>
  <si>
    <t>030419-00024</t>
  </si>
  <si>
    <t>030419-00025</t>
  </si>
  <si>
    <t>030419-00026</t>
  </si>
  <si>
    <t>030419-00027</t>
  </si>
  <si>
    <t>030802-00001</t>
  </si>
  <si>
    <t>030802-00002</t>
  </si>
  <si>
    <t>030802-00004</t>
  </si>
  <si>
    <t>030802-00005</t>
  </si>
  <si>
    <t>030802-00006</t>
  </si>
  <si>
    <t>030802-10001</t>
  </si>
  <si>
    <t>030803-00000</t>
  </si>
  <si>
    <t>030804-00000</t>
  </si>
  <si>
    <t>040401-00000</t>
  </si>
  <si>
    <t>財政局</t>
  </si>
  <si>
    <t>040401-00001</t>
  </si>
  <si>
    <t>040401-00006</t>
  </si>
  <si>
    <t>040401-10005</t>
  </si>
  <si>
    <t>050204-10007</t>
  </si>
  <si>
    <t>計画調整局</t>
  </si>
  <si>
    <t>050513-00002</t>
  </si>
  <si>
    <t>050601-00000</t>
  </si>
  <si>
    <t>050601-00001</t>
  </si>
  <si>
    <t>050601-00005</t>
  </si>
  <si>
    <t>050601-00006</t>
  </si>
  <si>
    <t>050601-00007</t>
  </si>
  <si>
    <t>050601-00008</t>
  </si>
  <si>
    <t>050601-00012</t>
  </si>
  <si>
    <t>050601-00016</t>
  </si>
  <si>
    <t>050601-00017</t>
  </si>
  <si>
    <t>050601-00018</t>
  </si>
  <si>
    <t>050601-00019</t>
  </si>
  <si>
    <t>生野区役所</t>
  </si>
  <si>
    <t>050601-00037</t>
  </si>
  <si>
    <t>050601-00039</t>
  </si>
  <si>
    <t>050601-00040</t>
  </si>
  <si>
    <t>050601-00041</t>
  </si>
  <si>
    <t>050601-10003</t>
  </si>
  <si>
    <t>050601-10004</t>
  </si>
  <si>
    <t>060105-01366</t>
  </si>
  <si>
    <t>福祉局</t>
  </si>
  <si>
    <t>060106-00001</t>
  </si>
  <si>
    <t>060106-00003</t>
  </si>
  <si>
    <t>060106-00006</t>
  </si>
  <si>
    <t>060106-00007</t>
  </si>
  <si>
    <t>060106-00008</t>
  </si>
  <si>
    <t>060106-00010</t>
  </si>
  <si>
    <t>060106-00011</t>
  </si>
  <si>
    <t>060106-00012</t>
  </si>
  <si>
    <t>060106-00013</t>
  </si>
  <si>
    <t>060106-00016</t>
  </si>
  <si>
    <t>060106-00017</t>
  </si>
  <si>
    <t>060106-00018</t>
  </si>
  <si>
    <t>060106-00019</t>
  </si>
  <si>
    <t>060106-00023</t>
  </si>
  <si>
    <t>060106-00024</t>
  </si>
  <si>
    <t>060106-00025</t>
  </si>
  <si>
    <t>060106-00026</t>
  </si>
  <si>
    <t>060106-00028</t>
  </si>
  <si>
    <t>060106-00031</t>
  </si>
  <si>
    <t>060106-00334</t>
  </si>
  <si>
    <t>060106-00337</t>
  </si>
  <si>
    <t>060106-00338</t>
  </si>
  <si>
    <t>060106-00340</t>
  </si>
  <si>
    <t>060106-10007</t>
  </si>
  <si>
    <t>062206-00002</t>
  </si>
  <si>
    <t>062207-00003</t>
  </si>
  <si>
    <t>062207-00004</t>
  </si>
  <si>
    <t>062207-00005</t>
  </si>
  <si>
    <t>062207-00007</t>
  </si>
  <si>
    <t>062207-00008</t>
  </si>
  <si>
    <t>062207-00468</t>
  </si>
  <si>
    <t>062207-00522</t>
  </si>
  <si>
    <t>西成区役所</t>
  </si>
  <si>
    <t>062209-10014</t>
  </si>
  <si>
    <t>062209-10015</t>
  </si>
  <si>
    <t>062211-01515</t>
  </si>
  <si>
    <t>062211-01516</t>
  </si>
  <si>
    <t>062211-01517</t>
  </si>
  <si>
    <t>062211-01519</t>
  </si>
  <si>
    <t>062211-01521</t>
  </si>
  <si>
    <t>062211-01522</t>
  </si>
  <si>
    <t>062211-01524</t>
  </si>
  <si>
    <t>062211-01525</t>
  </si>
  <si>
    <t>062211-01526</t>
  </si>
  <si>
    <t>062211-01527</t>
  </si>
  <si>
    <t>062211-01529</t>
  </si>
  <si>
    <t>062211-10008</t>
  </si>
  <si>
    <t>062405-00000</t>
  </si>
  <si>
    <t>062405-00001</t>
  </si>
  <si>
    <t>062405-00002</t>
  </si>
  <si>
    <t>062405-00005</t>
  </si>
  <si>
    <t>062405-00007</t>
  </si>
  <si>
    <t>062405-00009</t>
  </si>
  <si>
    <t>062405-00010</t>
  </si>
  <si>
    <t>062405-00011</t>
  </si>
  <si>
    <t>062405-00012</t>
  </si>
  <si>
    <t>062405-00014</t>
  </si>
  <si>
    <t>062405-00015</t>
  </si>
  <si>
    <t>062405-00016</t>
  </si>
  <si>
    <t>062405-00017</t>
  </si>
  <si>
    <t>062405-00018</t>
  </si>
  <si>
    <t>062405-00019</t>
  </si>
  <si>
    <t>062405-00020</t>
  </si>
  <si>
    <t>062405-00022</t>
  </si>
  <si>
    <t>062405-00023</t>
  </si>
  <si>
    <t>062405-00024</t>
  </si>
  <si>
    <t>062405-00025</t>
  </si>
  <si>
    <t>062405-00026</t>
  </si>
  <si>
    <t>062405-00027</t>
  </si>
  <si>
    <t>062405-00030</t>
  </si>
  <si>
    <t>062405-00031</t>
  </si>
  <si>
    <t>062405-00032</t>
  </si>
  <si>
    <t>062405-00033</t>
  </si>
  <si>
    <t>062405-00034</t>
  </si>
  <si>
    <t>062405-00035</t>
  </si>
  <si>
    <t>062405-00036</t>
  </si>
  <si>
    <t>062405-00037</t>
  </si>
  <si>
    <t>062405-00038</t>
  </si>
  <si>
    <t>062405-00039</t>
  </si>
  <si>
    <t>062405-00040</t>
  </si>
  <si>
    <t>062405-00041</t>
  </si>
  <si>
    <t>062405-00043</t>
  </si>
  <si>
    <t>062405-00044</t>
  </si>
  <si>
    <t>062405-00045</t>
  </si>
  <si>
    <t>062405-00046</t>
  </si>
  <si>
    <t>062405-00047</t>
  </si>
  <si>
    <t>062405-00048</t>
  </si>
  <si>
    <t>062405-00049</t>
  </si>
  <si>
    <t>062405-00050</t>
  </si>
  <si>
    <t>062405-00051</t>
  </si>
  <si>
    <t>062405-00052</t>
  </si>
  <si>
    <t>062405-00053</t>
  </si>
  <si>
    <t>062405-00054</t>
  </si>
  <si>
    <t>062405-00055</t>
  </si>
  <si>
    <t>062405-00056</t>
  </si>
  <si>
    <t>062405-00057</t>
  </si>
  <si>
    <t>062405-00058</t>
  </si>
  <si>
    <t>062405-00059</t>
  </si>
  <si>
    <t>062405-00060</t>
  </si>
  <si>
    <t>062405-00062</t>
  </si>
  <si>
    <t>062405-00063</t>
  </si>
  <si>
    <t>062405-00064</t>
  </si>
  <si>
    <t>062405-00421</t>
  </si>
  <si>
    <t>062405-00422</t>
  </si>
  <si>
    <t>062405-10003</t>
  </si>
  <si>
    <t>062405-10005</t>
  </si>
  <si>
    <t>062405-10015</t>
  </si>
  <si>
    <t>062405-10016</t>
  </si>
  <si>
    <t>062405-10017</t>
  </si>
  <si>
    <t>062406-00001</t>
  </si>
  <si>
    <t>062406-10001</t>
  </si>
  <si>
    <t>062406-10002</t>
  </si>
  <si>
    <t>062406-10003</t>
  </si>
  <si>
    <t>062505-10093</t>
  </si>
  <si>
    <t>062505-10094</t>
  </si>
  <si>
    <t>062505-10096</t>
  </si>
  <si>
    <t>062505-10097</t>
  </si>
  <si>
    <t>062505-10098</t>
  </si>
  <si>
    <t>062505-10099</t>
  </si>
  <si>
    <t>062505-10101</t>
  </si>
  <si>
    <t>062505-10102</t>
  </si>
  <si>
    <t>062505-10103</t>
  </si>
  <si>
    <t>062505-10104</t>
  </si>
  <si>
    <t>062505-10105</t>
  </si>
  <si>
    <t>062505-10106</t>
  </si>
  <si>
    <t>062505-10107</t>
  </si>
  <si>
    <t>062505-10108</t>
  </si>
  <si>
    <t>東住吉区役所</t>
  </si>
  <si>
    <t>062505-10109</t>
  </si>
  <si>
    <t>062505-10110</t>
  </si>
  <si>
    <t>062505-10111</t>
  </si>
  <si>
    <t>062505-10112</t>
  </si>
  <si>
    <t>062505-10113</t>
  </si>
  <si>
    <t>062505-10115</t>
  </si>
  <si>
    <t>062505-10116</t>
  </si>
  <si>
    <t>062505-10117</t>
  </si>
  <si>
    <t>062505-10118</t>
  </si>
  <si>
    <t>062505-10119</t>
  </si>
  <si>
    <t>此花区役所</t>
  </si>
  <si>
    <t>062505-10120</t>
  </si>
  <si>
    <t>062505-10121</t>
  </si>
  <si>
    <t>062505-10122</t>
  </si>
  <si>
    <t>062505-10123</t>
  </si>
  <si>
    <t>062505-10124</t>
  </si>
  <si>
    <t>062505-10125</t>
  </si>
  <si>
    <t>062505-10126</t>
  </si>
  <si>
    <t>062505-10127</t>
  </si>
  <si>
    <t>062505-10128</t>
  </si>
  <si>
    <t>062505-10129</t>
  </si>
  <si>
    <t>062505-10130</t>
  </si>
  <si>
    <t>062505-10131</t>
  </si>
  <si>
    <t>062505-10132</t>
  </si>
  <si>
    <t>062505-10133</t>
  </si>
  <si>
    <t>062505-10134</t>
  </si>
  <si>
    <t>062505-10135</t>
  </si>
  <si>
    <t>062505-10136</t>
  </si>
  <si>
    <t>062505-10137</t>
  </si>
  <si>
    <t>062505-10138</t>
  </si>
  <si>
    <t>062505-10139</t>
  </si>
  <si>
    <t>062505-10140</t>
  </si>
  <si>
    <t>062505-10141</t>
  </si>
  <si>
    <t>062505-10142</t>
  </si>
  <si>
    <t>062505-10143</t>
  </si>
  <si>
    <t>062505-10144</t>
  </si>
  <si>
    <t>062505-10145</t>
  </si>
  <si>
    <t>062505-10146</t>
  </si>
  <si>
    <t>062505-10147</t>
  </si>
  <si>
    <t>062505-10148</t>
  </si>
  <si>
    <t>062505-10149</t>
  </si>
  <si>
    <t>062505-10150</t>
  </si>
  <si>
    <t>062505-10151</t>
  </si>
  <si>
    <t>062505-10152</t>
  </si>
  <si>
    <t>062505-10153</t>
  </si>
  <si>
    <t>062505-10155</t>
  </si>
  <si>
    <t>062505-10156</t>
  </si>
  <si>
    <t>062505-10157</t>
  </si>
  <si>
    <t>062505-10158</t>
  </si>
  <si>
    <t>062505-10159</t>
  </si>
  <si>
    <t>062505-10160</t>
  </si>
  <si>
    <t>062505-10161</t>
  </si>
  <si>
    <t>062505-10162</t>
  </si>
  <si>
    <t>062505-10163</t>
  </si>
  <si>
    <t>062505-10164</t>
  </si>
  <si>
    <t>062505-10165</t>
  </si>
  <si>
    <t>062505-10167</t>
  </si>
  <si>
    <t>062505-10168</t>
  </si>
  <si>
    <t>062505-10169</t>
  </si>
  <si>
    <t>062505-10170</t>
  </si>
  <si>
    <t>062505-10173</t>
  </si>
  <si>
    <t>062505-10184</t>
  </si>
  <si>
    <t>062505-10186</t>
  </si>
  <si>
    <t>062506-00000</t>
  </si>
  <si>
    <t>062506-00002</t>
  </si>
  <si>
    <t>062506-00004</t>
  </si>
  <si>
    <t>062506-00005</t>
  </si>
  <si>
    <t>062506-00006</t>
  </si>
  <si>
    <t>062506-00008</t>
  </si>
  <si>
    <t>062506-00009</t>
  </si>
  <si>
    <t>062506-00010</t>
  </si>
  <si>
    <t>062506-00011</t>
  </si>
  <si>
    <t>062506-00012</t>
  </si>
  <si>
    <t>062506-00013</t>
  </si>
  <si>
    <t>062506-00014</t>
  </si>
  <si>
    <t>062506-00015</t>
  </si>
  <si>
    <t>062506-00016</t>
  </si>
  <si>
    <t>062506-00017</t>
  </si>
  <si>
    <t>062506-00019</t>
  </si>
  <si>
    <t>062506-00020</t>
  </si>
  <si>
    <t>062506-00021</t>
  </si>
  <si>
    <t>062506-00022</t>
  </si>
  <si>
    <t>062506-00023</t>
  </si>
  <si>
    <t>062506-00024</t>
  </si>
  <si>
    <t>062506-00025</t>
  </si>
  <si>
    <t>062506-00026</t>
  </si>
  <si>
    <t>062506-00027</t>
  </si>
  <si>
    <t>062506-00028</t>
  </si>
  <si>
    <t>062506-00029</t>
  </si>
  <si>
    <t>062506-00030</t>
  </si>
  <si>
    <t>062506-00031</t>
  </si>
  <si>
    <t>062506-00032</t>
  </si>
  <si>
    <t>062506-00033</t>
  </si>
  <si>
    <t>062506-00034</t>
  </si>
  <si>
    <t>062506-00035</t>
  </si>
  <si>
    <t>062506-00037</t>
  </si>
  <si>
    <t>062506-00038</t>
  </si>
  <si>
    <t>062506-00039</t>
  </si>
  <si>
    <t>062506-00040</t>
  </si>
  <si>
    <t>062506-00041</t>
  </si>
  <si>
    <t>062506-00042</t>
  </si>
  <si>
    <t>062506-00043</t>
  </si>
  <si>
    <t>062506-00044</t>
  </si>
  <si>
    <t>062506-00045</t>
  </si>
  <si>
    <t>062506-00046</t>
  </si>
  <si>
    <t>062506-00047</t>
  </si>
  <si>
    <t>062506-00048</t>
  </si>
  <si>
    <t>062506-00049</t>
  </si>
  <si>
    <t>062506-00050</t>
  </si>
  <si>
    <t>062506-00051</t>
  </si>
  <si>
    <t>062506-00052</t>
  </si>
  <si>
    <t>062506-00053</t>
  </si>
  <si>
    <t>062506-00054</t>
  </si>
  <si>
    <t>062506-00056</t>
  </si>
  <si>
    <t>062506-00057</t>
  </si>
  <si>
    <t>062506-00058</t>
  </si>
  <si>
    <t>062506-00059</t>
  </si>
  <si>
    <t>062506-00060</t>
  </si>
  <si>
    <t>062506-00062</t>
  </si>
  <si>
    <t>062506-00063</t>
  </si>
  <si>
    <t>062506-00064</t>
  </si>
  <si>
    <t>062506-00065</t>
  </si>
  <si>
    <t>062506-00066</t>
  </si>
  <si>
    <t>062506-00067</t>
  </si>
  <si>
    <t>062506-00068</t>
  </si>
  <si>
    <t>062506-00069</t>
  </si>
  <si>
    <t>062506-00070</t>
  </si>
  <si>
    <t>062506-00071</t>
  </si>
  <si>
    <t>062506-00072</t>
  </si>
  <si>
    <t>062506-00073</t>
  </si>
  <si>
    <t>062506-00074</t>
  </si>
  <si>
    <t>062506-00075</t>
  </si>
  <si>
    <t>062506-00076</t>
  </si>
  <si>
    <t>062506-00077</t>
  </si>
  <si>
    <t>062506-00078</t>
  </si>
  <si>
    <t>062506-00079</t>
  </si>
  <si>
    <t>062506-00080</t>
  </si>
  <si>
    <t>062506-00081</t>
  </si>
  <si>
    <t>062506-00082</t>
  </si>
  <si>
    <t>062506-00083</t>
  </si>
  <si>
    <t>062506-00084</t>
  </si>
  <si>
    <t>062506-00085</t>
  </si>
  <si>
    <t>062506-00086</t>
  </si>
  <si>
    <t>062506-00087</t>
  </si>
  <si>
    <t>062506-00088</t>
  </si>
  <si>
    <t>062506-00089</t>
  </si>
  <si>
    <t>062506-00090</t>
  </si>
  <si>
    <t>062506-00091</t>
  </si>
  <si>
    <t>062506-00092</t>
  </si>
  <si>
    <t>062506-00093</t>
  </si>
  <si>
    <t>062506-00094</t>
  </si>
  <si>
    <t>062506-00095</t>
  </si>
  <si>
    <t>062506-00096</t>
  </si>
  <si>
    <t>062506-00097</t>
  </si>
  <si>
    <t>062506-00098</t>
  </si>
  <si>
    <t>062506-00099</t>
  </si>
  <si>
    <t>062506-00100</t>
  </si>
  <si>
    <t>062506-00101</t>
  </si>
  <si>
    <t>062506-00102</t>
  </si>
  <si>
    <t>062506-00103</t>
  </si>
  <si>
    <t>062506-00104</t>
  </si>
  <si>
    <t>062506-00105</t>
  </si>
  <si>
    <t>062506-00106</t>
  </si>
  <si>
    <t>062506-00107</t>
  </si>
  <si>
    <t>062506-00108</t>
  </si>
  <si>
    <t>062506-00109</t>
  </si>
  <si>
    <t>062506-00110</t>
  </si>
  <si>
    <t>062506-00111</t>
  </si>
  <si>
    <t>062506-00112</t>
  </si>
  <si>
    <t>062506-00113</t>
  </si>
  <si>
    <t>062506-00114</t>
  </si>
  <si>
    <t>062506-00115</t>
  </si>
  <si>
    <t>062506-00116</t>
  </si>
  <si>
    <t>062506-00117</t>
  </si>
  <si>
    <t>062506-00118</t>
  </si>
  <si>
    <t>062506-00119</t>
  </si>
  <si>
    <t>062506-00120</t>
  </si>
  <si>
    <t>062506-00121</t>
  </si>
  <si>
    <t>062506-00122</t>
  </si>
  <si>
    <t>062506-00123</t>
  </si>
  <si>
    <t>062506-00124</t>
  </si>
  <si>
    <t>062506-00125</t>
  </si>
  <si>
    <t>062506-00127</t>
  </si>
  <si>
    <t>062506-00128</t>
  </si>
  <si>
    <t>062506-00129</t>
  </si>
  <si>
    <t>062506-00130</t>
  </si>
  <si>
    <t>062506-00131</t>
  </si>
  <si>
    <t>062506-00132</t>
  </si>
  <si>
    <t>062506-00133</t>
  </si>
  <si>
    <t>062506-00134</t>
  </si>
  <si>
    <t>062506-00135</t>
  </si>
  <si>
    <t>062506-00136</t>
  </si>
  <si>
    <t>062506-00137</t>
  </si>
  <si>
    <t>062506-00138</t>
  </si>
  <si>
    <t>062506-00545</t>
  </si>
  <si>
    <t>062506-00547</t>
  </si>
  <si>
    <t>062506-10009</t>
  </si>
  <si>
    <t>062506-10010</t>
  </si>
  <si>
    <t>062506-10011</t>
  </si>
  <si>
    <t>062507-00002</t>
  </si>
  <si>
    <t>062507-00006</t>
  </si>
  <si>
    <t>062507-00007</t>
  </si>
  <si>
    <t>062507-00024</t>
  </si>
  <si>
    <t>阿倍野区役所</t>
  </si>
  <si>
    <t>062507-00029</t>
  </si>
  <si>
    <t>港区役所</t>
  </si>
  <si>
    <t>062507-00030</t>
  </si>
  <si>
    <t>平野区役所</t>
  </si>
  <si>
    <t>062507-00034</t>
  </si>
  <si>
    <t>鶴見区役所</t>
  </si>
  <si>
    <t>062507-00036</t>
  </si>
  <si>
    <t>住之江区役所</t>
  </si>
  <si>
    <t>062507-00037</t>
  </si>
  <si>
    <t>062507-00038</t>
  </si>
  <si>
    <t>062507-00040</t>
  </si>
  <si>
    <t>062507-00041</t>
  </si>
  <si>
    <t>062507-00043</t>
  </si>
  <si>
    <t>062507-00045</t>
  </si>
  <si>
    <t>福島区役所</t>
  </si>
  <si>
    <t>062507-00046</t>
  </si>
  <si>
    <t>住吉区役所</t>
  </si>
  <si>
    <t>062507-00047</t>
  </si>
  <si>
    <t>062507-00049</t>
  </si>
  <si>
    <t>062507-00051</t>
  </si>
  <si>
    <t>062507-00052</t>
  </si>
  <si>
    <t>062507-00055</t>
  </si>
  <si>
    <t>062507-00056</t>
  </si>
  <si>
    <t>062507-00057</t>
  </si>
  <si>
    <t>中央区役所</t>
  </si>
  <si>
    <t>062507-00058</t>
  </si>
  <si>
    <t>西区役所</t>
  </si>
  <si>
    <t>062507-00059</t>
  </si>
  <si>
    <t>062507-00060</t>
  </si>
  <si>
    <t>062507-00065</t>
  </si>
  <si>
    <t>旭区役所</t>
  </si>
  <si>
    <t>062507-00066</t>
  </si>
  <si>
    <t>062507-00067</t>
  </si>
  <si>
    <t>062507-00069</t>
  </si>
  <si>
    <t>062507-00070</t>
  </si>
  <si>
    <t>062507-00072</t>
  </si>
  <si>
    <t>062507-00073</t>
  </si>
  <si>
    <t>062507-00075</t>
  </si>
  <si>
    <t>062507-00077</t>
  </si>
  <si>
    <t>062507-00080</t>
  </si>
  <si>
    <t>062507-00082</t>
  </si>
  <si>
    <t>062507-00083</t>
  </si>
  <si>
    <t>062507-00084</t>
  </si>
  <si>
    <t>都島区役所</t>
  </si>
  <si>
    <t>062507-00086</t>
  </si>
  <si>
    <t>大正区役所</t>
  </si>
  <si>
    <t>062507-00087</t>
  </si>
  <si>
    <t>062507-00088</t>
  </si>
  <si>
    <t>淀川区役所</t>
  </si>
  <si>
    <t>062507-00089</t>
  </si>
  <si>
    <t>062507-00091</t>
  </si>
  <si>
    <t>062507-00092</t>
  </si>
  <si>
    <t>062507-00093</t>
  </si>
  <si>
    <t>062507-00094</t>
  </si>
  <si>
    <t>062507-00095</t>
  </si>
  <si>
    <t>062507-00096</t>
  </si>
  <si>
    <t>062507-00100</t>
  </si>
  <si>
    <t>062507-00102</t>
  </si>
  <si>
    <t>062507-00103</t>
  </si>
  <si>
    <t>062507-00105</t>
  </si>
  <si>
    <t>062507-00107</t>
  </si>
  <si>
    <t>062507-00108</t>
  </si>
  <si>
    <t>062507-00109</t>
  </si>
  <si>
    <t>062507-00112</t>
  </si>
  <si>
    <t>062507-00113</t>
  </si>
  <si>
    <t>062507-00114</t>
  </si>
  <si>
    <t>062507-00118</t>
  </si>
  <si>
    <t>東成区役所</t>
  </si>
  <si>
    <t>062507-00119</t>
  </si>
  <si>
    <t>062507-00120</t>
  </si>
  <si>
    <t>062507-00123</t>
  </si>
  <si>
    <t>062507-00124</t>
  </si>
  <si>
    <t>062507-00125</t>
  </si>
  <si>
    <t>062507-00126</t>
  </si>
  <si>
    <t>062507-00127</t>
  </si>
  <si>
    <t>062507-00129</t>
  </si>
  <si>
    <t>062507-00130</t>
  </si>
  <si>
    <t>062507-00135</t>
  </si>
  <si>
    <t>062507-00137</t>
  </si>
  <si>
    <t>062507-00138</t>
  </si>
  <si>
    <t>北区役所</t>
  </si>
  <si>
    <t>062507-00141</t>
  </si>
  <si>
    <t>西淀川区役所</t>
  </si>
  <si>
    <t>062507-00142</t>
  </si>
  <si>
    <t>062507-00143</t>
  </si>
  <si>
    <t>062507-00144</t>
  </si>
  <si>
    <t>062507-00145</t>
  </si>
  <si>
    <t>062507-00146</t>
  </si>
  <si>
    <t>062507-00147</t>
  </si>
  <si>
    <t>062507-00151</t>
  </si>
  <si>
    <t>062507-00152</t>
  </si>
  <si>
    <t>062507-00161</t>
  </si>
  <si>
    <t>062507-00163</t>
  </si>
  <si>
    <t>062507-00164</t>
  </si>
  <si>
    <t>062507-00165</t>
  </si>
  <si>
    <t>062507-00166</t>
  </si>
  <si>
    <t>062507-00167</t>
  </si>
  <si>
    <t>062507-00169</t>
  </si>
  <si>
    <t>062507-00170</t>
  </si>
  <si>
    <t>062507-00173</t>
  </si>
  <si>
    <t>062507-00174</t>
  </si>
  <si>
    <t>062507-00175</t>
  </si>
  <si>
    <t>062507-00176</t>
  </si>
  <si>
    <t>062507-00177</t>
  </si>
  <si>
    <t>062507-00178</t>
  </si>
  <si>
    <t>062507-00179</t>
  </si>
  <si>
    <t>062507-00180</t>
  </si>
  <si>
    <t>062507-00181</t>
  </si>
  <si>
    <t>062507-00182</t>
  </si>
  <si>
    <t>062507-00183</t>
  </si>
  <si>
    <t>062507-00184</t>
  </si>
  <si>
    <t>062507-00185</t>
  </si>
  <si>
    <t>062507-00187</t>
  </si>
  <si>
    <t>062507-00188</t>
  </si>
  <si>
    <t>062507-00190</t>
  </si>
  <si>
    <t>062507-00191</t>
  </si>
  <si>
    <t>062507-00192</t>
  </si>
  <si>
    <t>062507-00193</t>
  </si>
  <si>
    <t>062507-00195</t>
  </si>
  <si>
    <t>天王寺区役所</t>
  </si>
  <si>
    <t>062507-00197</t>
  </si>
  <si>
    <t>062507-00198</t>
  </si>
  <si>
    <t>062507-00199</t>
  </si>
  <si>
    <t>062507-00207</t>
  </si>
  <si>
    <t>062507-00212</t>
  </si>
  <si>
    <t>062507-00214</t>
  </si>
  <si>
    <t>062507-00216</t>
  </si>
  <si>
    <t>062507-00217</t>
  </si>
  <si>
    <t>062507-00218</t>
  </si>
  <si>
    <t>062507-00220</t>
  </si>
  <si>
    <t>062507-00221</t>
  </si>
  <si>
    <t>062507-00222</t>
  </si>
  <si>
    <t>062507-00223</t>
  </si>
  <si>
    <t>062507-00224</t>
  </si>
  <si>
    <t>062507-00226</t>
  </si>
  <si>
    <t>062507-00229</t>
  </si>
  <si>
    <t>062507-00230</t>
  </si>
  <si>
    <t>062507-00232</t>
  </si>
  <si>
    <t>062507-00233</t>
  </si>
  <si>
    <t>062507-00234</t>
  </si>
  <si>
    <t>062507-00235</t>
  </si>
  <si>
    <t>062507-00236</t>
  </si>
  <si>
    <t>062507-00237</t>
  </si>
  <si>
    <t>062507-00240</t>
  </si>
  <si>
    <t>062507-00243</t>
  </si>
  <si>
    <t>062507-00244</t>
  </si>
  <si>
    <t>062507-00245</t>
  </si>
  <si>
    <t>062507-00246</t>
  </si>
  <si>
    <t>062507-00248</t>
  </si>
  <si>
    <t>062507-00249</t>
  </si>
  <si>
    <t>062507-00250</t>
  </si>
  <si>
    <t>062507-00251</t>
  </si>
  <si>
    <t>062507-00252</t>
  </si>
  <si>
    <t>062507-00254</t>
  </si>
  <si>
    <t>062507-00255</t>
  </si>
  <si>
    <t>062507-00258</t>
  </si>
  <si>
    <t>062507-00259</t>
  </si>
  <si>
    <t>062507-00260</t>
  </si>
  <si>
    <t>062507-00261</t>
  </si>
  <si>
    <t>062507-00262</t>
  </si>
  <si>
    <t>062507-00263</t>
  </si>
  <si>
    <t>062507-00264</t>
  </si>
  <si>
    <t>062507-00265</t>
  </si>
  <si>
    <t>062507-00267</t>
  </si>
  <si>
    <t>062507-00268</t>
  </si>
  <si>
    <t>062507-00269</t>
  </si>
  <si>
    <t>062507-00270</t>
  </si>
  <si>
    <t>062507-00271</t>
  </si>
  <si>
    <t>062507-00272</t>
  </si>
  <si>
    <t>062507-00273</t>
  </si>
  <si>
    <t>062507-00274</t>
  </si>
  <si>
    <t>062507-00275</t>
  </si>
  <si>
    <t>062507-00277</t>
  </si>
  <si>
    <t>062507-00279</t>
  </si>
  <si>
    <t>062507-00280</t>
  </si>
  <si>
    <t>062507-00282</t>
  </si>
  <si>
    <t>062507-00283</t>
  </si>
  <si>
    <t>062507-00284</t>
  </si>
  <si>
    <t>062507-00285</t>
  </si>
  <si>
    <t>062507-10007</t>
  </si>
  <si>
    <t>062507-10008</t>
  </si>
  <si>
    <t>062507-10022</t>
  </si>
  <si>
    <t>069603-00002</t>
  </si>
  <si>
    <t>069603-00003</t>
  </si>
  <si>
    <t>069603-10003</t>
  </si>
  <si>
    <t>069603-10009</t>
  </si>
  <si>
    <t>069603-10010</t>
  </si>
  <si>
    <t>069806-00799</t>
  </si>
  <si>
    <t>069806-00800</t>
  </si>
  <si>
    <t>120114-00000</t>
  </si>
  <si>
    <t>建設局</t>
  </si>
  <si>
    <t>120114-00001</t>
  </si>
  <si>
    <t>120114-00002</t>
  </si>
  <si>
    <t>120114-00003</t>
  </si>
  <si>
    <t>120114-00004</t>
  </si>
  <si>
    <t>120114-00006</t>
  </si>
  <si>
    <t>120114-00007</t>
  </si>
  <si>
    <t>120114-00015</t>
  </si>
  <si>
    <t>120114-00018</t>
  </si>
  <si>
    <t>120114-00085</t>
  </si>
  <si>
    <t>120114-00086</t>
  </si>
  <si>
    <t>120114-00087</t>
  </si>
  <si>
    <t>120114-00142</t>
  </si>
  <si>
    <t>120114-00149</t>
  </si>
  <si>
    <t>120114-10033</t>
  </si>
  <si>
    <t>120114-10034</t>
  </si>
  <si>
    <t>120114-10035</t>
  </si>
  <si>
    <t>120114-10037</t>
  </si>
  <si>
    <t>120114-10038</t>
  </si>
  <si>
    <t>120114-10039</t>
  </si>
  <si>
    <t>120114-10040</t>
  </si>
  <si>
    <t>120114-10042</t>
  </si>
  <si>
    <t>120114-10045</t>
  </si>
  <si>
    <t>120114-10046</t>
  </si>
  <si>
    <t>120114-10047</t>
  </si>
  <si>
    <t>120114-10048</t>
  </si>
  <si>
    <t>120114-10054</t>
  </si>
  <si>
    <t>120906-00005</t>
  </si>
  <si>
    <t>120907-00282</t>
  </si>
  <si>
    <t>120907-00283</t>
  </si>
  <si>
    <t>120907-00284</t>
  </si>
  <si>
    <t>120907-00285</t>
  </si>
  <si>
    <t>120907-00286</t>
  </si>
  <si>
    <t>120907-00287</t>
  </si>
  <si>
    <t>120907-00288</t>
  </si>
  <si>
    <t>120907-00289</t>
  </si>
  <si>
    <t>120907-00290</t>
  </si>
  <si>
    <t>120907-00291</t>
  </si>
  <si>
    <t>120907-00292</t>
  </si>
  <si>
    <t>120907-00293</t>
  </si>
  <si>
    <t>120907-00294</t>
  </si>
  <si>
    <t>120907-00295</t>
  </si>
  <si>
    <t>120907-00296</t>
  </si>
  <si>
    <t>120907-00297</t>
  </si>
  <si>
    <t>120907-00298</t>
  </si>
  <si>
    <t>120907-00299</t>
  </si>
  <si>
    <t>120907-00300</t>
  </si>
  <si>
    <t>120907-00301</t>
  </si>
  <si>
    <t>120907-00302</t>
  </si>
  <si>
    <t>120907-00303</t>
  </si>
  <si>
    <t>120907-00304</t>
  </si>
  <si>
    <t>120907-00305</t>
  </si>
  <si>
    <t>120907-00306</t>
  </si>
  <si>
    <t>120907-00307</t>
  </si>
  <si>
    <t>120907-00308</t>
  </si>
  <si>
    <t>120907-00309</t>
  </si>
  <si>
    <t>120907-00310</t>
  </si>
  <si>
    <t>120907-00311</t>
  </si>
  <si>
    <t>120907-00312</t>
  </si>
  <si>
    <t>120907-00313</t>
  </si>
  <si>
    <t>120907-00314</t>
  </si>
  <si>
    <t>120907-00315</t>
  </si>
  <si>
    <t>120907-00316</t>
  </si>
  <si>
    <t>120907-00317</t>
  </si>
  <si>
    <t>120907-00318</t>
  </si>
  <si>
    <t>120907-00319</t>
  </si>
  <si>
    <t>120907-00320</t>
  </si>
  <si>
    <t>120907-00321</t>
  </si>
  <si>
    <t>120907-00322</t>
  </si>
  <si>
    <t>120907-00323</t>
  </si>
  <si>
    <t>120907-00324</t>
  </si>
  <si>
    <t>120907-00325</t>
  </si>
  <si>
    <t>120907-00326</t>
  </si>
  <si>
    <t>120907-00327</t>
  </si>
  <si>
    <t>120907-00328</t>
  </si>
  <si>
    <t>120907-00329</t>
  </si>
  <si>
    <t>120907-00330</t>
  </si>
  <si>
    <t>120907-00331</t>
  </si>
  <si>
    <t>120907-00332</t>
  </si>
  <si>
    <t>120907-00333</t>
  </si>
  <si>
    <t>120907-00334</t>
  </si>
  <si>
    <t>120907-00335</t>
  </si>
  <si>
    <t>120907-00336</t>
  </si>
  <si>
    <t>120907-00337</t>
  </si>
  <si>
    <t>120907-00338</t>
  </si>
  <si>
    <t>120907-00339</t>
  </si>
  <si>
    <t>120907-00340</t>
  </si>
  <si>
    <t>120907-00341</t>
  </si>
  <si>
    <t>120907-00342</t>
  </si>
  <si>
    <t>120907-00343</t>
  </si>
  <si>
    <t>120907-00344</t>
  </si>
  <si>
    <t>120907-00345</t>
  </si>
  <si>
    <t>120907-00346</t>
  </si>
  <si>
    <t>120907-00347</t>
  </si>
  <si>
    <t>120907-00348</t>
  </si>
  <si>
    <t>120907-00349</t>
  </si>
  <si>
    <t>120907-00350</t>
  </si>
  <si>
    <t>120907-00351</t>
  </si>
  <si>
    <t>120907-00352</t>
  </si>
  <si>
    <t>120907-00353</t>
  </si>
  <si>
    <t>120907-00354</t>
  </si>
  <si>
    <t>120907-00355</t>
  </si>
  <si>
    <t>120907-00356</t>
  </si>
  <si>
    <t>120907-00357</t>
  </si>
  <si>
    <t>120907-00358</t>
  </si>
  <si>
    <t>120907-00359</t>
  </si>
  <si>
    <t>120907-00360</t>
  </si>
  <si>
    <t>120907-00361</t>
  </si>
  <si>
    <t>120907-00362</t>
  </si>
  <si>
    <t>120907-00363</t>
  </si>
  <si>
    <t>120907-00364</t>
  </si>
  <si>
    <t>120907-00365</t>
  </si>
  <si>
    <t>120907-00366</t>
  </si>
  <si>
    <t>120907-00367</t>
  </si>
  <si>
    <t>120907-00368</t>
  </si>
  <si>
    <t>120907-00369</t>
  </si>
  <si>
    <t>120907-00370</t>
  </si>
  <si>
    <t>120907-00371</t>
  </si>
  <si>
    <t>120907-00372</t>
  </si>
  <si>
    <t>120907-00373</t>
  </si>
  <si>
    <t>120907-00374</t>
  </si>
  <si>
    <t>120907-00375</t>
  </si>
  <si>
    <t>120907-00376</t>
  </si>
  <si>
    <t>120907-00377</t>
  </si>
  <si>
    <t>120907-00378</t>
  </si>
  <si>
    <t>120907-00379</t>
  </si>
  <si>
    <t>120907-00380</t>
  </si>
  <si>
    <t>120907-00381</t>
  </si>
  <si>
    <t>120907-00382</t>
  </si>
  <si>
    <t>120907-00383</t>
  </si>
  <si>
    <t>120907-00384</t>
  </si>
  <si>
    <t>120907-00385</t>
  </si>
  <si>
    <t>120907-00386</t>
  </si>
  <si>
    <t>120907-00387</t>
  </si>
  <si>
    <t>120907-00388</t>
  </si>
  <si>
    <t>120907-00389</t>
  </si>
  <si>
    <t>120907-00390</t>
  </si>
  <si>
    <t>120907-00391</t>
  </si>
  <si>
    <t>120907-00392</t>
  </si>
  <si>
    <t>120907-00393</t>
  </si>
  <si>
    <t>120907-00394</t>
  </si>
  <si>
    <t>120907-00395</t>
  </si>
  <si>
    <t>120907-00396</t>
  </si>
  <si>
    <t>120907-00397</t>
  </si>
  <si>
    <t>120907-00398</t>
  </si>
  <si>
    <t>120907-00399</t>
  </si>
  <si>
    <t>120907-00400</t>
  </si>
  <si>
    <t>120907-00401</t>
  </si>
  <si>
    <t>120907-00402</t>
  </si>
  <si>
    <t>120907-00404</t>
  </si>
  <si>
    <t>120907-00407</t>
  </si>
  <si>
    <t>120907-00408</t>
  </si>
  <si>
    <t>120907-00409</t>
  </si>
  <si>
    <t>120907-00410</t>
  </si>
  <si>
    <t>120907-00411</t>
  </si>
  <si>
    <t>120907-00412</t>
  </si>
  <si>
    <t>120907-00413</t>
  </si>
  <si>
    <t>120907-00414</t>
  </si>
  <si>
    <t>120907-00415</t>
  </si>
  <si>
    <t>120907-00416</t>
  </si>
  <si>
    <t>120907-00417</t>
  </si>
  <si>
    <t>120907-00418</t>
  </si>
  <si>
    <t>120907-00420</t>
  </si>
  <si>
    <t>120907-00431</t>
  </si>
  <si>
    <t>120907-00432</t>
  </si>
  <si>
    <t>120907-00433</t>
  </si>
  <si>
    <t>120907-00434</t>
  </si>
  <si>
    <t>120907-00435</t>
  </si>
  <si>
    <t>120907-00436</t>
  </si>
  <si>
    <t>120907-00437</t>
  </si>
  <si>
    <t>120907-00438</t>
  </si>
  <si>
    <t>120907-00439</t>
  </si>
  <si>
    <t>120907-00440</t>
  </si>
  <si>
    <t>120907-00441</t>
  </si>
  <si>
    <t>120907-00442</t>
  </si>
  <si>
    <t>120907-00443</t>
  </si>
  <si>
    <t>120907-00444</t>
  </si>
  <si>
    <t>120907-00445</t>
  </si>
  <si>
    <t>120907-00446</t>
  </si>
  <si>
    <t>120907-00447</t>
  </si>
  <si>
    <t>120907-00448</t>
  </si>
  <si>
    <t>120907-00449</t>
  </si>
  <si>
    <t>120907-00450</t>
  </si>
  <si>
    <t>120907-00451</t>
  </si>
  <si>
    <t>120907-00452</t>
  </si>
  <si>
    <t>120907-00453</t>
  </si>
  <si>
    <t>120907-00454</t>
  </si>
  <si>
    <t>120907-00455</t>
  </si>
  <si>
    <t>120907-00456</t>
  </si>
  <si>
    <t>120907-00457</t>
  </si>
  <si>
    <t>120907-00458</t>
  </si>
  <si>
    <t>120907-00459</t>
  </si>
  <si>
    <t>120907-00460</t>
  </si>
  <si>
    <t>120907-00461</t>
  </si>
  <si>
    <t>120907-00462</t>
  </si>
  <si>
    <t>120907-00463</t>
  </si>
  <si>
    <t>120907-00464</t>
  </si>
  <si>
    <t>120907-00465</t>
  </si>
  <si>
    <t>120907-00466</t>
  </si>
  <si>
    <t>120907-00478</t>
  </si>
  <si>
    <t>121001-10079</t>
  </si>
  <si>
    <t>121001-10080</t>
  </si>
  <si>
    <t>121001-10081</t>
  </si>
  <si>
    <t>121001-10082</t>
  </si>
  <si>
    <t>121001-10083</t>
  </si>
  <si>
    <t>121001-10084</t>
  </si>
  <si>
    <t>121001-10085</t>
  </si>
  <si>
    <t>121001-10087</t>
  </si>
  <si>
    <t>121001-10088</t>
  </si>
  <si>
    <t>121001-10089</t>
  </si>
  <si>
    <t>121001-10090</t>
  </si>
  <si>
    <t>121001-10091</t>
  </si>
  <si>
    <t>121001-10092</t>
  </si>
  <si>
    <t>121001-10093</t>
  </si>
  <si>
    <t>121001-10094</t>
  </si>
  <si>
    <t>121001-10095</t>
  </si>
  <si>
    <t>121001-10096</t>
  </si>
  <si>
    <t>121001-10097</t>
  </si>
  <si>
    <t>121001-10098</t>
  </si>
  <si>
    <t>121001-10099</t>
  </si>
  <si>
    <t>121001-10100</t>
  </si>
  <si>
    <t>121001-10101</t>
  </si>
  <si>
    <t>121001-10102</t>
  </si>
  <si>
    <t>121001-10103</t>
  </si>
  <si>
    <t>121001-10105</t>
  </si>
  <si>
    <t>健康局</t>
  </si>
  <si>
    <t>121002-00000</t>
  </si>
  <si>
    <t>121002-00001</t>
  </si>
  <si>
    <t>121002-00002</t>
  </si>
  <si>
    <t>121002-00055</t>
  </si>
  <si>
    <t>121002-00062</t>
  </si>
  <si>
    <t>121002-00064</t>
  </si>
  <si>
    <t>121002-00151</t>
  </si>
  <si>
    <t>121002-00163</t>
  </si>
  <si>
    <t>121002-00167</t>
  </si>
  <si>
    <t>121002-00178</t>
  </si>
  <si>
    <t>121002-00182</t>
  </si>
  <si>
    <t>121002-00214</t>
  </si>
  <si>
    <t>121002-00225</t>
  </si>
  <si>
    <t>121002-00232</t>
  </si>
  <si>
    <t>121002-00233</t>
  </si>
  <si>
    <t>121002-10001</t>
  </si>
  <si>
    <t>121002-10004</t>
  </si>
  <si>
    <t>121002-10006</t>
  </si>
  <si>
    <t>121002-10010</t>
  </si>
  <si>
    <t>121002-10011</t>
  </si>
  <si>
    <t>121005-00017</t>
  </si>
  <si>
    <t>121005-10001</t>
  </si>
  <si>
    <t>121005-10003</t>
  </si>
  <si>
    <t>121005-10004</t>
  </si>
  <si>
    <t>121005-10005</t>
  </si>
  <si>
    <t>121005-10006</t>
  </si>
  <si>
    <t>121005-10007</t>
  </si>
  <si>
    <t>121005-10011</t>
  </si>
  <si>
    <t>121005-10012</t>
  </si>
  <si>
    <t>121005-10013</t>
  </si>
  <si>
    <t>121005-10014</t>
  </si>
  <si>
    <t>121005-10015</t>
  </si>
  <si>
    <t>121005-10016</t>
  </si>
  <si>
    <t>121005-10017</t>
  </si>
  <si>
    <t>121005-10018</t>
  </si>
  <si>
    <t>121005-10021</t>
  </si>
  <si>
    <t>121005-10023</t>
  </si>
  <si>
    <t>121005-10024</t>
  </si>
  <si>
    <t>121005-10026</t>
  </si>
  <si>
    <t>121005-10027</t>
  </si>
  <si>
    <t>121005-10028</t>
  </si>
  <si>
    <t>121005-10029</t>
  </si>
  <si>
    <t>121005-10032</t>
  </si>
  <si>
    <t>121005-10034</t>
  </si>
  <si>
    <t>121005-10035</t>
  </si>
  <si>
    <t>121005-10036</t>
  </si>
  <si>
    <t>121005-10039</t>
  </si>
  <si>
    <t>121005-10040</t>
  </si>
  <si>
    <t>121005-10041</t>
  </si>
  <si>
    <t>121005-10042</t>
  </si>
  <si>
    <t>121005-10044</t>
  </si>
  <si>
    <t>121005-10045</t>
  </si>
  <si>
    <t>121005-10046</t>
  </si>
  <si>
    <t>121005-10047</t>
  </si>
  <si>
    <t>121005-10048</t>
  </si>
  <si>
    <t>121005-10050</t>
  </si>
  <si>
    <t>121005-10054</t>
  </si>
  <si>
    <t>121005-10055</t>
  </si>
  <si>
    <t>121005-10056</t>
  </si>
  <si>
    <t>121005-10057</t>
  </si>
  <si>
    <t>121005-10058</t>
  </si>
  <si>
    <t>121006-00000</t>
  </si>
  <si>
    <t>121006-00007</t>
  </si>
  <si>
    <t>121006-00008</t>
  </si>
  <si>
    <t>121006-00009</t>
  </si>
  <si>
    <t>121006-00010</t>
  </si>
  <si>
    <t>121006-00011</t>
  </si>
  <si>
    <t>121006-00012</t>
  </si>
  <si>
    <t>121006-00013</t>
  </si>
  <si>
    <t>121006-00014</t>
  </si>
  <si>
    <t>121006-00018</t>
  </si>
  <si>
    <t>121006-00021</t>
  </si>
  <si>
    <t>121006-00022</t>
  </si>
  <si>
    <t>121006-00023</t>
  </si>
  <si>
    <t>121006-00024</t>
  </si>
  <si>
    <t>121006-00025</t>
  </si>
  <si>
    <t>121006-00026</t>
  </si>
  <si>
    <t>121006-00027</t>
  </si>
  <si>
    <t>121006-00031</t>
  </si>
  <si>
    <t>121006-00032</t>
  </si>
  <si>
    <t>121006-00033</t>
  </si>
  <si>
    <t>121006-00034</t>
  </si>
  <si>
    <t>121006-00035</t>
  </si>
  <si>
    <t>121006-00048</t>
  </si>
  <si>
    <t>121006-00056</t>
  </si>
  <si>
    <t>121006-00057</t>
  </si>
  <si>
    <t>121006-00071</t>
  </si>
  <si>
    <t>121006-00072</t>
  </si>
  <si>
    <t>121006-00073</t>
  </si>
  <si>
    <t>121006-00079</t>
  </si>
  <si>
    <t>121006-00081</t>
  </si>
  <si>
    <t>121006-00082</t>
  </si>
  <si>
    <t>121006-00083</t>
  </si>
  <si>
    <t>121006-00084</t>
  </si>
  <si>
    <t>121006-00085</t>
  </si>
  <si>
    <t>121006-00088</t>
  </si>
  <si>
    <t>121006-00091</t>
  </si>
  <si>
    <t>121107-00003</t>
  </si>
  <si>
    <t>121307-00000</t>
  </si>
  <si>
    <t>121307-00001</t>
  </si>
  <si>
    <t>121307-00003</t>
  </si>
  <si>
    <t>121307-00004</t>
  </si>
  <si>
    <t>121307-00005</t>
  </si>
  <si>
    <t>121307-00006</t>
  </si>
  <si>
    <t>121307-00007</t>
  </si>
  <si>
    <t>121307-00008</t>
  </si>
  <si>
    <t>121307-00009</t>
  </si>
  <si>
    <t>121307-00010</t>
  </si>
  <si>
    <t>121307-00011</t>
  </si>
  <si>
    <t>121307-00012</t>
  </si>
  <si>
    <t>121307-00013</t>
  </si>
  <si>
    <t>121307-00014</t>
  </si>
  <si>
    <t>121307-00015</t>
  </si>
  <si>
    <t>121307-00016</t>
  </si>
  <si>
    <t>121307-00017</t>
  </si>
  <si>
    <t>121601-00001</t>
  </si>
  <si>
    <t>121601-00002</t>
  </si>
  <si>
    <t>121601-00004</t>
  </si>
  <si>
    <t>121601-12005</t>
  </si>
  <si>
    <t>121601-12006</t>
  </si>
  <si>
    <t>121601-12007</t>
  </si>
  <si>
    <t>121601-12008</t>
  </si>
  <si>
    <t>121601-12009</t>
  </si>
  <si>
    <t>121601-12010</t>
  </si>
  <si>
    <t>121601-12011</t>
  </si>
  <si>
    <t>121601-12012</t>
  </si>
  <si>
    <t>121601-12013</t>
  </si>
  <si>
    <t>121601-12014</t>
  </si>
  <si>
    <t>121601-12015</t>
  </si>
  <si>
    <t>121601-12016</t>
  </si>
  <si>
    <t>121601-12017</t>
  </si>
  <si>
    <t>121601-12018</t>
  </si>
  <si>
    <t>121601-12019</t>
  </si>
  <si>
    <t>121601-12020</t>
  </si>
  <si>
    <t>121601-12021</t>
  </si>
  <si>
    <t>121601-12022</t>
  </si>
  <si>
    <t>121601-12023</t>
  </si>
  <si>
    <t>121601-12024</t>
  </si>
  <si>
    <t>121601-12025</t>
  </si>
  <si>
    <t>121601-12026</t>
  </si>
  <si>
    <t>121601-12027</t>
  </si>
  <si>
    <t>121601-12028</t>
  </si>
  <si>
    <t>121601-12029</t>
  </si>
  <si>
    <t>121601-12030</t>
  </si>
  <si>
    <t>121601-12031</t>
  </si>
  <si>
    <t>121601-12032</t>
  </si>
  <si>
    <t>121601-12033</t>
  </si>
  <si>
    <t>121601-12034</t>
  </si>
  <si>
    <t>121601-12035</t>
  </si>
  <si>
    <t>121601-12036</t>
  </si>
  <si>
    <t>121601-12037</t>
  </si>
  <si>
    <t>121601-12038</t>
  </si>
  <si>
    <t>121601-12039</t>
  </si>
  <si>
    <t>121601-12040</t>
  </si>
  <si>
    <t>121601-12041</t>
  </si>
  <si>
    <t>121601-12042</t>
  </si>
  <si>
    <t>121601-12043</t>
  </si>
  <si>
    <t>121601-12044</t>
  </si>
  <si>
    <t>121601-12045</t>
  </si>
  <si>
    <t>121601-12046</t>
  </si>
  <si>
    <t>121601-12047</t>
  </si>
  <si>
    <t>121601-12048</t>
  </si>
  <si>
    <t>121601-12049</t>
  </si>
  <si>
    <t>121601-12050</t>
  </si>
  <si>
    <t>121601-12051</t>
  </si>
  <si>
    <t>121601-12052</t>
  </si>
  <si>
    <t>121601-12053</t>
  </si>
  <si>
    <t>121601-12054</t>
  </si>
  <si>
    <t>121601-12055</t>
  </si>
  <si>
    <t>121601-12056</t>
  </si>
  <si>
    <t>121601-12057</t>
  </si>
  <si>
    <t>121601-12058</t>
  </si>
  <si>
    <t>121601-12059</t>
  </si>
  <si>
    <t>121601-12060</t>
  </si>
  <si>
    <t>121601-12061</t>
  </si>
  <si>
    <t>121601-12062</t>
  </si>
  <si>
    <t>121601-12063</t>
  </si>
  <si>
    <t>121601-12064</t>
  </si>
  <si>
    <t>121601-12065</t>
  </si>
  <si>
    <t>121601-12066</t>
  </si>
  <si>
    <t>121601-12067</t>
  </si>
  <si>
    <t>121601-12068</t>
  </si>
  <si>
    <t>121601-12069</t>
  </si>
  <si>
    <t>121601-12070</t>
  </si>
  <si>
    <t>121601-12071</t>
  </si>
  <si>
    <t>121601-12072</t>
  </si>
  <si>
    <t>121601-12073</t>
  </si>
  <si>
    <t>121601-12074</t>
  </si>
  <si>
    <t>121601-12075</t>
  </si>
  <si>
    <t>121601-12076</t>
  </si>
  <si>
    <t>121601-12077</t>
  </si>
  <si>
    <t>121601-12078</t>
  </si>
  <si>
    <t>121601-12079</t>
  </si>
  <si>
    <t>121601-12080</t>
  </si>
  <si>
    <t>121601-12081</t>
  </si>
  <si>
    <t>121601-12082</t>
  </si>
  <si>
    <t>121601-12083</t>
  </si>
  <si>
    <t>121601-12084</t>
  </si>
  <si>
    <t>121601-12085</t>
  </si>
  <si>
    <t>121601-12086</t>
  </si>
  <si>
    <t>121601-12087</t>
  </si>
  <si>
    <t>121601-12088</t>
  </si>
  <si>
    <t>121601-12089</t>
  </si>
  <si>
    <t>121601-12090</t>
  </si>
  <si>
    <t>121601-12091</t>
  </si>
  <si>
    <t>121601-12092</t>
  </si>
  <si>
    <t>121601-12093</t>
  </si>
  <si>
    <t>121601-12094</t>
  </si>
  <si>
    <t>121601-12095</t>
  </si>
  <si>
    <t>121601-12096</t>
  </si>
  <si>
    <t>121601-12097</t>
  </si>
  <si>
    <t>121601-12098</t>
  </si>
  <si>
    <t>121601-12099</t>
  </si>
  <si>
    <t>121601-12100</t>
  </si>
  <si>
    <t>121601-12101</t>
  </si>
  <si>
    <t>121601-12102</t>
  </si>
  <si>
    <t>121601-12103</t>
  </si>
  <si>
    <t>121601-12104</t>
  </si>
  <si>
    <t>121601-12105</t>
  </si>
  <si>
    <t>121601-12106</t>
  </si>
  <si>
    <t>121601-12107</t>
  </si>
  <si>
    <t>121601-12108</t>
  </si>
  <si>
    <t>121601-12109</t>
  </si>
  <si>
    <t>121601-12110</t>
  </si>
  <si>
    <t>121601-12111</t>
  </si>
  <si>
    <t>121601-12112</t>
  </si>
  <si>
    <t>121601-12113</t>
  </si>
  <si>
    <t>121601-12114</t>
  </si>
  <si>
    <t>121601-12115</t>
  </si>
  <si>
    <t>121601-12116</t>
  </si>
  <si>
    <t>121601-12117</t>
  </si>
  <si>
    <t>121601-12118</t>
  </si>
  <si>
    <t>121601-12119</t>
  </si>
  <si>
    <t>121601-12120</t>
  </si>
  <si>
    <t>121601-12121</t>
  </si>
  <si>
    <t>121601-12122</t>
  </si>
  <si>
    <t>121601-12123</t>
  </si>
  <si>
    <t>121601-12124</t>
  </si>
  <si>
    <t>121601-12125</t>
  </si>
  <si>
    <t>121601-12126</t>
  </si>
  <si>
    <t>121601-12127</t>
  </si>
  <si>
    <t>121601-12128</t>
  </si>
  <si>
    <t>121601-12129</t>
  </si>
  <si>
    <t>121601-12130</t>
  </si>
  <si>
    <t>121601-12131</t>
  </si>
  <si>
    <t>121601-12132</t>
  </si>
  <si>
    <t>121601-12133</t>
  </si>
  <si>
    <t>121601-12134</t>
  </si>
  <si>
    <t>121601-12135</t>
  </si>
  <si>
    <t>121601-12136</t>
  </si>
  <si>
    <t>121601-12137</t>
  </si>
  <si>
    <t>121601-12138</t>
  </si>
  <si>
    <t>121601-12139</t>
  </si>
  <si>
    <t>121601-12140</t>
  </si>
  <si>
    <t>121601-12141</t>
  </si>
  <si>
    <t>121601-12142</t>
  </si>
  <si>
    <t>121601-12143</t>
  </si>
  <si>
    <t>121601-12144</t>
  </si>
  <si>
    <t>121601-12145</t>
  </si>
  <si>
    <t>121601-12146</t>
  </si>
  <si>
    <t>121601-12147</t>
  </si>
  <si>
    <t>121601-12148</t>
  </si>
  <si>
    <t>121601-12149</t>
  </si>
  <si>
    <t>121601-12150</t>
  </si>
  <si>
    <t>121601-12151</t>
  </si>
  <si>
    <t>121601-12152</t>
  </si>
  <si>
    <t>121601-12153</t>
  </si>
  <si>
    <t>121601-12154</t>
  </si>
  <si>
    <t>121601-12155</t>
  </si>
  <si>
    <t>121601-12156</t>
  </si>
  <si>
    <t>121601-12157</t>
  </si>
  <si>
    <t>121601-12158</t>
  </si>
  <si>
    <t>121601-12159</t>
  </si>
  <si>
    <t>121601-12160</t>
  </si>
  <si>
    <t>121601-12161</t>
  </si>
  <si>
    <t>121601-12162</t>
  </si>
  <si>
    <t>121601-12163</t>
  </si>
  <si>
    <t>121601-12164</t>
  </si>
  <si>
    <t>121601-12165</t>
  </si>
  <si>
    <t>121601-12166</t>
  </si>
  <si>
    <t>121601-12167</t>
  </si>
  <si>
    <t>121601-12168</t>
  </si>
  <si>
    <t>121601-12169</t>
  </si>
  <si>
    <t>121601-12170</t>
  </si>
  <si>
    <t>121601-12171</t>
  </si>
  <si>
    <t>121601-12172</t>
  </si>
  <si>
    <t>121601-12173</t>
  </si>
  <si>
    <t>121601-12174</t>
  </si>
  <si>
    <t>121601-12175</t>
  </si>
  <si>
    <t>121601-12176</t>
  </si>
  <si>
    <t>121601-12177</t>
  </si>
  <si>
    <t>121601-12178</t>
  </si>
  <si>
    <t>121601-12179</t>
  </si>
  <si>
    <t>121601-12180</t>
  </si>
  <si>
    <t>121601-12181</t>
  </si>
  <si>
    <t>121601-12182</t>
  </si>
  <si>
    <t>121601-12183</t>
  </si>
  <si>
    <t>121601-12184</t>
  </si>
  <si>
    <t>121601-12185</t>
  </si>
  <si>
    <t>121601-12186</t>
  </si>
  <si>
    <t>121601-12187</t>
  </si>
  <si>
    <t>121601-12188</t>
  </si>
  <si>
    <t>121601-12189</t>
  </si>
  <si>
    <t>121601-12190</t>
  </si>
  <si>
    <t>121601-12191</t>
  </si>
  <si>
    <t>121601-12192</t>
  </si>
  <si>
    <t>121601-12193</t>
  </si>
  <si>
    <t>121601-12194</t>
  </si>
  <si>
    <t>121601-12195</t>
  </si>
  <si>
    <t>121601-12196</t>
  </si>
  <si>
    <t>121601-12197</t>
  </si>
  <si>
    <t>121601-12198</t>
  </si>
  <si>
    <t>121601-12199</t>
  </si>
  <si>
    <t>121601-12200</t>
  </si>
  <si>
    <t>121601-12201</t>
  </si>
  <si>
    <t>121601-12202</t>
  </si>
  <si>
    <t>121601-12203</t>
  </si>
  <si>
    <t>121601-12204</t>
  </si>
  <si>
    <t>121601-12205</t>
  </si>
  <si>
    <t>121601-12206</t>
  </si>
  <si>
    <t>121601-12207</t>
  </si>
  <si>
    <t>121601-12208</t>
  </si>
  <si>
    <t>121601-12209</t>
  </si>
  <si>
    <t>121601-12210</t>
  </si>
  <si>
    <t>121601-12211</t>
  </si>
  <si>
    <t>121601-12212</t>
  </si>
  <si>
    <t>121601-12213</t>
  </si>
  <si>
    <t>121601-12214</t>
  </si>
  <si>
    <t>121601-12215</t>
  </si>
  <si>
    <t>121601-12216</t>
  </si>
  <si>
    <t>121601-12217</t>
  </si>
  <si>
    <t>121601-12218</t>
  </si>
  <si>
    <t>121601-12219</t>
  </si>
  <si>
    <t>121601-12220</t>
  </si>
  <si>
    <t>121601-12221</t>
  </si>
  <si>
    <t>121601-12222</t>
  </si>
  <si>
    <t>121601-12223</t>
  </si>
  <si>
    <t>121601-12224</t>
  </si>
  <si>
    <t>121601-12225</t>
  </si>
  <si>
    <t>121601-12226</t>
  </si>
  <si>
    <t>121601-12227</t>
  </si>
  <si>
    <t>121601-12228</t>
  </si>
  <si>
    <t>121601-12229</t>
  </si>
  <si>
    <t>121601-12230</t>
  </si>
  <si>
    <t>121601-12231</t>
  </si>
  <si>
    <t>121601-12232</t>
  </si>
  <si>
    <t>121601-12233</t>
  </si>
  <si>
    <t>121601-12234</t>
  </si>
  <si>
    <t>121601-12235</t>
  </si>
  <si>
    <t>121601-12236</t>
  </si>
  <si>
    <t>121601-12237</t>
  </si>
  <si>
    <t>121601-12238</t>
  </si>
  <si>
    <t>121601-12239</t>
  </si>
  <si>
    <t>121601-12240</t>
  </si>
  <si>
    <t>121601-12241</t>
  </si>
  <si>
    <t>121601-12242</t>
  </si>
  <si>
    <t>121601-12243</t>
  </si>
  <si>
    <t>121601-12244</t>
  </si>
  <si>
    <t>121601-12245</t>
  </si>
  <si>
    <t>121601-12246</t>
  </si>
  <si>
    <t>121601-12247</t>
  </si>
  <si>
    <t>121601-12248</t>
  </si>
  <si>
    <t>121601-12249</t>
  </si>
  <si>
    <t>121601-12250</t>
  </si>
  <si>
    <t>121601-12251</t>
  </si>
  <si>
    <t>121601-12252</t>
  </si>
  <si>
    <t>121601-12253</t>
  </si>
  <si>
    <t>121601-12254</t>
  </si>
  <si>
    <t>121601-12255</t>
  </si>
  <si>
    <t>121601-12256</t>
  </si>
  <si>
    <t>121601-12257</t>
  </si>
  <si>
    <t>121601-12258</t>
  </si>
  <si>
    <t>121601-12259</t>
  </si>
  <si>
    <t>121601-12260</t>
  </si>
  <si>
    <t>121601-12261</t>
  </si>
  <si>
    <t>121601-12262</t>
  </si>
  <si>
    <t>121601-12263</t>
  </si>
  <si>
    <t>121601-12264</t>
  </si>
  <si>
    <t>121601-12265</t>
  </si>
  <si>
    <t>121601-12266</t>
  </si>
  <si>
    <t>121601-12267</t>
  </si>
  <si>
    <t>121601-12268</t>
  </si>
  <si>
    <t>121601-12269</t>
  </si>
  <si>
    <t>121601-12270</t>
  </si>
  <si>
    <t>121601-12271</t>
  </si>
  <si>
    <t>121601-12272</t>
  </si>
  <si>
    <t>121601-12273</t>
  </si>
  <si>
    <t>121601-12274</t>
  </si>
  <si>
    <t>121601-12275</t>
  </si>
  <si>
    <t>121601-12276</t>
  </si>
  <si>
    <t>121601-12277</t>
  </si>
  <si>
    <t>121601-12278</t>
  </si>
  <si>
    <t>121601-12279</t>
  </si>
  <si>
    <t>121601-12280</t>
  </si>
  <si>
    <t>121601-12281</t>
  </si>
  <si>
    <t>121601-12282</t>
  </si>
  <si>
    <t>121601-12283</t>
  </si>
  <si>
    <t>121601-12284</t>
  </si>
  <si>
    <t>121601-12285</t>
  </si>
  <si>
    <t>121601-12286</t>
  </si>
  <si>
    <t>121601-12287</t>
  </si>
  <si>
    <t>121601-12288</t>
  </si>
  <si>
    <t>121601-12289</t>
  </si>
  <si>
    <t>121601-12290</t>
  </si>
  <si>
    <t>121601-12291</t>
  </si>
  <si>
    <t>121601-12292</t>
  </si>
  <si>
    <t>121601-12293</t>
  </si>
  <si>
    <t>121601-12294</t>
  </si>
  <si>
    <t>121601-12295</t>
  </si>
  <si>
    <t>121601-12296</t>
  </si>
  <si>
    <t>121601-12297</t>
  </si>
  <si>
    <t>121601-12298</t>
  </si>
  <si>
    <t>121601-12299</t>
  </si>
  <si>
    <t>121601-12300</t>
  </si>
  <si>
    <t>121601-12301</t>
  </si>
  <si>
    <t>121601-12302</t>
  </si>
  <si>
    <t>121601-12303</t>
  </si>
  <si>
    <t>121601-12304</t>
  </si>
  <si>
    <t>121601-12305</t>
  </si>
  <si>
    <t>121601-12306</t>
  </si>
  <si>
    <t>121601-12307</t>
  </si>
  <si>
    <t>121601-12308</t>
  </si>
  <si>
    <t>121601-12309</t>
  </si>
  <si>
    <t>121601-12310</t>
  </si>
  <si>
    <t>121601-12311</t>
  </si>
  <si>
    <t>121601-12312</t>
  </si>
  <si>
    <t>121601-12313</t>
  </si>
  <si>
    <t>121601-12314</t>
  </si>
  <si>
    <t>121601-12315</t>
  </si>
  <si>
    <t>121601-12316</t>
  </si>
  <si>
    <t>121601-12317</t>
  </si>
  <si>
    <t>121601-12318</t>
  </si>
  <si>
    <t>121601-12319</t>
  </si>
  <si>
    <t>121601-12320</t>
  </si>
  <si>
    <t>121601-12321</t>
  </si>
  <si>
    <t>121601-12322</t>
  </si>
  <si>
    <t>121601-12323</t>
  </si>
  <si>
    <t>121601-12324</t>
  </si>
  <si>
    <t>121601-12325</t>
  </si>
  <si>
    <t>121601-12326</t>
  </si>
  <si>
    <t>121601-12327</t>
  </si>
  <si>
    <t>121601-12328</t>
  </si>
  <si>
    <t>121601-12329</t>
  </si>
  <si>
    <t>121601-12330</t>
  </si>
  <si>
    <t>121601-12331</t>
  </si>
  <si>
    <t>121601-12332</t>
  </si>
  <si>
    <t>121601-12333</t>
  </si>
  <si>
    <t>121601-12334</t>
  </si>
  <si>
    <t>121601-12335</t>
  </si>
  <si>
    <t>121601-12336</t>
  </si>
  <si>
    <t>121601-12337</t>
  </si>
  <si>
    <t>121601-12338</t>
  </si>
  <si>
    <t>121601-12339</t>
  </si>
  <si>
    <t>121601-12340</t>
  </si>
  <si>
    <t>121601-12341</t>
  </si>
  <si>
    <t>121601-12342</t>
  </si>
  <si>
    <t>121601-12343</t>
  </si>
  <si>
    <t>121601-12344</t>
  </si>
  <si>
    <t>121601-12345</t>
  </si>
  <si>
    <t>121601-12346</t>
  </si>
  <si>
    <t>121601-12347</t>
  </si>
  <si>
    <t>121601-12348</t>
  </si>
  <si>
    <t>121601-12349</t>
  </si>
  <si>
    <t>121601-12350</t>
  </si>
  <si>
    <t>121601-12351</t>
  </si>
  <si>
    <t>121601-12352</t>
  </si>
  <si>
    <t>121601-12353</t>
  </si>
  <si>
    <t>121601-12354</t>
  </si>
  <si>
    <t>121601-12355</t>
  </si>
  <si>
    <t>121601-12356</t>
  </si>
  <si>
    <t>121601-12357</t>
  </si>
  <si>
    <t>121601-12358</t>
  </si>
  <si>
    <t>121601-12359</t>
  </si>
  <si>
    <t>121601-12360</t>
  </si>
  <si>
    <t>121601-12361</t>
  </si>
  <si>
    <t>121601-12362</t>
  </si>
  <si>
    <t>121601-12363</t>
  </si>
  <si>
    <t>121601-12364</t>
  </si>
  <si>
    <t>121601-12365</t>
  </si>
  <si>
    <t>121601-12366</t>
  </si>
  <si>
    <t>121601-12367</t>
  </si>
  <si>
    <t>121601-12368</t>
  </si>
  <si>
    <t>121601-12369</t>
  </si>
  <si>
    <t>121601-12370</t>
  </si>
  <si>
    <t>121601-12371</t>
  </si>
  <si>
    <t>121601-12372</t>
  </si>
  <si>
    <t>121601-12373</t>
  </si>
  <si>
    <t>121601-12374</t>
  </si>
  <si>
    <t>121601-12375</t>
  </si>
  <si>
    <t>121601-12376</t>
  </si>
  <si>
    <t>121601-12377</t>
  </si>
  <si>
    <t>121601-12378</t>
  </si>
  <si>
    <t>121601-12379</t>
  </si>
  <si>
    <t>121601-12380</t>
  </si>
  <si>
    <t>121601-12381</t>
  </si>
  <si>
    <t>121601-12382</t>
  </si>
  <si>
    <t>121601-12383</t>
  </si>
  <si>
    <t>121601-12384</t>
  </si>
  <si>
    <t>121601-12385</t>
  </si>
  <si>
    <t>121601-12386</t>
  </si>
  <si>
    <t>121601-12387</t>
  </si>
  <si>
    <t>121601-12388</t>
  </si>
  <si>
    <t>121601-12389</t>
  </si>
  <si>
    <t>121601-12390</t>
  </si>
  <si>
    <t>121601-12391</t>
  </si>
  <si>
    <t>121601-12392</t>
  </si>
  <si>
    <t>121601-12393</t>
  </si>
  <si>
    <t>121601-12394</t>
  </si>
  <si>
    <t>121601-12395</t>
  </si>
  <si>
    <t>121601-12396</t>
  </si>
  <si>
    <t>121601-12397</t>
  </si>
  <si>
    <t>121601-12398</t>
  </si>
  <si>
    <t>121601-12399</t>
  </si>
  <si>
    <t>121601-12400</t>
  </si>
  <si>
    <t>121601-12401</t>
  </si>
  <si>
    <t>121601-12402</t>
  </si>
  <si>
    <t>121601-12403</t>
  </si>
  <si>
    <t>121601-12404</t>
  </si>
  <si>
    <t>121601-12405</t>
  </si>
  <si>
    <t>121601-12406</t>
  </si>
  <si>
    <t>121601-12407</t>
  </si>
  <si>
    <t>121601-12408</t>
  </si>
  <si>
    <t>121601-12409</t>
  </si>
  <si>
    <t>121601-12410</t>
  </si>
  <si>
    <t>121601-12411</t>
  </si>
  <si>
    <t>121601-12412</t>
  </si>
  <si>
    <t>121601-12413</t>
  </si>
  <si>
    <t>121601-12414</t>
  </si>
  <si>
    <t>121601-12415</t>
  </si>
  <si>
    <t>121601-12416</t>
  </si>
  <si>
    <t>121601-12417</t>
  </si>
  <si>
    <t>121601-12418</t>
  </si>
  <si>
    <t>121601-12419</t>
  </si>
  <si>
    <t>121601-12420</t>
  </si>
  <si>
    <t>121601-12421</t>
  </si>
  <si>
    <t>121601-12422</t>
  </si>
  <si>
    <t>121601-12423</t>
  </si>
  <si>
    <t>121601-12424</t>
  </si>
  <si>
    <t>121601-12425</t>
  </si>
  <si>
    <t>121601-12426</t>
  </si>
  <si>
    <t>121601-12427</t>
  </si>
  <si>
    <t>121601-12428</t>
  </si>
  <si>
    <t>121601-12429</t>
  </si>
  <si>
    <t>121601-12430</t>
  </si>
  <si>
    <t>121601-12431</t>
  </si>
  <si>
    <t>121601-12432</t>
  </si>
  <si>
    <t>121601-12433</t>
  </si>
  <si>
    <t>121601-12434</t>
  </si>
  <si>
    <t>121601-12435</t>
  </si>
  <si>
    <t>121601-12436</t>
  </si>
  <si>
    <t>121601-12437</t>
  </si>
  <si>
    <t>121601-12438</t>
  </si>
  <si>
    <t>121601-12439</t>
  </si>
  <si>
    <t>121601-12440</t>
  </si>
  <si>
    <t>121601-12441</t>
  </si>
  <si>
    <t>121601-12442</t>
  </si>
  <si>
    <t>121601-12443</t>
  </si>
  <si>
    <t>121601-12444</t>
  </si>
  <si>
    <t>121601-12445</t>
  </si>
  <si>
    <t>121601-12446</t>
  </si>
  <si>
    <t>121601-12447</t>
  </si>
  <si>
    <t>121601-12448</t>
  </si>
  <si>
    <t>121601-12449</t>
  </si>
  <si>
    <t>121601-12450</t>
  </si>
  <si>
    <t>121601-12451</t>
  </si>
  <si>
    <t>121601-12452</t>
  </si>
  <si>
    <t>121601-12453</t>
  </si>
  <si>
    <t>121601-12454</t>
  </si>
  <si>
    <t>121601-12455</t>
  </si>
  <si>
    <t>121601-12456</t>
  </si>
  <si>
    <t>121601-12457</t>
  </si>
  <si>
    <t>121601-12458</t>
  </si>
  <si>
    <t>121601-12459</t>
  </si>
  <si>
    <t>121601-12460</t>
  </si>
  <si>
    <t>121601-12461</t>
  </si>
  <si>
    <t>121601-12462</t>
  </si>
  <si>
    <t>121601-12463</t>
  </si>
  <si>
    <t>121601-12464</t>
  </si>
  <si>
    <t>121601-12465</t>
  </si>
  <si>
    <t>121601-12466</t>
  </si>
  <si>
    <t>121601-12467</t>
  </si>
  <si>
    <t>121601-12468</t>
  </si>
  <si>
    <t>121601-12469</t>
  </si>
  <si>
    <t>121601-12470</t>
  </si>
  <si>
    <t>121601-12471</t>
  </si>
  <si>
    <t>121601-12472</t>
  </si>
  <si>
    <t>121601-12473</t>
  </si>
  <si>
    <t>121601-12474</t>
  </si>
  <si>
    <t>121601-12475</t>
  </si>
  <si>
    <t>121601-12477</t>
  </si>
  <si>
    <t>121601-12478</t>
  </si>
  <si>
    <t>121601-12479</t>
  </si>
  <si>
    <t>121601-12480</t>
  </si>
  <si>
    <t>121601-12481</t>
  </si>
  <si>
    <t>121601-12482</t>
  </si>
  <si>
    <t>121601-12483</t>
  </si>
  <si>
    <t>121601-12484</t>
  </si>
  <si>
    <t>121601-12485</t>
  </si>
  <si>
    <t>121601-12486</t>
  </si>
  <si>
    <t>121601-12487</t>
  </si>
  <si>
    <t>121601-12488</t>
  </si>
  <si>
    <t>121601-12489</t>
  </si>
  <si>
    <t>121601-12490</t>
  </si>
  <si>
    <t>121601-12491</t>
  </si>
  <si>
    <t>121601-12492</t>
  </si>
  <si>
    <t>121601-12493</t>
  </si>
  <si>
    <t>121601-12494</t>
  </si>
  <si>
    <t>121601-12495</t>
  </si>
  <si>
    <t>121601-12496</t>
  </si>
  <si>
    <t>121601-12497</t>
  </si>
  <si>
    <t>121601-12498</t>
  </si>
  <si>
    <t>121601-12499</t>
  </si>
  <si>
    <t>121601-12500</t>
  </si>
  <si>
    <t>121601-12501</t>
  </si>
  <si>
    <t>121601-12502</t>
  </si>
  <si>
    <t>121601-12503</t>
  </si>
  <si>
    <t>121601-12504</t>
  </si>
  <si>
    <t>121601-12505</t>
  </si>
  <si>
    <t>121601-12506</t>
  </si>
  <si>
    <t>121601-12507</t>
  </si>
  <si>
    <t>121601-12508</t>
  </si>
  <si>
    <t>121601-12509</t>
  </si>
  <si>
    <t>121601-12510</t>
  </si>
  <si>
    <t>121601-12511</t>
  </si>
  <si>
    <t>121601-12512</t>
  </si>
  <si>
    <t>121601-12513</t>
  </si>
  <si>
    <t>121601-12514</t>
  </si>
  <si>
    <t>121601-12515</t>
  </si>
  <si>
    <t>121601-12516</t>
  </si>
  <si>
    <t>121601-12517</t>
  </si>
  <si>
    <t>121601-12518</t>
  </si>
  <si>
    <t>121601-12519</t>
  </si>
  <si>
    <t>121601-12520</t>
  </si>
  <si>
    <t>121601-12521</t>
  </si>
  <si>
    <t>121601-12522</t>
  </si>
  <si>
    <t>121601-12523</t>
  </si>
  <si>
    <t>121601-12524</t>
  </si>
  <si>
    <t>121601-12525</t>
  </si>
  <si>
    <t>121601-12526</t>
  </si>
  <si>
    <t>121601-12527</t>
  </si>
  <si>
    <t>121601-12528</t>
  </si>
  <si>
    <t>121601-12529</t>
  </si>
  <si>
    <t>121601-12530</t>
  </si>
  <si>
    <t>121601-12531</t>
  </si>
  <si>
    <t>121601-12532</t>
  </si>
  <si>
    <t>121601-12533</t>
  </si>
  <si>
    <t>121601-12534</t>
  </si>
  <si>
    <t>121601-12535</t>
  </si>
  <si>
    <t>121601-12536</t>
  </si>
  <si>
    <t>121601-12537</t>
  </si>
  <si>
    <t>121601-12538</t>
  </si>
  <si>
    <t>121601-12539</t>
  </si>
  <si>
    <t>121601-12540</t>
  </si>
  <si>
    <t>121601-12541</t>
  </si>
  <si>
    <t>121601-12542</t>
  </si>
  <si>
    <t>121601-12543</t>
  </si>
  <si>
    <t>121601-12544</t>
  </si>
  <si>
    <t>121601-12545</t>
  </si>
  <si>
    <t>121601-12546</t>
  </si>
  <si>
    <t>121601-12547</t>
  </si>
  <si>
    <t>121601-12548</t>
  </si>
  <si>
    <t>121601-12549</t>
  </si>
  <si>
    <t>121601-12550</t>
  </si>
  <si>
    <t>121601-12551</t>
  </si>
  <si>
    <t>121601-12552</t>
  </si>
  <si>
    <t>121601-12553</t>
  </si>
  <si>
    <t>121601-12554</t>
  </si>
  <si>
    <t>121601-12555</t>
  </si>
  <si>
    <t>121601-12556</t>
  </si>
  <si>
    <t>121601-12557</t>
  </si>
  <si>
    <t>121601-12558</t>
  </si>
  <si>
    <t>121601-12559</t>
  </si>
  <si>
    <t>121601-12560</t>
  </si>
  <si>
    <t>121601-12561</t>
  </si>
  <si>
    <t>121601-12562</t>
  </si>
  <si>
    <t>121601-12563</t>
  </si>
  <si>
    <t>121601-12564</t>
  </si>
  <si>
    <t>121601-12565</t>
  </si>
  <si>
    <t>121601-12566</t>
  </si>
  <si>
    <t>121601-12567</t>
  </si>
  <si>
    <t>121601-12568</t>
  </si>
  <si>
    <t>121601-12569</t>
  </si>
  <si>
    <t>121601-12570</t>
  </si>
  <si>
    <t>121601-12571</t>
  </si>
  <si>
    <t>121601-12572</t>
  </si>
  <si>
    <t>121601-12573</t>
  </si>
  <si>
    <t>121601-12574</t>
  </si>
  <si>
    <t>121601-12575</t>
  </si>
  <si>
    <t>121601-12576</t>
  </si>
  <si>
    <t>121601-12577</t>
  </si>
  <si>
    <t>121601-12578</t>
  </si>
  <si>
    <t>121601-12579</t>
  </si>
  <si>
    <t>121601-12580</t>
  </si>
  <si>
    <t>121601-12581</t>
  </si>
  <si>
    <t>121601-12582</t>
  </si>
  <si>
    <t>121601-12583</t>
  </si>
  <si>
    <t>121601-12584</t>
  </si>
  <si>
    <t>121601-12585</t>
  </si>
  <si>
    <t>121601-12586</t>
  </si>
  <si>
    <t>121601-12587</t>
  </si>
  <si>
    <t>121601-12588</t>
  </si>
  <si>
    <t>121601-12589</t>
  </si>
  <si>
    <t>121601-12590</t>
  </si>
  <si>
    <t>121601-12591</t>
  </si>
  <si>
    <t>121601-12592</t>
  </si>
  <si>
    <t>121601-12593</t>
  </si>
  <si>
    <t>121601-12594</t>
  </si>
  <si>
    <t>121601-12595</t>
  </si>
  <si>
    <t>121601-12596</t>
  </si>
  <si>
    <t>121601-12597</t>
  </si>
  <si>
    <t>121601-12598</t>
  </si>
  <si>
    <t>121601-12599</t>
  </si>
  <si>
    <t>121601-12600</t>
  </si>
  <si>
    <t>121601-12601</t>
  </si>
  <si>
    <t>121601-12602</t>
  </si>
  <si>
    <t>121601-12603</t>
  </si>
  <si>
    <t>121601-12604</t>
  </si>
  <si>
    <t>121601-12605</t>
  </si>
  <si>
    <t>121601-12606</t>
  </si>
  <si>
    <t>121601-12607</t>
  </si>
  <si>
    <t>121601-12608</t>
  </si>
  <si>
    <t>121601-12609</t>
  </si>
  <si>
    <t>121601-12610</t>
  </si>
  <si>
    <t>121601-12611</t>
  </si>
  <si>
    <t>121601-12612</t>
  </si>
  <si>
    <t>121601-12613</t>
  </si>
  <si>
    <t>121601-12614</t>
  </si>
  <si>
    <t>121601-12615</t>
  </si>
  <si>
    <t>121601-12616</t>
  </si>
  <si>
    <t>121601-12617</t>
  </si>
  <si>
    <t>121601-12618</t>
  </si>
  <si>
    <t>121601-12619</t>
  </si>
  <si>
    <t>121601-12620</t>
  </si>
  <si>
    <t>121601-12621</t>
  </si>
  <si>
    <t>121601-12622</t>
  </si>
  <si>
    <t>121601-12623</t>
  </si>
  <si>
    <t>121601-12624</t>
  </si>
  <si>
    <t>121601-12625</t>
  </si>
  <si>
    <t>121601-12626</t>
  </si>
  <si>
    <t>121601-12627</t>
  </si>
  <si>
    <t>121601-12628</t>
  </si>
  <si>
    <t>121601-12629</t>
  </si>
  <si>
    <t>121601-12630</t>
  </si>
  <si>
    <t>121601-12631</t>
  </si>
  <si>
    <t>121601-12632</t>
  </si>
  <si>
    <t>121601-12633</t>
  </si>
  <si>
    <t>121601-12634</t>
  </si>
  <si>
    <t>121601-12635</t>
  </si>
  <si>
    <t>121601-12636</t>
  </si>
  <si>
    <t>121601-12637</t>
  </si>
  <si>
    <t>121601-12638</t>
  </si>
  <si>
    <t>121601-12639</t>
  </si>
  <si>
    <t>121601-12640</t>
  </si>
  <si>
    <t>121601-12641</t>
  </si>
  <si>
    <t>121601-12642</t>
  </si>
  <si>
    <t>121601-12643</t>
  </si>
  <si>
    <t>121601-12644</t>
  </si>
  <si>
    <t>121601-12645</t>
  </si>
  <si>
    <t>121601-12646</t>
  </si>
  <si>
    <t>121601-12647</t>
  </si>
  <si>
    <t>121601-12648</t>
  </si>
  <si>
    <t>121601-12649</t>
  </si>
  <si>
    <t>121601-12650</t>
  </si>
  <si>
    <t>121601-12651</t>
  </si>
  <si>
    <t>121601-12652</t>
  </si>
  <si>
    <t>121601-12653</t>
  </si>
  <si>
    <t>121601-12654</t>
  </si>
  <si>
    <t>121601-12655</t>
  </si>
  <si>
    <t>121601-12656</t>
  </si>
  <si>
    <t>121601-12657</t>
  </si>
  <si>
    <t>121601-12658</t>
  </si>
  <si>
    <t>121601-12659</t>
  </si>
  <si>
    <t>121601-12660</t>
  </si>
  <si>
    <t>121601-12661</t>
  </si>
  <si>
    <t>121601-12662</t>
  </si>
  <si>
    <t>121601-12663</t>
  </si>
  <si>
    <t>121601-12664</t>
  </si>
  <si>
    <t>121601-12665</t>
  </si>
  <si>
    <t>121601-12666</t>
  </si>
  <si>
    <t>121601-12667</t>
  </si>
  <si>
    <t>121601-12668</t>
  </si>
  <si>
    <t>121601-12669</t>
  </si>
  <si>
    <t>121601-12670</t>
  </si>
  <si>
    <t>121601-12671</t>
  </si>
  <si>
    <t>121601-12672</t>
  </si>
  <si>
    <t>121601-12673</t>
  </si>
  <si>
    <t>121601-12674</t>
  </si>
  <si>
    <t>121601-12675</t>
  </si>
  <si>
    <t>121601-12676</t>
  </si>
  <si>
    <t>121601-12677</t>
  </si>
  <si>
    <t>121601-12678</t>
  </si>
  <si>
    <t>121601-12679</t>
  </si>
  <si>
    <t>121601-12680</t>
  </si>
  <si>
    <t>121601-12681</t>
  </si>
  <si>
    <t>121601-12682</t>
  </si>
  <si>
    <t>121601-12683</t>
  </si>
  <si>
    <t>121601-12684</t>
  </si>
  <si>
    <t>121601-12685</t>
  </si>
  <si>
    <t>121601-12686</t>
  </si>
  <si>
    <t>121601-12687</t>
  </si>
  <si>
    <t>121601-12688</t>
  </si>
  <si>
    <t>121601-12689</t>
  </si>
  <si>
    <t>121601-12690</t>
  </si>
  <si>
    <t>121601-12691</t>
  </si>
  <si>
    <t>121601-12692</t>
  </si>
  <si>
    <t>121601-12693</t>
  </si>
  <si>
    <t>121601-12695</t>
  </si>
  <si>
    <t>121601-12696</t>
  </si>
  <si>
    <t>121601-12697</t>
  </si>
  <si>
    <t>121601-12698</t>
  </si>
  <si>
    <t>121601-12699</t>
  </si>
  <si>
    <t>121601-12700</t>
  </si>
  <si>
    <t>121601-12701</t>
  </si>
  <si>
    <t>121601-12702</t>
  </si>
  <si>
    <t>121601-12703</t>
  </si>
  <si>
    <t>121601-12704</t>
  </si>
  <si>
    <t>121601-12705</t>
  </si>
  <si>
    <t>121601-12706</t>
  </si>
  <si>
    <t>121601-12707</t>
  </si>
  <si>
    <t>121601-12708</t>
  </si>
  <si>
    <t>121601-12709</t>
  </si>
  <si>
    <t>121601-12710</t>
  </si>
  <si>
    <t>121601-12711</t>
  </si>
  <si>
    <t>121601-12712</t>
  </si>
  <si>
    <t>121601-12713</t>
  </si>
  <si>
    <t>121601-12714</t>
  </si>
  <si>
    <t>121601-12715</t>
  </si>
  <si>
    <t>121601-12716</t>
  </si>
  <si>
    <t>121601-12717</t>
  </si>
  <si>
    <t>121601-12718</t>
  </si>
  <si>
    <t>121601-12719</t>
  </si>
  <si>
    <t>121601-12720</t>
  </si>
  <si>
    <t>121601-12721</t>
  </si>
  <si>
    <t>121601-12722</t>
  </si>
  <si>
    <t>121601-12723</t>
  </si>
  <si>
    <t>121601-12724</t>
  </si>
  <si>
    <t>121601-12726</t>
  </si>
  <si>
    <t>121601-12727</t>
  </si>
  <si>
    <t>121601-12728</t>
  </si>
  <si>
    <t>121601-12729</t>
  </si>
  <si>
    <t>121601-12730</t>
  </si>
  <si>
    <t>121601-12731</t>
  </si>
  <si>
    <t>121601-12732</t>
  </si>
  <si>
    <t>121601-12733</t>
  </si>
  <si>
    <t>121601-12734</t>
  </si>
  <si>
    <t>121601-12735</t>
  </si>
  <si>
    <t>121601-12736</t>
  </si>
  <si>
    <t>121601-12737</t>
  </si>
  <si>
    <t>121601-12738</t>
  </si>
  <si>
    <t>121601-12739</t>
  </si>
  <si>
    <t>121601-12740</t>
  </si>
  <si>
    <t>121601-12741</t>
  </si>
  <si>
    <t>121601-12742</t>
  </si>
  <si>
    <t>121601-12743</t>
  </si>
  <si>
    <t>121601-12744</t>
  </si>
  <si>
    <t>121601-12745</t>
  </si>
  <si>
    <t>121601-12746</t>
  </si>
  <si>
    <t>121601-12747</t>
  </si>
  <si>
    <t>121601-12748</t>
  </si>
  <si>
    <t>121601-12749</t>
  </si>
  <si>
    <t>121601-12750</t>
  </si>
  <si>
    <t>121601-12751</t>
  </si>
  <si>
    <t>121601-12752</t>
  </si>
  <si>
    <t>121601-12753</t>
  </si>
  <si>
    <t>121601-12754</t>
  </si>
  <si>
    <t>121601-12755</t>
  </si>
  <si>
    <t>121601-12756</t>
  </si>
  <si>
    <t>121601-12757</t>
  </si>
  <si>
    <t>121601-12758</t>
  </si>
  <si>
    <t>121601-12759</t>
  </si>
  <si>
    <t>121601-12760</t>
  </si>
  <si>
    <t>121601-12761</t>
  </si>
  <si>
    <t>121601-12762</t>
  </si>
  <si>
    <t>121601-12763</t>
  </si>
  <si>
    <t>121601-12764</t>
  </si>
  <si>
    <t>121601-12765</t>
  </si>
  <si>
    <t>121601-12766</t>
  </si>
  <si>
    <t>121601-12767</t>
  </si>
  <si>
    <t>121601-12768</t>
  </si>
  <si>
    <t>121601-12769</t>
  </si>
  <si>
    <t>121601-12770</t>
  </si>
  <si>
    <t>121601-12771</t>
  </si>
  <si>
    <t>121601-12772</t>
  </si>
  <si>
    <t>121601-12773</t>
  </si>
  <si>
    <t>121601-12774</t>
  </si>
  <si>
    <t>121601-12775</t>
  </si>
  <si>
    <t>121601-12776</t>
  </si>
  <si>
    <t>121601-12777</t>
  </si>
  <si>
    <t>121601-12778</t>
  </si>
  <si>
    <t>121601-12779</t>
  </si>
  <si>
    <t>121601-12780</t>
  </si>
  <si>
    <t>121601-12781</t>
  </si>
  <si>
    <t>121601-12782</t>
  </si>
  <si>
    <t>121601-12783</t>
  </si>
  <si>
    <t>121601-12784</t>
  </si>
  <si>
    <t>121601-12785</t>
  </si>
  <si>
    <t>121601-12786</t>
  </si>
  <si>
    <t>121601-12787</t>
  </si>
  <si>
    <t>121601-12788</t>
  </si>
  <si>
    <t>121601-12789</t>
  </si>
  <si>
    <t>121601-12790</t>
  </si>
  <si>
    <t>121601-12791</t>
  </si>
  <si>
    <t>121601-12792</t>
  </si>
  <si>
    <t>121601-12793</t>
  </si>
  <si>
    <t>121601-12794</t>
  </si>
  <si>
    <t>121601-12795</t>
  </si>
  <si>
    <t>121601-12796</t>
  </si>
  <si>
    <t>121601-12797</t>
  </si>
  <si>
    <t>121601-12798</t>
  </si>
  <si>
    <t>121601-12799</t>
  </si>
  <si>
    <t>121601-12800</t>
  </si>
  <si>
    <t>121601-12801</t>
  </si>
  <si>
    <t>121601-12802</t>
  </si>
  <si>
    <t>121601-12803</t>
  </si>
  <si>
    <t>121601-12804</t>
  </si>
  <si>
    <t>121601-12805</t>
  </si>
  <si>
    <t>121601-12806</t>
  </si>
  <si>
    <t>121601-12807</t>
  </si>
  <si>
    <t>121601-12808</t>
  </si>
  <si>
    <t>121601-12809</t>
  </si>
  <si>
    <t>121601-12810</t>
  </si>
  <si>
    <t>121601-12811</t>
  </si>
  <si>
    <t>121601-12812</t>
  </si>
  <si>
    <t>121601-12813</t>
  </si>
  <si>
    <t>121601-12814</t>
  </si>
  <si>
    <t>121601-12815</t>
  </si>
  <si>
    <t>121601-12816</t>
  </si>
  <si>
    <t>121601-12817</t>
  </si>
  <si>
    <t>121601-12818</t>
  </si>
  <si>
    <t>121601-12819</t>
  </si>
  <si>
    <t>121601-12820</t>
  </si>
  <si>
    <t>121601-12821</t>
  </si>
  <si>
    <t>121601-12822</t>
  </si>
  <si>
    <t>121601-12823</t>
  </si>
  <si>
    <t>121601-12824</t>
  </si>
  <si>
    <t>121601-12825</t>
  </si>
  <si>
    <t>121601-12826</t>
  </si>
  <si>
    <t>121601-12827</t>
  </si>
  <si>
    <t>121601-12828</t>
  </si>
  <si>
    <t>121601-12829</t>
  </si>
  <si>
    <t>121601-12830</t>
  </si>
  <si>
    <t>121601-12831</t>
  </si>
  <si>
    <t>121601-12832</t>
  </si>
  <si>
    <t>121601-12833</t>
  </si>
  <si>
    <t>121601-12834</t>
  </si>
  <si>
    <t>121601-12835</t>
  </si>
  <si>
    <t>121601-12836</t>
  </si>
  <si>
    <t>121601-12837</t>
  </si>
  <si>
    <t>121601-12838</t>
  </si>
  <si>
    <t>121601-12839</t>
  </si>
  <si>
    <t>121601-12840</t>
  </si>
  <si>
    <t>121601-12841</t>
  </si>
  <si>
    <t>121601-12842</t>
  </si>
  <si>
    <t>121601-12843</t>
  </si>
  <si>
    <t>121601-12844</t>
  </si>
  <si>
    <t>121601-12845</t>
  </si>
  <si>
    <t>121601-12846</t>
  </si>
  <si>
    <t>121601-12847</t>
  </si>
  <si>
    <t>121601-12848</t>
  </si>
  <si>
    <t>121601-12849</t>
  </si>
  <si>
    <t>121601-12850</t>
  </si>
  <si>
    <t>121601-12851</t>
  </si>
  <si>
    <t>121601-12852</t>
  </si>
  <si>
    <t>121601-12853</t>
  </si>
  <si>
    <t>121601-12854</t>
  </si>
  <si>
    <t>121601-12855</t>
  </si>
  <si>
    <t>121601-12856</t>
  </si>
  <si>
    <t>121601-12857</t>
  </si>
  <si>
    <t>121601-12858</t>
  </si>
  <si>
    <t>121601-12859</t>
  </si>
  <si>
    <t>121601-12860</t>
  </si>
  <si>
    <t>121601-12861</t>
  </si>
  <si>
    <t>121601-12862</t>
  </si>
  <si>
    <t>121601-12864</t>
  </si>
  <si>
    <t>121601-12865</t>
  </si>
  <si>
    <t>121601-12866</t>
  </si>
  <si>
    <t>121601-12867</t>
  </si>
  <si>
    <t>121601-12868</t>
  </si>
  <si>
    <t>121601-12869</t>
  </si>
  <si>
    <t>121601-12870</t>
  </si>
  <si>
    <t>121601-12871</t>
  </si>
  <si>
    <t>121601-12872</t>
  </si>
  <si>
    <t>121601-12873</t>
  </si>
  <si>
    <t>121601-12874</t>
  </si>
  <si>
    <t>121601-12875</t>
  </si>
  <si>
    <t>121601-12876</t>
  </si>
  <si>
    <t>121601-12877</t>
  </si>
  <si>
    <t>121601-12878</t>
  </si>
  <si>
    <t>121601-12879</t>
  </si>
  <si>
    <t>121601-12880</t>
  </si>
  <si>
    <t>121601-12881</t>
  </si>
  <si>
    <t>121601-12882</t>
  </si>
  <si>
    <t>121601-12883</t>
  </si>
  <si>
    <t>121601-12884</t>
  </si>
  <si>
    <t>121601-12885</t>
  </si>
  <si>
    <t>121601-12887</t>
  </si>
  <si>
    <t>121601-12888</t>
  </si>
  <si>
    <t>121601-12889</t>
  </si>
  <si>
    <t>121601-12890</t>
  </si>
  <si>
    <t>121601-12891</t>
  </si>
  <si>
    <t>121601-12892</t>
  </si>
  <si>
    <t>121601-12893</t>
  </si>
  <si>
    <t>121601-12894</t>
  </si>
  <si>
    <t>121601-12895</t>
  </si>
  <si>
    <t>121601-12896</t>
  </si>
  <si>
    <t>121601-12897</t>
  </si>
  <si>
    <t>121601-12898</t>
  </si>
  <si>
    <t>121601-12899</t>
  </si>
  <si>
    <t>121601-12900</t>
  </si>
  <si>
    <t>121601-12901</t>
  </si>
  <si>
    <t>121601-12902</t>
  </si>
  <si>
    <t>121601-12903</t>
  </si>
  <si>
    <t>121601-12904</t>
  </si>
  <si>
    <t>121601-12905</t>
  </si>
  <si>
    <t>121601-12906</t>
  </si>
  <si>
    <t>121601-12907</t>
  </si>
  <si>
    <t>121601-12908</t>
  </si>
  <si>
    <t>121601-12909</t>
  </si>
  <si>
    <t>121601-12910</t>
  </si>
  <si>
    <t>121601-12911</t>
  </si>
  <si>
    <t>121601-12912</t>
  </si>
  <si>
    <t>121601-12913</t>
  </si>
  <si>
    <t>121601-12914</t>
  </si>
  <si>
    <t>121601-12915</t>
  </si>
  <si>
    <t>121601-12916</t>
  </si>
  <si>
    <t>121601-12917</t>
  </si>
  <si>
    <t>121601-12918</t>
  </si>
  <si>
    <t>121601-12919</t>
  </si>
  <si>
    <t>121601-12920</t>
  </si>
  <si>
    <t>121601-12921</t>
  </si>
  <si>
    <t>121601-12922</t>
  </si>
  <si>
    <t>121601-12923</t>
  </si>
  <si>
    <t>121601-12924</t>
  </si>
  <si>
    <t>121601-12925</t>
  </si>
  <si>
    <t>121601-12926</t>
  </si>
  <si>
    <t>121601-12927</t>
  </si>
  <si>
    <t>121601-12928</t>
  </si>
  <si>
    <t>121601-12929</t>
  </si>
  <si>
    <t>121601-12930</t>
  </si>
  <si>
    <t>121601-12931</t>
  </si>
  <si>
    <t>121601-12932</t>
  </si>
  <si>
    <t>121601-12933</t>
  </si>
  <si>
    <t>121601-12934</t>
  </si>
  <si>
    <t>121601-12935</t>
  </si>
  <si>
    <t>121601-12936</t>
  </si>
  <si>
    <t>121601-12937</t>
  </si>
  <si>
    <t>121601-12938</t>
  </si>
  <si>
    <t>121601-12939</t>
  </si>
  <si>
    <t>121601-12940</t>
  </si>
  <si>
    <t>121601-12941</t>
  </si>
  <si>
    <t>121601-12942</t>
  </si>
  <si>
    <t>121601-12943</t>
  </si>
  <si>
    <t>121601-12944</t>
  </si>
  <si>
    <t>121601-12945</t>
  </si>
  <si>
    <t>121601-12946</t>
  </si>
  <si>
    <t>121601-12947</t>
  </si>
  <si>
    <t>121601-12948</t>
  </si>
  <si>
    <t>121601-12949</t>
  </si>
  <si>
    <t>121601-12950</t>
  </si>
  <si>
    <t>121601-12951</t>
  </si>
  <si>
    <t>121601-12952</t>
  </si>
  <si>
    <t>121601-12953</t>
  </si>
  <si>
    <t>121601-12954</t>
  </si>
  <si>
    <t>121601-12955</t>
  </si>
  <si>
    <t>121601-12956</t>
  </si>
  <si>
    <t>121601-12957</t>
  </si>
  <si>
    <t>121601-12958</t>
  </si>
  <si>
    <t>121601-12959</t>
  </si>
  <si>
    <t>121601-12960</t>
  </si>
  <si>
    <t>121601-12961</t>
  </si>
  <si>
    <t>121601-12962</t>
  </si>
  <si>
    <t>121601-12963</t>
  </si>
  <si>
    <t>121601-12964</t>
  </si>
  <si>
    <t>121601-12965</t>
  </si>
  <si>
    <t>121601-12966</t>
  </si>
  <si>
    <t>121601-12967</t>
  </si>
  <si>
    <t>121601-12968</t>
  </si>
  <si>
    <t>121601-12969</t>
  </si>
  <si>
    <t>121601-12970</t>
  </si>
  <si>
    <t>121601-12971</t>
  </si>
  <si>
    <t>121601-12972</t>
  </si>
  <si>
    <t>121601-12973</t>
  </si>
  <si>
    <t>121601-12974</t>
  </si>
  <si>
    <t>121601-12975</t>
  </si>
  <si>
    <t>121601-12976</t>
  </si>
  <si>
    <t>121601-12977</t>
  </si>
  <si>
    <t>121601-12978</t>
  </si>
  <si>
    <t>121601-12979</t>
  </si>
  <si>
    <t>121601-12980</t>
  </si>
  <si>
    <t>121601-12981</t>
  </si>
  <si>
    <t>121601-12982</t>
  </si>
  <si>
    <t>121601-12983</t>
  </si>
  <si>
    <t>121601-12984</t>
  </si>
  <si>
    <t>121601-12985</t>
  </si>
  <si>
    <t>121601-12986</t>
  </si>
  <si>
    <t>121601-12987</t>
  </si>
  <si>
    <t>121601-12988</t>
  </si>
  <si>
    <t>121601-12989</t>
  </si>
  <si>
    <t>121601-12990</t>
  </si>
  <si>
    <t>121601-12991</t>
  </si>
  <si>
    <t>121601-12992</t>
  </si>
  <si>
    <t>121601-12993</t>
  </si>
  <si>
    <t>121601-12994</t>
  </si>
  <si>
    <t>121601-12995</t>
  </si>
  <si>
    <t>121601-12997</t>
  </si>
  <si>
    <t>121601-12998</t>
  </si>
  <si>
    <t>121601-12999</t>
  </si>
  <si>
    <t>121601-13000</t>
  </si>
  <si>
    <t>121601-13001</t>
  </si>
  <si>
    <t>121601-13002</t>
  </si>
  <si>
    <t>121601-13003</t>
  </si>
  <si>
    <t>121601-13006</t>
  </si>
  <si>
    <t>121601-13020</t>
  </si>
  <si>
    <t>121601-13021</t>
  </si>
  <si>
    <t>121601-13022</t>
  </si>
  <si>
    <t>121601-13023</t>
  </si>
  <si>
    <t>121601-13025</t>
  </si>
  <si>
    <t>121601-13026</t>
  </si>
  <si>
    <t>121601-13028</t>
  </si>
  <si>
    <t>121601-13045</t>
  </si>
  <si>
    <t>121602-00001</t>
  </si>
  <si>
    <t>121602-00013</t>
  </si>
  <si>
    <t>121602-00016</t>
  </si>
  <si>
    <t>121602-00017</t>
  </si>
  <si>
    <t>121602-00034</t>
  </si>
  <si>
    <t>121602-00035</t>
  </si>
  <si>
    <t>121602-00038</t>
  </si>
  <si>
    <t>121602-00043</t>
  </si>
  <si>
    <t>121602-00046</t>
  </si>
  <si>
    <t>121602-00048</t>
  </si>
  <si>
    <t>121602-00049</t>
  </si>
  <si>
    <t>121602-00052</t>
  </si>
  <si>
    <t>121602-00053</t>
  </si>
  <si>
    <t>121602-00055</t>
  </si>
  <si>
    <t>121602-00070</t>
  </si>
  <si>
    <t>121602-00080</t>
  </si>
  <si>
    <t>121602-00085</t>
  </si>
  <si>
    <t>121602-00088</t>
  </si>
  <si>
    <t>121602-00099</t>
  </si>
  <si>
    <t>121602-00105</t>
  </si>
  <si>
    <t>121602-00110</t>
  </si>
  <si>
    <t>121602-00117</t>
  </si>
  <si>
    <t>121602-00126</t>
  </si>
  <si>
    <t>121602-00130</t>
  </si>
  <si>
    <t>121602-00139</t>
  </si>
  <si>
    <t>121602-00149</t>
  </si>
  <si>
    <t>121602-00163</t>
  </si>
  <si>
    <t>121602-00174</t>
  </si>
  <si>
    <t>121602-00182</t>
  </si>
  <si>
    <t>121602-00183</t>
  </si>
  <si>
    <t>121602-00189</t>
  </si>
  <si>
    <t>121602-00198</t>
  </si>
  <si>
    <t>121602-00205</t>
  </si>
  <si>
    <t>121602-00208</t>
  </si>
  <si>
    <t>121602-00210</t>
  </si>
  <si>
    <t>121602-00217</t>
  </si>
  <si>
    <t>121602-00218</t>
  </si>
  <si>
    <t>121602-00227</t>
  </si>
  <si>
    <t>121602-00230</t>
  </si>
  <si>
    <t>121602-00237</t>
  </si>
  <si>
    <t>121602-00238</t>
  </si>
  <si>
    <t>121602-00246</t>
  </si>
  <si>
    <t>121602-00248</t>
  </si>
  <si>
    <t>121602-00250</t>
  </si>
  <si>
    <t>121602-00251</t>
  </si>
  <si>
    <t>121602-00256</t>
  </si>
  <si>
    <t>121602-00257</t>
  </si>
  <si>
    <t>121602-00260</t>
  </si>
  <si>
    <t>121602-00261</t>
  </si>
  <si>
    <t>121602-00268</t>
  </si>
  <si>
    <t>121602-00271</t>
  </si>
  <si>
    <t>121602-00279</t>
  </si>
  <si>
    <t>121602-00288</t>
  </si>
  <si>
    <t>121602-00299</t>
  </si>
  <si>
    <t>121602-00304</t>
  </si>
  <si>
    <t>121602-00314</t>
  </si>
  <si>
    <t>121602-00318</t>
  </si>
  <si>
    <t>121602-00326</t>
  </si>
  <si>
    <t>121602-00331</t>
  </si>
  <si>
    <t>121602-00338</t>
  </si>
  <si>
    <t>121602-00350</t>
  </si>
  <si>
    <t>121602-00358</t>
  </si>
  <si>
    <t>121602-00359</t>
  </si>
  <si>
    <t>121602-00361</t>
  </si>
  <si>
    <t>121602-00362</t>
  </si>
  <si>
    <t>121602-00363</t>
  </si>
  <si>
    <t>121602-00365</t>
  </si>
  <si>
    <t>121602-00372</t>
  </si>
  <si>
    <t>121602-00374</t>
  </si>
  <si>
    <t>121602-00384</t>
  </si>
  <si>
    <t>121602-00398</t>
  </si>
  <si>
    <t>121602-00402</t>
  </si>
  <si>
    <t>121602-00404</t>
  </si>
  <si>
    <t>121602-00407</t>
  </si>
  <si>
    <t>121602-00417</t>
  </si>
  <si>
    <t>121602-00425</t>
  </si>
  <si>
    <t>121602-00426</t>
  </si>
  <si>
    <t>121602-00427</t>
  </si>
  <si>
    <t>121602-00440</t>
  </si>
  <si>
    <t>121602-00442</t>
  </si>
  <si>
    <t>121602-00449</t>
  </si>
  <si>
    <t>121602-00451</t>
  </si>
  <si>
    <t>121602-00456</t>
  </si>
  <si>
    <t>121602-00464</t>
  </si>
  <si>
    <t>121602-00476</t>
  </si>
  <si>
    <t>121602-00479</t>
  </si>
  <si>
    <t>121602-00498</t>
  </si>
  <si>
    <t>121602-00499</t>
  </si>
  <si>
    <t>121602-00501</t>
  </si>
  <si>
    <t>121602-00504</t>
  </si>
  <si>
    <t>121602-00521</t>
  </si>
  <si>
    <t>121602-00522</t>
  </si>
  <si>
    <t>121602-00523</t>
  </si>
  <si>
    <t>121602-00525</t>
  </si>
  <si>
    <t>121602-00526</t>
  </si>
  <si>
    <t>121602-00537</t>
  </si>
  <si>
    <t>121602-00541</t>
  </si>
  <si>
    <t>121602-00544</t>
  </si>
  <si>
    <t>121602-00551</t>
  </si>
  <si>
    <t>121602-00553</t>
  </si>
  <si>
    <t>121602-00554</t>
  </si>
  <si>
    <t>121602-00555</t>
  </si>
  <si>
    <t>121602-00561</t>
  </si>
  <si>
    <t>121602-00564</t>
  </si>
  <si>
    <t>121602-00566</t>
  </si>
  <si>
    <t>121602-00569</t>
  </si>
  <si>
    <t>121602-00572</t>
  </si>
  <si>
    <t>121602-00578</t>
  </si>
  <si>
    <t>121602-00585</t>
  </si>
  <si>
    <t>121602-00587</t>
  </si>
  <si>
    <t>121602-00588</t>
  </si>
  <si>
    <t>121602-00589</t>
  </si>
  <si>
    <t>121602-00590</t>
  </si>
  <si>
    <t>121602-00593</t>
  </si>
  <si>
    <t>121602-00600</t>
  </si>
  <si>
    <t>121602-00602</t>
  </si>
  <si>
    <t>121602-00604</t>
  </si>
  <si>
    <t>121602-00617</t>
  </si>
  <si>
    <t>121602-00618</t>
  </si>
  <si>
    <t>121602-00623</t>
  </si>
  <si>
    <t>121602-00627</t>
  </si>
  <si>
    <t>121602-00632</t>
  </si>
  <si>
    <t>121602-00634</t>
  </si>
  <si>
    <t>121602-00639</t>
  </si>
  <si>
    <t>121602-00640</t>
  </si>
  <si>
    <t>121602-00643</t>
  </si>
  <si>
    <t>121602-00655</t>
  </si>
  <si>
    <t>121602-00657</t>
  </si>
  <si>
    <t>121602-00667</t>
  </si>
  <si>
    <t>121602-00668</t>
  </si>
  <si>
    <t>121602-00677</t>
  </si>
  <si>
    <t>121602-00690</t>
  </si>
  <si>
    <t>121602-00694</t>
  </si>
  <si>
    <t>121602-00698</t>
  </si>
  <si>
    <t>121602-00709</t>
  </si>
  <si>
    <t>121602-00711</t>
  </si>
  <si>
    <t>121602-00716</t>
  </si>
  <si>
    <t>121602-00720</t>
  </si>
  <si>
    <t>121602-00722</t>
  </si>
  <si>
    <t>121602-00723</t>
  </si>
  <si>
    <t>121602-00731</t>
  </si>
  <si>
    <t>121602-00736</t>
  </si>
  <si>
    <t>121602-00741</t>
  </si>
  <si>
    <t>121602-00746</t>
  </si>
  <si>
    <t>121602-00750</t>
  </si>
  <si>
    <t>121602-00751</t>
  </si>
  <si>
    <t>121602-00761</t>
  </si>
  <si>
    <t>121602-00762</t>
  </si>
  <si>
    <t>121602-00763</t>
  </si>
  <si>
    <t>121602-00765</t>
  </si>
  <si>
    <t>121602-00786</t>
  </si>
  <si>
    <t>121602-00787</t>
  </si>
  <si>
    <t>121602-00792</t>
  </si>
  <si>
    <t>121602-00795</t>
  </si>
  <si>
    <t>121602-00797</t>
  </si>
  <si>
    <t>121602-00814</t>
  </si>
  <si>
    <t>121602-00822</t>
  </si>
  <si>
    <t>121602-00828</t>
  </si>
  <si>
    <t>121602-00830</t>
  </si>
  <si>
    <t>121602-00842</t>
  </si>
  <si>
    <t>121602-00846</t>
  </si>
  <si>
    <t>121602-00849</t>
  </si>
  <si>
    <t>121602-00853</t>
  </si>
  <si>
    <t>121602-00854</t>
  </si>
  <si>
    <t>121602-00863</t>
  </si>
  <si>
    <t>121602-00865</t>
  </si>
  <si>
    <t>121602-00873</t>
  </si>
  <si>
    <t>121602-00877</t>
  </si>
  <si>
    <t>121602-00893</t>
  </si>
  <si>
    <t>121602-00917</t>
  </si>
  <si>
    <t>121602-00936</t>
  </si>
  <si>
    <t>121602-00969</t>
  </si>
  <si>
    <t>121602-00983</t>
  </si>
  <si>
    <t>121602-01006</t>
  </si>
  <si>
    <t>121602-01024</t>
  </si>
  <si>
    <t>121602-01061</t>
  </si>
  <si>
    <t>121602-01069</t>
  </si>
  <si>
    <t>121602-01617</t>
  </si>
  <si>
    <t>121602-01619</t>
  </si>
  <si>
    <t>121602-01620</t>
  </si>
  <si>
    <t>121602-01622</t>
  </si>
  <si>
    <t>121602-01623</t>
  </si>
  <si>
    <t>121602-01624</t>
  </si>
  <si>
    <t>121602-01625</t>
  </si>
  <si>
    <t>121602-10006</t>
  </si>
  <si>
    <t>121602-10008</t>
  </si>
  <si>
    <t>121602-10016</t>
  </si>
  <si>
    <t>121602-10025</t>
  </si>
  <si>
    <t>121602-10026</t>
  </si>
  <si>
    <t>121602-10031</t>
  </si>
  <si>
    <t>121602-10032</t>
  </si>
  <si>
    <t>121902-01820</t>
  </si>
  <si>
    <t>121902-01821</t>
  </si>
  <si>
    <t>121902-01822</t>
  </si>
  <si>
    <t>121902-01823</t>
  </si>
  <si>
    <t>121902-01824</t>
  </si>
  <si>
    <t>121902-01825</t>
  </si>
  <si>
    <t>121902-01826</t>
  </si>
  <si>
    <t>121902-01827</t>
  </si>
  <si>
    <t>121902-01828</t>
  </si>
  <si>
    <t>121902-01829</t>
  </si>
  <si>
    <t>121902-01830</t>
  </si>
  <si>
    <t>121902-01831</t>
  </si>
  <si>
    <t>121902-01832</t>
  </si>
  <si>
    <t>121902-01834</t>
  </si>
  <si>
    <t>121902-01835</t>
  </si>
  <si>
    <t>121902-01836</t>
  </si>
  <si>
    <t>121902-01837</t>
  </si>
  <si>
    <t>121902-01838</t>
  </si>
  <si>
    <t>121902-01839</t>
  </si>
  <si>
    <t>121902-01840</t>
  </si>
  <si>
    <t>121902-01841</t>
  </si>
  <si>
    <t>121902-01842</t>
  </si>
  <si>
    <t>121902-01843</t>
  </si>
  <si>
    <t>121902-01844</t>
  </si>
  <si>
    <t>121902-01845</t>
  </si>
  <si>
    <t>121902-01846</t>
  </si>
  <si>
    <t>121902-01847</t>
  </si>
  <si>
    <t>121902-01848</t>
  </si>
  <si>
    <t>121902-01849</t>
  </si>
  <si>
    <t>121902-01864</t>
  </si>
  <si>
    <t>121902-01865</t>
  </si>
  <si>
    <t>121902-01866</t>
  </si>
  <si>
    <t>121902-01867</t>
  </si>
  <si>
    <t>121902-01868</t>
  </si>
  <si>
    <t>121902-01869</t>
  </si>
  <si>
    <t>121902-01870</t>
  </si>
  <si>
    <t>121902-01891</t>
  </si>
  <si>
    <t>121902-01899</t>
  </si>
  <si>
    <t>121902-01908</t>
  </si>
  <si>
    <t>121902-01916</t>
  </si>
  <si>
    <t>121902-01917</t>
  </si>
  <si>
    <t>121902-01918</t>
  </si>
  <si>
    <t>121902-01919</t>
  </si>
  <si>
    <t>121902-01920</t>
  </si>
  <si>
    <t>121902-01921</t>
  </si>
  <si>
    <t>121902-01922</t>
  </si>
  <si>
    <t>121902-01923</t>
  </si>
  <si>
    <t>121902-01924</t>
  </si>
  <si>
    <t>121902-01927</t>
  </si>
  <si>
    <t>121902-01928</t>
  </si>
  <si>
    <t>121902-01929</t>
  </si>
  <si>
    <t>121902-01930</t>
  </si>
  <si>
    <t>121902-01937</t>
  </si>
  <si>
    <t>121902-01948</t>
  </si>
  <si>
    <t>121902-01951</t>
  </si>
  <si>
    <t>121902-01963</t>
  </si>
  <si>
    <t>121902-01973</t>
  </si>
  <si>
    <t>121902-01981</t>
  </si>
  <si>
    <t>121902-01986</t>
  </si>
  <si>
    <t>121902-01987</t>
  </si>
  <si>
    <t>121902-01990</t>
  </si>
  <si>
    <t>121902-01993</t>
  </si>
  <si>
    <t>121902-01994</t>
  </si>
  <si>
    <t>121902-01995</t>
  </si>
  <si>
    <t>121902-01999</t>
  </si>
  <si>
    <t>121902-02001</t>
  </si>
  <si>
    <t>121902-02007</t>
  </si>
  <si>
    <t>121902-02008</t>
  </si>
  <si>
    <t>121902-02009</t>
  </si>
  <si>
    <t>121902-02010</t>
  </si>
  <si>
    <t>121902-02014</t>
  </si>
  <si>
    <t>121902-02015</t>
  </si>
  <si>
    <t>121902-02016</t>
  </si>
  <si>
    <t>121902-02020</t>
  </si>
  <si>
    <t>121902-02029</t>
  </si>
  <si>
    <t>121902-02030</t>
  </si>
  <si>
    <t>121902-02031</t>
  </si>
  <si>
    <t>121902-02032</t>
  </si>
  <si>
    <t>121902-02042</t>
  </si>
  <si>
    <t>121902-02043</t>
  </si>
  <si>
    <t>121902-02044</t>
  </si>
  <si>
    <t>121902-02047</t>
  </si>
  <si>
    <t>121902-02048</t>
  </si>
  <si>
    <t>121902-02057</t>
  </si>
  <si>
    <t>121902-02074</t>
  </si>
  <si>
    <t>121902-02075</t>
  </si>
  <si>
    <t>121902-02080</t>
  </si>
  <si>
    <t>121902-02081</t>
  </si>
  <si>
    <t>121902-02088</t>
  </si>
  <si>
    <t>121902-02089</t>
  </si>
  <si>
    <t>121902-02092</t>
  </si>
  <si>
    <t>121902-02096</t>
  </si>
  <si>
    <t>121902-02099</t>
  </si>
  <si>
    <t>121902-02100</t>
  </si>
  <si>
    <t>121902-02104</t>
  </si>
  <si>
    <t>121902-02105</t>
  </si>
  <si>
    <t>121902-02117</t>
  </si>
  <si>
    <t>121902-02118</t>
  </si>
  <si>
    <t>121902-02119</t>
  </si>
  <si>
    <t>121902-02120</t>
  </si>
  <si>
    <t>121902-02121</t>
  </si>
  <si>
    <t>121902-02127</t>
  </si>
  <si>
    <t>121902-02128</t>
  </si>
  <si>
    <t>121902-02129</t>
  </si>
  <si>
    <t>121902-02130</t>
  </si>
  <si>
    <t>121902-02139</t>
  </si>
  <si>
    <t>121902-02141</t>
  </si>
  <si>
    <t>121902-02143</t>
  </si>
  <si>
    <t>121902-02144</t>
  </si>
  <si>
    <t>121902-02145</t>
  </si>
  <si>
    <t>121902-02148</t>
  </si>
  <si>
    <t>121902-02149</t>
  </si>
  <si>
    <t>121902-02151</t>
  </si>
  <si>
    <t>121902-02152</t>
  </si>
  <si>
    <t>121902-02153</t>
  </si>
  <si>
    <t>121902-02162</t>
  </si>
  <si>
    <t>121902-02163</t>
  </si>
  <si>
    <t>121902-02164</t>
  </si>
  <si>
    <t>121902-02176</t>
  </si>
  <si>
    <t>121902-02177</t>
  </si>
  <si>
    <t>121902-02184</t>
  </si>
  <si>
    <t>121902-02185</t>
  </si>
  <si>
    <t>121902-02187</t>
  </si>
  <si>
    <t>121902-02188</t>
  </si>
  <si>
    <t>121902-02189</t>
  </si>
  <si>
    <t>121902-02195</t>
  </si>
  <si>
    <t>121902-02200</t>
  </si>
  <si>
    <t>121902-02201</t>
  </si>
  <si>
    <t>121902-02203</t>
  </si>
  <si>
    <t>121902-02208</t>
  </si>
  <si>
    <t>121902-02209</t>
  </si>
  <si>
    <t>121902-02210</t>
  </si>
  <si>
    <t>121902-02211</t>
  </si>
  <si>
    <t>121902-02219</t>
  </si>
  <si>
    <t>121902-02227</t>
  </si>
  <si>
    <t>121902-02229</t>
  </si>
  <si>
    <t>121902-02230</t>
  </si>
  <si>
    <t>121902-02231</t>
  </si>
  <si>
    <t>121902-02232</t>
  </si>
  <si>
    <t>121902-02233</t>
  </si>
  <si>
    <t>121902-02236</t>
  </si>
  <si>
    <t>121902-02237</t>
  </si>
  <si>
    <t>121902-02238</t>
  </si>
  <si>
    <t>121902-02240</t>
  </si>
  <si>
    <t>121902-02252</t>
  </si>
  <si>
    <t>121902-02253</t>
  </si>
  <si>
    <t>121902-02261</t>
  </si>
  <si>
    <t>121902-02262</t>
  </si>
  <si>
    <t>121902-02267</t>
  </si>
  <si>
    <t>121902-02271</t>
  </si>
  <si>
    <t>121902-02279</t>
  </si>
  <si>
    <t>121902-02291</t>
  </si>
  <si>
    <t>121902-02292</t>
  </si>
  <si>
    <t>121902-02297</t>
  </si>
  <si>
    <t>121902-02298</t>
  </si>
  <si>
    <t>121902-02309</t>
  </si>
  <si>
    <t>121902-02310</t>
  </si>
  <si>
    <t>121902-02312</t>
  </si>
  <si>
    <t>121902-02315</t>
  </si>
  <si>
    <t>121902-02317</t>
  </si>
  <si>
    <t>121902-02319</t>
  </si>
  <si>
    <t>121902-02320</t>
  </si>
  <si>
    <t>121902-02321</t>
  </si>
  <si>
    <t>121902-02330</t>
  </si>
  <si>
    <t>121902-02331</t>
  </si>
  <si>
    <t>121902-02332</t>
  </si>
  <si>
    <t>121902-02334</t>
  </si>
  <si>
    <t>121902-02335</t>
  </si>
  <si>
    <t>121902-02337</t>
  </si>
  <si>
    <t>121902-02339</t>
  </si>
  <si>
    <t>121902-02350</t>
  </si>
  <si>
    <t>121902-02354</t>
  </si>
  <si>
    <t>121902-02360</t>
  </si>
  <si>
    <t>121902-02361</t>
  </si>
  <si>
    <t>121902-02362</t>
  </si>
  <si>
    <t>121902-02363</t>
  </si>
  <si>
    <t>121902-02365</t>
  </si>
  <si>
    <t>121902-02370</t>
  </si>
  <si>
    <t>121902-02371</t>
  </si>
  <si>
    <t>121902-02374</t>
  </si>
  <si>
    <t>121902-02378</t>
  </si>
  <si>
    <t>121902-02381</t>
  </si>
  <si>
    <t>121902-02382</t>
  </si>
  <si>
    <t>121902-02383</t>
  </si>
  <si>
    <t>121902-02384</t>
  </si>
  <si>
    <t>121902-02385</t>
  </si>
  <si>
    <t>121902-02394</t>
  </si>
  <si>
    <t>121902-02395</t>
  </si>
  <si>
    <t>121902-02396</t>
  </si>
  <si>
    <t>121902-02401</t>
  </si>
  <si>
    <t>121902-02416</t>
  </si>
  <si>
    <t>121902-02427</t>
  </si>
  <si>
    <t>121902-02429</t>
  </si>
  <si>
    <t>121902-02440</t>
  </si>
  <si>
    <t>121902-02441</t>
  </si>
  <si>
    <t>121902-02456</t>
  </si>
  <si>
    <t>121902-02470</t>
  </si>
  <si>
    <t>121902-02482</t>
  </si>
  <si>
    <t>121902-02483</t>
  </si>
  <si>
    <t>121902-02484</t>
  </si>
  <si>
    <t>121902-02488</t>
  </si>
  <si>
    <t>121902-02489</t>
  </si>
  <si>
    <t>121902-02490</t>
  </si>
  <si>
    <t>121902-02497</t>
  </si>
  <si>
    <t>121902-02498</t>
  </si>
  <si>
    <t>121902-02499</t>
  </si>
  <si>
    <t>121902-02503</t>
  </si>
  <si>
    <t>121902-02507</t>
  </si>
  <si>
    <t>121902-02509</t>
  </si>
  <si>
    <t>121902-02511</t>
  </si>
  <si>
    <t>121902-02529</t>
  </si>
  <si>
    <t>121902-02530</t>
  </si>
  <si>
    <t>121902-02543</t>
  </si>
  <si>
    <t>121902-02552</t>
  </si>
  <si>
    <t>121902-02553</t>
  </si>
  <si>
    <t>121902-02556</t>
  </si>
  <si>
    <t>121902-02570</t>
  </si>
  <si>
    <t>121902-02571</t>
  </si>
  <si>
    <t>121902-02573</t>
  </si>
  <si>
    <t>121902-02577</t>
  </si>
  <si>
    <t>121902-02578</t>
  </si>
  <si>
    <t>121902-02579</t>
  </si>
  <si>
    <t>121902-02580</t>
  </si>
  <si>
    <t>121902-02592</t>
  </si>
  <si>
    <t>121902-02593</t>
  </si>
  <si>
    <t>121902-02594</t>
  </si>
  <si>
    <t>121902-02595</t>
  </si>
  <si>
    <t>121902-02596</t>
  </si>
  <si>
    <t>121902-02597</t>
  </si>
  <si>
    <t>121902-02599</t>
  </si>
  <si>
    <t>121902-02603</t>
  </si>
  <si>
    <t>121902-02604</t>
  </si>
  <si>
    <t>121902-02611</t>
  </si>
  <si>
    <t>121902-02612</t>
  </si>
  <si>
    <t>121902-02615</t>
  </si>
  <si>
    <t>121902-02629</t>
  </si>
  <si>
    <t>121902-02630</t>
  </si>
  <si>
    <t>121902-02631</t>
  </si>
  <si>
    <t>121902-02633</t>
  </si>
  <si>
    <t>121902-02637</t>
  </si>
  <si>
    <t>121902-02638</t>
  </si>
  <si>
    <t>121902-02658</t>
  </si>
  <si>
    <t>121902-02659</t>
  </si>
  <si>
    <t>121902-02662</t>
  </si>
  <si>
    <t>121902-02663</t>
  </si>
  <si>
    <t>121902-02664</t>
  </si>
  <si>
    <t>121902-02665</t>
  </si>
  <si>
    <t>121902-02666</t>
  </si>
  <si>
    <t>121902-02668</t>
  </si>
  <si>
    <t>121902-02669</t>
  </si>
  <si>
    <t>121902-02670</t>
  </si>
  <si>
    <t>121902-02671</t>
  </si>
  <si>
    <t>121902-02672</t>
  </si>
  <si>
    <t>121902-02673</t>
  </si>
  <si>
    <t>121902-02674</t>
  </si>
  <si>
    <t>121902-02675</t>
  </si>
  <si>
    <t>121902-02676</t>
  </si>
  <si>
    <t>121902-02677</t>
  </si>
  <si>
    <t>121902-02678</t>
  </si>
  <si>
    <t>121902-02679</t>
  </si>
  <si>
    <t>121902-02704</t>
  </si>
  <si>
    <t>121902-02715</t>
  </si>
  <si>
    <t>121902-02761</t>
  </si>
  <si>
    <t>121902-02786</t>
  </si>
  <si>
    <t>121902-02787</t>
  </si>
  <si>
    <t>121903-01039</t>
  </si>
  <si>
    <t>121903-01040</t>
  </si>
  <si>
    <t>121903-01041</t>
  </si>
  <si>
    <t>121903-01042</t>
  </si>
  <si>
    <t>121903-01043</t>
  </si>
  <si>
    <t>121903-01044</t>
  </si>
  <si>
    <t>121903-01045</t>
  </si>
  <si>
    <t>121903-01046</t>
  </si>
  <si>
    <t>121903-01047</t>
  </si>
  <si>
    <t>121903-01048</t>
  </si>
  <si>
    <t>122001-00011</t>
  </si>
  <si>
    <t>122001-00014</t>
  </si>
  <si>
    <t>122001-00015</t>
  </si>
  <si>
    <t>12ZZZZ-00131</t>
  </si>
  <si>
    <t>12ZZZZ-00136</t>
  </si>
  <si>
    <t>12ZZZZ-00138</t>
  </si>
  <si>
    <t>12ZZZZ-00139</t>
  </si>
  <si>
    <t>12ZZZZ-00142</t>
  </si>
  <si>
    <t>12ZZZZ-00144</t>
  </si>
  <si>
    <t>12ZZZZ-00147</t>
  </si>
  <si>
    <t>12ZZZZ-00148</t>
  </si>
  <si>
    <t>12ZZZZ-00150</t>
  </si>
  <si>
    <t>12ZZZZ-00151</t>
  </si>
  <si>
    <t>12ZZZZ-00187</t>
  </si>
  <si>
    <t>12ZZZZ-00200</t>
  </si>
  <si>
    <t>12ZZZZ-00203</t>
  </si>
  <si>
    <t>12ZZZZ-00204</t>
  </si>
  <si>
    <t>12ZZZZ-00220</t>
  </si>
  <si>
    <t>12ZZZZ-00225</t>
  </si>
  <si>
    <t>12ZZZZ-00265</t>
  </si>
  <si>
    <t>12ZZZZ-00300</t>
  </si>
  <si>
    <t>12ZZZZ-00308</t>
  </si>
  <si>
    <t>12ZZZZ-00309</t>
  </si>
  <si>
    <t>12ZZZZ-00310</t>
  </si>
  <si>
    <t>12ZZZZ-00311</t>
  </si>
  <si>
    <t>12ZZZZ-00312</t>
  </si>
  <si>
    <t>12ZZZZ-00313</t>
  </si>
  <si>
    <t>12ZZZZ-00314</t>
  </si>
  <si>
    <t>12ZZZZ-00315</t>
  </si>
  <si>
    <t>12ZZZZ-00316</t>
  </si>
  <si>
    <t>12ZZZZ-00317</t>
  </si>
  <si>
    <t>12ZZZZ-00318</t>
  </si>
  <si>
    <t>12ZZZZ-00319</t>
  </si>
  <si>
    <t>12ZZZZ-00320</t>
  </si>
  <si>
    <t>12ZZZZ-00321</t>
  </si>
  <si>
    <t>12ZZZZ-00322</t>
  </si>
  <si>
    <t>12ZZZZ-00323</t>
  </si>
  <si>
    <t>12ZZZZ-00324</t>
  </si>
  <si>
    <t>12ZZZZ-00325</t>
  </si>
  <si>
    <t>12ZZZZ-00326</t>
  </si>
  <si>
    <t>12ZZZZ-00327</t>
  </si>
  <si>
    <t>12ZZZZ-00328</t>
  </si>
  <si>
    <t>12ZZZZ-00329</t>
  </si>
  <si>
    <t>12ZZZZ-00330</t>
  </si>
  <si>
    <t>12ZZZZ-00331</t>
  </si>
  <si>
    <t>12ZZZZ-00332</t>
  </si>
  <si>
    <t>12ZZZZ-00333</t>
  </si>
  <si>
    <t>12ZZZZ-00369</t>
  </si>
  <si>
    <t>12ZZZZ-00433</t>
  </si>
  <si>
    <t>12ZZZZ-00522</t>
  </si>
  <si>
    <t>12ZZZZ-00523</t>
  </si>
  <si>
    <t>12ZZZZ-00528</t>
  </si>
  <si>
    <t>12ZZZZ-00543</t>
  </si>
  <si>
    <t>12ZZZZ-00549</t>
  </si>
  <si>
    <t>12ZZZZ-00559</t>
  </si>
  <si>
    <t>12ZZZZ-00569</t>
  </si>
  <si>
    <t>12ZZZZ-00574</t>
  </si>
  <si>
    <t>12ZZZZ-00590</t>
  </si>
  <si>
    <t>12ZZZZ-00597</t>
  </si>
  <si>
    <t>12ZZZZ-00599</t>
  </si>
  <si>
    <t>12ZZZZ-00613</t>
  </si>
  <si>
    <t>12ZZZZ-00632</t>
  </si>
  <si>
    <t>12ZZZZ-00666</t>
  </si>
  <si>
    <t>12ZZZZ-00667</t>
  </si>
  <si>
    <t>12ZZZZ-00669</t>
  </si>
  <si>
    <t>12ZZZZ-00672</t>
  </si>
  <si>
    <t>12ZZZZ-00732</t>
  </si>
  <si>
    <t>12ZZZZ-00735</t>
  </si>
  <si>
    <t>12ZZZZ-00755</t>
  </si>
  <si>
    <t>12ZZZZ-00784</t>
  </si>
  <si>
    <t>12ZZZZ-00853</t>
  </si>
  <si>
    <t>12ZZZZ-00874</t>
  </si>
  <si>
    <t>12ZZZZ-00882</t>
  </si>
  <si>
    <t>12ZZZZ-00883</t>
  </si>
  <si>
    <t>12ZZZZ-00884</t>
  </si>
  <si>
    <t>12ZZZZ-00904</t>
  </si>
  <si>
    <t>12ZZZZ-00924</t>
  </si>
  <si>
    <t>12ZZZZ-00928</t>
  </si>
  <si>
    <t>12ZZZZ-00929</t>
  </si>
  <si>
    <t>12ZZZZ-00980</t>
  </si>
  <si>
    <t>12ZZZZ-00981</t>
  </si>
  <si>
    <t>12ZZZZ-01035</t>
  </si>
  <si>
    <t>12ZZZZ-01038</t>
  </si>
  <si>
    <t>12ZZZZ-01059</t>
  </si>
  <si>
    <t>12ZZZZ-01060</t>
  </si>
  <si>
    <t>12ZZZZ-01065</t>
  </si>
  <si>
    <t>12ZZZZ-01068</t>
  </si>
  <si>
    <t>12ZZZZ-01070</t>
  </si>
  <si>
    <t>12ZZZZ-01074</t>
  </si>
  <si>
    <t>12ZZZZ-01098</t>
  </si>
  <si>
    <t>12ZZZZ-01099</t>
  </si>
  <si>
    <t>12ZZZZ-01101</t>
  </si>
  <si>
    <t>12ZZZZ-01109</t>
  </si>
  <si>
    <t>12ZZZZ-01114</t>
  </si>
  <si>
    <t>12ZZZZ-01115</t>
  </si>
  <si>
    <t>12ZZZZ-01134</t>
  </si>
  <si>
    <t>12ZZZZ-01150</t>
  </si>
  <si>
    <t>12ZZZZ-01153</t>
  </si>
  <si>
    <t>12ZZZZ-01167</t>
  </si>
  <si>
    <t>12ZZZZ-01240</t>
  </si>
  <si>
    <t>12ZZZZ-01304</t>
  </si>
  <si>
    <t>12ZZZZ-01315</t>
  </si>
  <si>
    <t>12ZZZZ-01316</t>
  </si>
  <si>
    <t>12ZZZZ-01317</t>
  </si>
  <si>
    <t>12ZZZZ-01351</t>
  </si>
  <si>
    <t>12ZZZZ-01361</t>
  </si>
  <si>
    <t>12ZZZZ-01374</t>
  </si>
  <si>
    <t>12ZZZZ-01393</t>
  </si>
  <si>
    <t>12ZZZZ-01397</t>
  </si>
  <si>
    <t>12ZZZZ-01425</t>
  </si>
  <si>
    <t>12ZZZZ-01429</t>
  </si>
  <si>
    <t>12ZZZZ-01444</t>
  </si>
  <si>
    <t>12ZZZZ-01446</t>
  </si>
  <si>
    <t>12ZZZZ-01453</t>
  </si>
  <si>
    <t>12ZZZZ-01456</t>
  </si>
  <si>
    <t>12ZZZZ-01459</t>
  </si>
  <si>
    <t>12ZZZZ-01466</t>
  </si>
  <si>
    <t>12ZZZZ-01469</t>
  </si>
  <si>
    <t>12ZZZZ-01494</t>
  </si>
  <si>
    <t>12ZZZZ-01519</t>
  </si>
  <si>
    <t>12ZZZZ-01530</t>
  </si>
  <si>
    <t>12ZZZZ-10003</t>
  </si>
  <si>
    <t>12ZZZZ-10013</t>
  </si>
  <si>
    <t>12ZZZZ-10014</t>
  </si>
  <si>
    <t>12ZZZZ-10019</t>
  </si>
  <si>
    <t>130503-00126</t>
  </si>
  <si>
    <t>経済戦略局</t>
  </si>
  <si>
    <t>130504-00000</t>
  </si>
  <si>
    <t>大阪港湾局</t>
  </si>
  <si>
    <t>130504-00001</t>
  </si>
  <si>
    <t>130504-00002</t>
  </si>
  <si>
    <t>130504-00003</t>
  </si>
  <si>
    <t>130504-00004</t>
  </si>
  <si>
    <t>130504-00010</t>
  </si>
  <si>
    <t>130504-00013</t>
  </si>
  <si>
    <t>130505-00000</t>
  </si>
  <si>
    <t>130505-00001</t>
  </si>
  <si>
    <t>130505-00002</t>
  </si>
  <si>
    <t>130505-00003</t>
  </si>
  <si>
    <t>130505-00006</t>
  </si>
  <si>
    <t>130505-00007</t>
  </si>
  <si>
    <t>130505-00008</t>
  </si>
  <si>
    <t>130505-00009</t>
  </si>
  <si>
    <t>130505-00010</t>
  </si>
  <si>
    <t>130505-00011</t>
  </si>
  <si>
    <t>130505-00012</t>
  </si>
  <si>
    <t>130505-00013</t>
  </si>
  <si>
    <t>130505-00014</t>
  </si>
  <si>
    <t>130505-00015</t>
  </si>
  <si>
    <t>130505-00017</t>
  </si>
  <si>
    <t>130505-00019</t>
  </si>
  <si>
    <t>130505-00021</t>
  </si>
  <si>
    <t>130505-00022</t>
  </si>
  <si>
    <t>130505-00028</t>
  </si>
  <si>
    <t>130505-00052</t>
  </si>
  <si>
    <t>130505-00054</t>
  </si>
  <si>
    <t>130505-00055</t>
  </si>
  <si>
    <t>130506-00003</t>
  </si>
  <si>
    <t>130618-00000</t>
  </si>
  <si>
    <t>130618-00001</t>
  </si>
  <si>
    <t>130618-00002</t>
  </si>
  <si>
    <t>130618-00003</t>
  </si>
  <si>
    <t>130618-00004</t>
  </si>
  <si>
    <t>130618-00006</t>
  </si>
  <si>
    <t>130618-00007</t>
  </si>
  <si>
    <t>130618-00008</t>
  </si>
  <si>
    <t>130618-00009</t>
  </si>
  <si>
    <t>130618-00010</t>
  </si>
  <si>
    <t>130618-00011</t>
  </si>
  <si>
    <t>130618-00012</t>
  </si>
  <si>
    <t>130618-00013</t>
  </si>
  <si>
    <t>130618-00014</t>
  </si>
  <si>
    <t>130618-00016</t>
  </si>
  <si>
    <t>130618-00017</t>
  </si>
  <si>
    <t>130618-00019</t>
  </si>
  <si>
    <t>130619-00008</t>
  </si>
  <si>
    <t>130621-00005</t>
  </si>
  <si>
    <t>130621-00006</t>
  </si>
  <si>
    <t>130621-00007</t>
  </si>
  <si>
    <t>130621-00008</t>
  </si>
  <si>
    <t>130621-00010</t>
  </si>
  <si>
    <t>130621-00011</t>
  </si>
  <si>
    <t>130621-00012</t>
  </si>
  <si>
    <t>130621-00013</t>
  </si>
  <si>
    <t>130621-00014</t>
  </si>
  <si>
    <t>130621-00015</t>
  </si>
  <si>
    <t>130621-00016</t>
  </si>
  <si>
    <t>130621-00017</t>
  </si>
  <si>
    <t>130621-00018</t>
  </si>
  <si>
    <t>130621-00019</t>
  </si>
  <si>
    <t>130621-00020</t>
  </si>
  <si>
    <t>130621-00021</t>
  </si>
  <si>
    <t>夢洲東１丁目</t>
  </si>
  <si>
    <t>130621-00023</t>
  </si>
  <si>
    <t>130621-00024</t>
  </si>
  <si>
    <t>130621-00025</t>
  </si>
  <si>
    <t>130621-00026</t>
  </si>
  <si>
    <t>130621-00027</t>
  </si>
  <si>
    <t>130621-00028</t>
  </si>
  <si>
    <t>130621-00029</t>
  </si>
  <si>
    <t>130621-00030</t>
  </si>
  <si>
    <t>130621-00031</t>
  </si>
  <si>
    <t>130621-00032</t>
  </si>
  <si>
    <t>130621-00033</t>
  </si>
  <si>
    <t>130621-00034</t>
  </si>
  <si>
    <t>130621-00052</t>
  </si>
  <si>
    <t>130621-00053</t>
  </si>
  <si>
    <t>130621-00054</t>
  </si>
  <si>
    <t>130621-00055</t>
  </si>
  <si>
    <t>130621-00057</t>
  </si>
  <si>
    <t>130621-00058</t>
  </si>
  <si>
    <t>130621-00059</t>
  </si>
  <si>
    <t>130621-00060</t>
  </si>
  <si>
    <t>130621-00063</t>
  </si>
  <si>
    <t>130621-00064</t>
  </si>
  <si>
    <t>130621-00065</t>
  </si>
  <si>
    <t>130621-00066</t>
  </si>
  <si>
    <t>130621-00067</t>
  </si>
  <si>
    <t>130621-00068</t>
  </si>
  <si>
    <t>130621-00070</t>
  </si>
  <si>
    <t>130621-00089</t>
  </si>
  <si>
    <t>130621-00091</t>
  </si>
  <si>
    <t>130621-00093</t>
  </si>
  <si>
    <t>夢洲中１丁目</t>
  </si>
  <si>
    <t>130622-00027</t>
  </si>
  <si>
    <t>130622-00107</t>
  </si>
  <si>
    <t>130622-00108</t>
  </si>
  <si>
    <t>130622-00109</t>
  </si>
  <si>
    <t>130622-00110</t>
  </si>
  <si>
    <t>130622-00112</t>
  </si>
  <si>
    <t>130622-00113</t>
  </si>
  <si>
    <t>130622-00114</t>
  </si>
  <si>
    <t>130622-00115</t>
  </si>
  <si>
    <t>130622-00116</t>
  </si>
  <si>
    <t>130622-00117</t>
  </si>
  <si>
    <t>130622-00118</t>
  </si>
  <si>
    <t>130622-00119</t>
  </si>
  <si>
    <t>130622-00120</t>
  </si>
  <si>
    <t>130622-00121</t>
  </si>
  <si>
    <t>130622-00122</t>
  </si>
  <si>
    <t>130622-00123</t>
  </si>
  <si>
    <t>130622-00124</t>
  </si>
  <si>
    <t>130622-00125</t>
  </si>
  <si>
    <t>130622-00126</t>
  </si>
  <si>
    <t>130622-00170</t>
  </si>
  <si>
    <t>130622-00187</t>
  </si>
  <si>
    <t>130622-00209</t>
  </si>
  <si>
    <t>130624-00008</t>
  </si>
  <si>
    <t>130624-00009</t>
  </si>
  <si>
    <t>130624-00010</t>
  </si>
  <si>
    <t>130624-00012</t>
  </si>
  <si>
    <t>130624-00013</t>
  </si>
  <si>
    <t>130704-00000</t>
  </si>
  <si>
    <t>130704-00001</t>
  </si>
  <si>
    <t>130704-00002</t>
  </si>
  <si>
    <t>130704-00003</t>
  </si>
  <si>
    <t>130704-00004</t>
  </si>
  <si>
    <t>130704-00005</t>
  </si>
  <si>
    <t>130704-00006</t>
  </si>
  <si>
    <t>130704-00007</t>
  </si>
  <si>
    <t>130704-00008</t>
  </si>
  <si>
    <t>130704-00010</t>
  </si>
  <si>
    <t>130704-00012</t>
  </si>
  <si>
    <t>130704-00014</t>
  </si>
  <si>
    <t>130704-00015</t>
  </si>
  <si>
    <t>13ZZZZ-00008</t>
  </si>
  <si>
    <t>13ZZZZ-00009</t>
  </si>
  <si>
    <t>13ZZZZ-00010</t>
  </si>
  <si>
    <t>13ZZZZ-00011</t>
  </si>
  <si>
    <t>13ZZZZ-00012</t>
  </si>
  <si>
    <t>13ZZZZ-00013</t>
  </si>
  <si>
    <t>13ZZZZ-00014</t>
  </si>
  <si>
    <t>13ZZZZ-00015</t>
  </si>
  <si>
    <t>13ZZZZ-00016</t>
  </si>
  <si>
    <t>13ZZZZ-00018</t>
  </si>
  <si>
    <t>13ZZZZ-00020</t>
  </si>
  <si>
    <t>13ZZZZ-00021</t>
  </si>
  <si>
    <t>13ZZZZ-00022</t>
  </si>
  <si>
    <t>13ZZZZ-00025</t>
  </si>
  <si>
    <t>13ZZZZ-00026</t>
  </si>
  <si>
    <t>13ZZZZ-00053</t>
  </si>
  <si>
    <t>13ZZZZ-00054</t>
  </si>
  <si>
    <t>13ZZZZ-00055</t>
  </si>
  <si>
    <t>13ZZZZ-00056</t>
  </si>
  <si>
    <t>13ZZZZ-00057</t>
  </si>
  <si>
    <t>13ZZZZ-00058</t>
  </si>
  <si>
    <t>13ZZZZ-00059</t>
  </si>
  <si>
    <t>13ZZZZ-00060</t>
  </si>
  <si>
    <t>13ZZZZ-00061</t>
  </si>
  <si>
    <t>13ZZZZ-00062</t>
  </si>
  <si>
    <t>13ZZZZ-00063</t>
  </si>
  <si>
    <t>13ZZZZ-00064</t>
  </si>
  <si>
    <t>13ZZZZ-00065</t>
  </si>
  <si>
    <t>13ZZZZ-00066</t>
  </si>
  <si>
    <t>13ZZZZ-00067</t>
  </si>
  <si>
    <t>13ZZZZ-00068</t>
  </si>
  <si>
    <t>13ZZZZ-00070</t>
  </si>
  <si>
    <t>13ZZZZ-00071</t>
  </si>
  <si>
    <t>13ZZZZ-00072</t>
  </si>
  <si>
    <t>13ZZZZ-00082</t>
  </si>
  <si>
    <t>13ZZZZ-00083</t>
  </si>
  <si>
    <t>13ZZZZ-00085</t>
  </si>
  <si>
    <t>13ZZZZ-00089</t>
  </si>
  <si>
    <t>13ZZZZ-00090</t>
  </si>
  <si>
    <t>13ZZZZ-00091</t>
  </si>
  <si>
    <t>13ZZZZ-00094</t>
  </si>
  <si>
    <t>13ZZZZ-00095</t>
  </si>
  <si>
    <t>13ZZZZ-00099</t>
  </si>
  <si>
    <t>13ZZZZ-00109</t>
  </si>
  <si>
    <t>13ZZZZ-00111</t>
  </si>
  <si>
    <t>13ZZZZ-00112</t>
  </si>
  <si>
    <t>13ZZZZ-00113</t>
  </si>
  <si>
    <t>13ZZZZ-00114</t>
  </si>
  <si>
    <t>13ZZZZ-00115</t>
  </si>
  <si>
    <t>13ZZZZ-00116</t>
  </si>
  <si>
    <t>13ZZZZ-00117</t>
  </si>
  <si>
    <t>13ZZZZ-00118</t>
  </si>
  <si>
    <t>13ZZZZ-00119</t>
  </si>
  <si>
    <t>13ZZZZ-00126</t>
  </si>
  <si>
    <t>13ZZZZ-00127</t>
  </si>
  <si>
    <t>13ZZZZ-00128</t>
  </si>
  <si>
    <t>13ZZZZ-00129</t>
  </si>
  <si>
    <t>13ZZZZ-00133</t>
  </si>
  <si>
    <t>13ZZZZ-00134</t>
  </si>
  <si>
    <t>13ZZZZ-00140</t>
  </si>
  <si>
    <t>13ZZZZ-00143</t>
  </si>
  <si>
    <t>13ZZZZ-00145</t>
  </si>
  <si>
    <t>13ZZZZ-00146</t>
  </si>
  <si>
    <t>13ZZZZ-00148</t>
  </si>
  <si>
    <t>13ZZZZ-00150</t>
  </si>
  <si>
    <t>13ZZZZ-00151</t>
  </si>
  <si>
    <t>13ZZZZ-00152</t>
  </si>
  <si>
    <t>13ZZZZ-00161</t>
  </si>
  <si>
    <t>13ZZZZ-00164</t>
  </si>
  <si>
    <t>13ZZZZ-00166</t>
  </si>
  <si>
    <t>13ZZZZ-00167</t>
  </si>
  <si>
    <t>13ZZZZ-00176</t>
  </si>
  <si>
    <t>13ZZZZ-00177</t>
  </si>
  <si>
    <t>13ZZZZ-00178</t>
  </si>
  <si>
    <t>13ZZZZ-00179</t>
  </si>
  <si>
    <t>13ZZZZ-10002</t>
  </si>
  <si>
    <t>13ZZZZ-10006</t>
  </si>
  <si>
    <t>13ZZZZ-10007</t>
  </si>
  <si>
    <t>13ZZZZ-10008</t>
  </si>
  <si>
    <t>13ZZZZ-10015</t>
  </si>
  <si>
    <t>13ZZZZ-10017</t>
  </si>
  <si>
    <t>13ZZZZ-10018</t>
  </si>
  <si>
    <t>150106-00000</t>
  </si>
  <si>
    <t>150106-00001</t>
  </si>
  <si>
    <t>150111-00000</t>
  </si>
  <si>
    <t>150111-00002</t>
  </si>
  <si>
    <t>150111-00003</t>
  </si>
  <si>
    <t>150111-00004</t>
  </si>
  <si>
    <t>150111-00005</t>
  </si>
  <si>
    <t>150111-00006</t>
  </si>
  <si>
    <t>150111-00007</t>
  </si>
  <si>
    <t>150111-00008</t>
  </si>
  <si>
    <t>150111-00009</t>
  </si>
  <si>
    <t>150111-00010</t>
  </si>
  <si>
    <t>150111-00011</t>
  </si>
  <si>
    <t>150111-00012</t>
  </si>
  <si>
    <t>150111-10001</t>
  </si>
  <si>
    <t>150111-10007</t>
  </si>
  <si>
    <t>150111-10008</t>
  </si>
  <si>
    <t>150111-10009</t>
  </si>
  <si>
    <t>160106-00000</t>
  </si>
  <si>
    <t>160106-00004</t>
  </si>
  <si>
    <t>160106-10005</t>
  </si>
  <si>
    <t>160107-00000</t>
  </si>
  <si>
    <t>160107-00001</t>
  </si>
  <si>
    <t>160107-00002</t>
  </si>
  <si>
    <t>160107-00003</t>
  </si>
  <si>
    <t>160107-00004</t>
  </si>
  <si>
    <t>160107-00005</t>
  </si>
  <si>
    <t>160107-00006</t>
  </si>
  <si>
    <t>160107-10004</t>
  </si>
  <si>
    <t>160107-10005</t>
  </si>
  <si>
    <t>160107-10006</t>
  </si>
  <si>
    <t>160107-10007</t>
  </si>
  <si>
    <t>170106-00001</t>
  </si>
  <si>
    <t>170113-00000</t>
  </si>
  <si>
    <t>170113-00001</t>
  </si>
  <si>
    <t>170113-00002</t>
  </si>
  <si>
    <t>170113-00003</t>
  </si>
  <si>
    <t>170113-00004</t>
  </si>
  <si>
    <t>170113-10006</t>
  </si>
  <si>
    <t>180106-00000</t>
  </si>
  <si>
    <t>180106-00001</t>
  </si>
  <si>
    <t>180112-00000</t>
  </si>
  <si>
    <t>180112-00001</t>
  </si>
  <si>
    <t>180112-00002</t>
  </si>
  <si>
    <t>180112-00003</t>
  </si>
  <si>
    <t>180112-00004</t>
  </si>
  <si>
    <t>180112-00007</t>
  </si>
  <si>
    <t>180112-00008</t>
  </si>
  <si>
    <t>180112-00010</t>
  </si>
  <si>
    <t>180112-00011</t>
  </si>
  <si>
    <t>180112-00013</t>
  </si>
  <si>
    <t>180112-00015</t>
  </si>
  <si>
    <t>180112-10007</t>
  </si>
  <si>
    <t>190106-00000</t>
  </si>
  <si>
    <t>190106-10002</t>
  </si>
  <si>
    <t>190111-00000</t>
  </si>
  <si>
    <t>190111-00001</t>
  </si>
  <si>
    <t>190111-00002</t>
  </si>
  <si>
    <t>190111-00003</t>
  </si>
  <si>
    <t>190111-00004</t>
  </si>
  <si>
    <t>190111-00005</t>
  </si>
  <si>
    <t>190111-00006</t>
  </si>
  <si>
    <t>190111-00007</t>
  </si>
  <si>
    <t>190111-00008</t>
  </si>
  <si>
    <t>190111-00009</t>
  </si>
  <si>
    <t>190111-10001</t>
  </si>
  <si>
    <t>200106-00000</t>
  </si>
  <si>
    <t>200106-00001</t>
  </si>
  <si>
    <t>200111-00000</t>
  </si>
  <si>
    <t>200111-00001</t>
  </si>
  <si>
    <t>200111-00002</t>
  </si>
  <si>
    <t>200111-00003</t>
  </si>
  <si>
    <t>200111-00004</t>
  </si>
  <si>
    <t>210106-00000</t>
  </si>
  <si>
    <t>210106-00001</t>
  </si>
  <si>
    <t>210111-00000</t>
  </si>
  <si>
    <t>210111-00001</t>
  </si>
  <si>
    <t>210111-00002</t>
  </si>
  <si>
    <t>210111-00003</t>
  </si>
  <si>
    <t>210111-00004</t>
  </si>
  <si>
    <t>210111-00005</t>
  </si>
  <si>
    <t>210111-00006</t>
  </si>
  <si>
    <t>210111-10003</t>
  </si>
  <si>
    <t>210111-10006</t>
  </si>
  <si>
    <t>210111-10007</t>
  </si>
  <si>
    <t>210111-10008</t>
  </si>
  <si>
    <t>210111-10009</t>
  </si>
  <si>
    <t>210117-10001</t>
  </si>
  <si>
    <t>220106-00000</t>
  </si>
  <si>
    <t>220106-00001</t>
  </si>
  <si>
    <t>220107-00001</t>
  </si>
  <si>
    <t>220107-00002</t>
  </si>
  <si>
    <t>220107-00003</t>
  </si>
  <si>
    <t>220107-10002</t>
  </si>
  <si>
    <t>230106-00002</t>
  </si>
  <si>
    <t>230106-10002</t>
  </si>
  <si>
    <t>大道２丁目</t>
  </si>
  <si>
    <t>230115-00000</t>
  </si>
  <si>
    <t>230115-00001</t>
  </si>
  <si>
    <t>230115-00002</t>
  </si>
  <si>
    <t>230115-00003</t>
  </si>
  <si>
    <t>230117-00000</t>
  </si>
  <si>
    <t>240106-00000</t>
  </si>
  <si>
    <t>浪速区役所</t>
  </si>
  <si>
    <t>240106-00001</t>
  </si>
  <si>
    <t>240112-00000</t>
  </si>
  <si>
    <t>240112-00001</t>
  </si>
  <si>
    <t>240112-00002</t>
  </si>
  <si>
    <t>240112-00003</t>
  </si>
  <si>
    <t>240112-00004</t>
  </si>
  <si>
    <t>240112-00005</t>
  </si>
  <si>
    <t>240112-00006</t>
  </si>
  <si>
    <t>240112-00007</t>
  </si>
  <si>
    <t>240112-00008</t>
  </si>
  <si>
    <t>240112-00009</t>
  </si>
  <si>
    <t>240112-00010</t>
  </si>
  <si>
    <t>240112-00011</t>
  </si>
  <si>
    <t>240112-00012</t>
  </si>
  <si>
    <t>240112-00013</t>
  </si>
  <si>
    <t>240112-00014</t>
  </si>
  <si>
    <t>240112-00016</t>
  </si>
  <si>
    <t>240112-10001</t>
  </si>
  <si>
    <t>240112-10002</t>
  </si>
  <si>
    <t>240112-10003</t>
  </si>
  <si>
    <t>240112-10004</t>
  </si>
  <si>
    <t>240112-10005</t>
  </si>
  <si>
    <t>240112-10006</t>
  </si>
  <si>
    <t>240112-10007</t>
  </si>
  <si>
    <t>240112-10008</t>
  </si>
  <si>
    <t>240112-10009</t>
  </si>
  <si>
    <t>240112-10010</t>
  </si>
  <si>
    <t>240112-10011</t>
  </si>
  <si>
    <t>240112-10012</t>
  </si>
  <si>
    <t>240112-10013</t>
  </si>
  <si>
    <t>240112-10014</t>
  </si>
  <si>
    <t>240112-10015</t>
  </si>
  <si>
    <t>240112-10016</t>
  </si>
  <si>
    <t>240112-10018</t>
  </si>
  <si>
    <t>250106-00000</t>
  </si>
  <si>
    <t>250106-00001</t>
  </si>
  <si>
    <t>250106-00006</t>
  </si>
  <si>
    <t>250116-00000</t>
  </si>
  <si>
    <t>250116-00001</t>
  </si>
  <si>
    <t>250116-00002</t>
  </si>
  <si>
    <t>250116-00003</t>
  </si>
  <si>
    <t>250116-00004</t>
  </si>
  <si>
    <t>250116-00005</t>
  </si>
  <si>
    <t>250116-00006</t>
  </si>
  <si>
    <t>250116-00007</t>
  </si>
  <si>
    <t>250116-00008</t>
  </si>
  <si>
    <t>250116-00009</t>
  </si>
  <si>
    <t>250116-00010</t>
  </si>
  <si>
    <t>250116-00011</t>
  </si>
  <si>
    <t>260106-00002</t>
  </si>
  <si>
    <t>260106-00003</t>
  </si>
  <si>
    <t>260106-00004</t>
  </si>
  <si>
    <t>260106-00005</t>
  </si>
  <si>
    <t>260106-00007</t>
  </si>
  <si>
    <t>260106-00008</t>
  </si>
  <si>
    <t>260106-00009</t>
  </si>
  <si>
    <t>260106-00010</t>
  </si>
  <si>
    <t>260106-00012</t>
  </si>
  <si>
    <t>260106-00013</t>
  </si>
  <si>
    <t>260106-10006</t>
  </si>
  <si>
    <t>260106-10011</t>
  </si>
  <si>
    <t>260107-10002</t>
  </si>
  <si>
    <t>270108-00000</t>
  </si>
  <si>
    <t>東淀川区役所</t>
  </si>
  <si>
    <t>270108-00002</t>
  </si>
  <si>
    <t>270117-00000</t>
  </si>
  <si>
    <t>270117-00001</t>
  </si>
  <si>
    <t>270118-00000</t>
  </si>
  <si>
    <t>270118-00001</t>
  </si>
  <si>
    <t>270118-00002</t>
  </si>
  <si>
    <t>270118-00003</t>
  </si>
  <si>
    <t>270118-00004</t>
  </si>
  <si>
    <t>270118-00005</t>
  </si>
  <si>
    <t>270118-00006</t>
  </si>
  <si>
    <t>270118-00007</t>
  </si>
  <si>
    <t>270118-00008</t>
  </si>
  <si>
    <t>270118-00010</t>
  </si>
  <si>
    <t>270118-00011</t>
  </si>
  <si>
    <t>270118-00012</t>
  </si>
  <si>
    <t>270118-00013</t>
  </si>
  <si>
    <t>270118-00014</t>
  </si>
  <si>
    <t>270118-00015</t>
  </si>
  <si>
    <t>270118-00016</t>
  </si>
  <si>
    <t>270118-00017</t>
  </si>
  <si>
    <t>270118-00018</t>
  </si>
  <si>
    <t>270118-00019</t>
  </si>
  <si>
    <t>270118-00020</t>
  </si>
  <si>
    <t>270118-00021</t>
  </si>
  <si>
    <t>270118-00022</t>
  </si>
  <si>
    <t>280114-00000</t>
  </si>
  <si>
    <t>280114-00001</t>
  </si>
  <si>
    <t>280119-00000</t>
  </si>
  <si>
    <t>280119-00001</t>
  </si>
  <si>
    <t>280119-00002</t>
  </si>
  <si>
    <t>280119-00003</t>
  </si>
  <si>
    <t>280119-00004</t>
  </si>
  <si>
    <t>290106-00000</t>
  </si>
  <si>
    <t>290106-00001</t>
  </si>
  <si>
    <t>290106-00002</t>
  </si>
  <si>
    <t>290106-10003</t>
  </si>
  <si>
    <t>290113-00001</t>
  </si>
  <si>
    <t>290113-00002</t>
  </si>
  <si>
    <t>290113-00003</t>
  </si>
  <si>
    <t>290113-00004</t>
  </si>
  <si>
    <t>290113-00005</t>
  </si>
  <si>
    <t>290113-00006</t>
  </si>
  <si>
    <t>290113-00007</t>
  </si>
  <si>
    <t>290113-00008</t>
  </si>
  <si>
    <t>290113-00009</t>
  </si>
  <si>
    <t>300106-00000</t>
  </si>
  <si>
    <t>300106-00001</t>
  </si>
  <si>
    <t>300107-00000</t>
  </si>
  <si>
    <t>300107-00001</t>
  </si>
  <si>
    <t>300107-00003</t>
  </si>
  <si>
    <t>300107-00004</t>
  </si>
  <si>
    <t>300107-00005</t>
  </si>
  <si>
    <t>300107-00006</t>
  </si>
  <si>
    <t>300107-00007</t>
  </si>
  <si>
    <t>300107-00008</t>
  </si>
  <si>
    <t>300107-00009</t>
  </si>
  <si>
    <t>300107-10002</t>
  </si>
  <si>
    <t>310106-00000</t>
  </si>
  <si>
    <t>310106-10015</t>
  </si>
  <si>
    <t>310106-10017</t>
  </si>
  <si>
    <t>310107-00000</t>
  </si>
  <si>
    <t>310107-00001</t>
  </si>
  <si>
    <t>310107-00002</t>
  </si>
  <si>
    <t>310107-00003</t>
  </si>
  <si>
    <t>310107-00004</t>
  </si>
  <si>
    <t>310107-00005</t>
  </si>
  <si>
    <t>310107-00006</t>
  </si>
  <si>
    <t>310107-00007</t>
  </si>
  <si>
    <t>310107-00008</t>
  </si>
  <si>
    <t>310107-00010</t>
  </si>
  <si>
    <t>310107-00011</t>
  </si>
  <si>
    <t>310107-00012</t>
  </si>
  <si>
    <t>310107-00013</t>
  </si>
  <si>
    <t>310107-00014</t>
  </si>
  <si>
    <t>310107-00015</t>
  </si>
  <si>
    <t>310107-00016</t>
  </si>
  <si>
    <t>310107-00017</t>
  </si>
  <si>
    <t>310107-10031</t>
  </si>
  <si>
    <t>320106-00000</t>
  </si>
  <si>
    <t>320106-00001</t>
  </si>
  <si>
    <t>320106-00002</t>
  </si>
  <si>
    <t>320107-00000</t>
  </si>
  <si>
    <t>320107-00001</t>
  </si>
  <si>
    <t>320107-00002</t>
  </si>
  <si>
    <t>320107-00004</t>
  </si>
  <si>
    <t>320107-00005</t>
  </si>
  <si>
    <t>320107-00006</t>
  </si>
  <si>
    <t>320107-00007</t>
  </si>
  <si>
    <t>320107-10005</t>
  </si>
  <si>
    <t>330106-00000</t>
  </si>
  <si>
    <t>330107-00000</t>
  </si>
  <si>
    <t>330107-00001</t>
  </si>
  <si>
    <t>330107-00002</t>
  </si>
  <si>
    <t>330107-00003</t>
  </si>
  <si>
    <t>330107-00004</t>
  </si>
  <si>
    <t>330107-00005</t>
  </si>
  <si>
    <t>330107-10002</t>
  </si>
  <si>
    <t>330107-10003</t>
  </si>
  <si>
    <t>330112-00000</t>
  </si>
  <si>
    <t>340112-00002</t>
  </si>
  <si>
    <t>340112-00004</t>
  </si>
  <si>
    <t>340114-00026</t>
  </si>
  <si>
    <t>340114-00027</t>
  </si>
  <si>
    <t>340114-00028</t>
  </si>
  <si>
    <t>340114-00029</t>
  </si>
  <si>
    <t>340114-00030</t>
  </si>
  <si>
    <t>340114-00031</t>
  </si>
  <si>
    <t>350106-00000</t>
  </si>
  <si>
    <t>350106-00001</t>
  </si>
  <si>
    <t>350106-00002</t>
  </si>
  <si>
    <t>350106-00003</t>
  </si>
  <si>
    <t>350106-00005</t>
  </si>
  <si>
    <t>350106-00006</t>
  </si>
  <si>
    <t>350106-00007</t>
  </si>
  <si>
    <t>350106-00008</t>
  </si>
  <si>
    <t>350106-10002</t>
  </si>
  <si>
    <t>350106-10003</t>
  </si>
  <si>
    <t>350107-10003</t>
  </si>
  <si>
    <t>360108-00000</t>
  </si>
  <si>
    <t>360108-00001</t>
  </si>
  <si>
    <t>360108-00002</t>
  </si>
  <si>
    <t>360108-00003</t>
  </si>
  <si>
    <t>360116-00000</t>
  </si>
  <si>
    <t>360116-00001</t>
  </si>
  <si>
    <t>360116-00002</t>
  </si>
  <si>
    <t>360116-00003</t>
  </si>
  <si>
    <t>360116-00004</t>
  </si>
  <si>
    <t>360116-00005</t>
  </si>
  <si>
    <t>360116-00007</t>
  </si>
  <si>
    <t>360116-00008</t>
  </si>
  <si>
    <t>360116-00009</t>
  </si>
  <si>
    <t>360116-00010</t>
  </si>
  <si>
    <t>360116-00011</t>
  </si>
  <si>
    <t>360116-00012</t>
  </si>
  <si>
    <t>360116-00013</t>
  </si>
  <si>
    <t>360116-00014</t>
  </si>
  <si>
    <t>360116-00015</t>
  </si>
  <si>
    <t>360116-10001</t>
  </si>
  <si>
    <t>370110-00000</t>
  </si>
  <si>
    <t>370110-00001</t>
  </si>
  <si>
    <t>370110-00003</t>
  </si>
  <si>
    <t>370110-10001</t>
  </si>
  <si>
    <t>370110-10002</t>
  </si>
  <si>
    <t>370110-10003</t>
  </si>
  <si>
    <t>370110-10004</t>
  </si>
  <si>
    <t>370110-10014</t>
  </si>
  <si>
    <t>370110-10022</t>
  </si>
  <si>
    <t>370115-00002</t>
  </si>
  <si>
    <t>370115-00003</t>
  </si>
  <si>
    <t>370115-00005</t>
  </si>
  <si>
    <t>370115-00006</t>
  </si>
  <si>
    <t>370115-00007</t>
  </si>
  <si>
    <t>370115-00008</t>
  </si>
  <si>
    <t>370115-00009</t>
  </si>
  <si>
    <t>370115-00010</t>
  </si>
  <si>
    <t>370115-00011</t>
  </si>
  <si>
    <t>370115-00012</t>
  </si>
  <si>
    <t>370115-00013</t>
  </si>
  <si>
    <t>370115-00014</t>
  </si>
  <si>
    <t>370115-00016</t>
  </si>
  <si>
    <t>370115-00017</t>
  </si>
  <si>
    <t>370115-00018</t>
  </si>
  <si>
    <t>370115-00019</t>
  </si>
  <si>
    <t>370115-00020</t>
  </si>
  <si>
    <t>370115-00021</t>
  </si>
  <si>
    <t>370115-00022</t>
  </si>
  <si>
    <t>370115-10012</t>
  </si>
  <si>
    <t>370115-10013</t>
  </si>
  <si>
    <t>370115-10014</t>
  </si>
  <si>
    <t>370115-10015</t>
  </si>
  <si>
    <t>370115-10016</t>
  </si>
  <si>
    <t>380106-00000</t>
  </si>
  <si>
    <t>380107-00000</t>
  </si>
  <si>
    <t>380107-00002</t>
  </si>
  <si>
    <t>380107-00003</t>
  </si>
  <si>
    <t>380107-00004</t>
  </si>
  <si>
    <t>380107-00005</t>
  </si>
  <si>
    <t>380107-00006</t>
  </si>
  <si>
    <t>380107-00007</t>
  </si>
  <si>
    <t>380107-00008</t>
  </si>
  <si>
    <t>380107-00009</t>
  </si>
  <si>
    <t>380107-10001</t>
  </si>
  <si>
    <t>380107-10002</t>
  </si>
  <si>
    <t>380112-00004</t>
  </si>
  <si>
    <t>420210-00000</t>
  </si>
  <si>
    <t>教育委員会事務局</t>
  </si>
  <si>
    <t>420210-00001</t>
  </si>
  <si>
    <t>420210-00003</t>
  </si>
  <si>
    <t>420210-00004</t>
  </si>
  <si>
    <t>420210-00006</t>
  </si>
  <si>
    <t>420210-00009</t>
  </si>
  <si>
    <t>420210-00010</t>
  </si>
  <si>
    <t>420210-00012</t>
  </si>
  <si>
    <t>420210-00013</t>
  </si>
  <si>
    <t>420210-00015</t>
  </si>
  <si>
    <t>420210-00016</t>
  </si>
  <si>
    <t>420210-00018</t>
  </si>
  <si>
    <t>420210-00020</t>
  </si>
  <si>
    <t>420210-00024</t>
  </si>
  <si>
    <t>420210-00028</t>
  </si>
  <si>
    <t>420210-00031</t>
  </si>
  <si>
    <t>420210-00032</t>
  </si>
  <si>
    <t>420210-00033</t>
  </si>
  <si>
    <t>420210-00034</t>
  </si>
  <si>
    <t>420210-00035</t>
  </si>
  <si>
    <t>420210-00036</t>
  </si>
  <si>
    <t>420210-00037</t>
  </si>
  <si>
    <t>420210-00038</t>
  </si>
  <si>
    <t>420210-00039</t>
  </si>
  <si>
    <t>420210-00040</t>
  </si>
  <si>
    <t>420210-00041</t>
  </si>
  <si>
    <t>420210-00042</t>
  </si>
  <si>
    <t>420210-00043</t>
  </si>
  <si>
    <t>420210-00044</t>
  </si>
  <si>
    <t>420210-00045</t>
  </si>
  <si>
    <t>420210-00046</t>
  </si>
  <si>
    <t>420210-00047</t>
  </si>
  <si>
    <t>420210-00048</t>
  </si>
  <si>
    <t>420210-00049</t>
  </si>
  <si>
    <t>420210-00050</t>
  </si>
  <si>
    <t>420210-00051</t>
  </si>
  <si>
    <t>420210-00052</t>
  </si>
  <si>
    <t>420210-00053</t>
  </si>
  <si>
    <t>420210-00054</t>
  </si>
  <si>
    <t>420210-00055</t>
  </si>
  <si>
    <t>420210-00056</t>
  </si>
  <si>
    <t>420210-00057</t>
  </si>
  <si>
    <t>420210-00058</t>
  </si>
  <si>
    <t>420210-00059</t>
  </si>
  <si>
    <t>420210-00060</t>
  </si>
  <si>
    <t>420210-00061</t>
  </si>
  <si>
    <t>420210-00062</t>
  </si>
  <si>
    <t>420210-00063</t>
  </si>
  <si>
    <t>420210-00064</t>
  </si>
  <si>
    <t>420210-00065</t>
  </si>
  <si>
    <t>420210-00066</t>
  </si>
  <si>
    <t>420210-00067</t>
  </si>
  <si>
    <t>420210-00068</t>
  </si>
  <si>
    <t>420210-00069</t>
  </si>
  <si>
    <t>420210-00070</t>
  </si>
  <si>
    <t>420210-00071</t>
  </si>
  <si>
    <t>420210-00072</t>
  </si>
  <si>
    <t>420210-00073</t>
  </si>
  <si>
    <t>420210-00074</t>
  </si>
  <si>
    <t>420210-00075</t>
  </si>
  <si>
    <t>420210-00076</t>
  </si>
  <si>
    <t>420210-00077</t>
  </si>
  <si>
    <t>420210-00078</t>
  </si>
  <si>
    <t>420210-00079</t>
  </si>
  <si>
    <t>420210-00080</t>
  </si>
  <si>
    <t>420210-00081</t>
  </si>
  <si>
    <t>420210-00082</t>
  </si>
  <si>
    <t>420210-00083</t>
  </si>
  <si>
    <t>420210-00084</t>
  </si>
  <si>
    <t>420210-00085</t>
  </si>
  <si>
    <t>420210-00086</t>
  </si>
  <si>
    <t>420210-00089</t>
  </si>
  <si>
    <t>420210-00090</t>
  </si>
  <si>
    <t>420210-00091</t>
  </si>
  <si>
    <t>420210-00092</t>
  </si>
  <si>
    <t>420210-00093</t>
  </si>
  <si>
    <t>420210-00094</t>
  </si>
  <si>
    <t>420210-00095</t>
  </si>
  <si>
    <t>420210-00096</t>
  </si>
  <si>
    <t>420210-00097</t>
  </si>
  <si>
    <t>420210-00098</t>
  </si>
  <si>
    <t>420210-00099</t>
  </si>
  <si>
    <t>420210-00100</t>
  </si>
  <si>
    <t>420210-00101</t>
  </si>
  <si>
    <t>420210-00102</t>
  </si>
  <si>
    <t>420210-00103</t>
  </si>
  <si>
    <t>420210-00104</t>
  </si>
  <si>
    <t>420210-00105</t>
  </si>
  <si>
    <t>420210-00106</t>
  </si>
  <si>
    <t>420210-00107</t>
  </si>
  <si>
    <t>420210-00109</t>
  </si>
  <si>
    <t>420210-00110</t>
  </si>
  <si>
    <t>420210-00112</t>
  </si>
  <si>
    <t>420210-00113</t>
  </si>
  <si>
    <t>420210-00114</t>
  </si>
  <si>
    <t>420210-00115</t>
  </si>
  <si>
    <t>420210-00116</t>
  </si>
  <si>
    <t>420210-00117</t>
  </si>
  <si>
    <t>420210-00118</t>
  </si>
  <si>
    <t>420210-00119</t>
  </si>
  <si>
    <t>420210-00120</t>
  </si>
  <si>
    <t>420210-00121</t>
  </si>
  <si>
    <t>420210-00122</t>
  </si>
  <si>
    <t>420210-00123</t>
  </si>
  <si>
    <t>420210-00124</t>
  </si>
  <si>
    <t>420210-00125</t>
  </si>
  <si>
    <t>420210-00127</t>
  </si>
  <si>
    <t>420210-00128</t>
  </si>
  <si>
    <t>420210-00129</t>
  </si>
  <si>
    <t>420210-00130</t>
  </si>
  <si>
    <t>420210-00131</t>
  </si>
  <si>
    <t>420210-00132</t>
  </si>
  <si>
    <t>420210-00133</t>
  </si>
  <si>
    <t>420210-00134</t>
  </si>
  <si>
    <t>420210-00135</t>
  </si>
  <si>
    <t>420210-00136</t>
  </si>
  <si>
    <t>420210-00137</t>
  </si>
  <si>
    <t>420210-00138</t>
  </si>
  <si>
    <t>420210-00139</t>
  </si>
  <si>
    <t>420210-00140</t>
  </si>
  <si>
    <t>420210-00141</t>
  </si>
  <si>
    <t>420210-00142</t>
  </si>
  <si>
    <t>420210-00143</t>
  </si>
  <si>
    <t>420210-00145</t>
  </si>
  <si>
    <t>420210-00146</t>
  </si>
  <si>
    <t>420210-00147</t>
  </si>
  <si>
    <t>420210-00148</t>
  </si>
  <si>
    <t>420210-00149</t>
  </si>
  <si>
    <t>420210-00150</t>
  </si>
  <si>
    <t>420210-00151</t>
  </si>
  <si>
    <t>420210-00152</t>
  </si>
  <si>
    <t>420210-00153</t>
  </si>
  <si>
    <t>420210-00154</t>
  </si>
  <si>
    <t>420210-00155</t>
  </si>
  <si>
    <t>420210-00156</t>
  </si>
  <si>
    <t>420210-00158</t>
  </si>
  <si>
    <t>420210-00159</t>
  </si>
  <si>
    <t>420210-00160</t>
  </si>
  <si>
    <t>420210-00161</t>
  </si>
  <si>
    <t>420210-00162</t>
  </si>
  <si>
    <t>420210-00163</t>
  </si>
  <si>
    <t>420210-00164</t>
  </si>
  <si>
    <t>420210-00165</t>
  </si>
  <si>
    <t>420210-00166</t>
  </si>
  <si>
    <t>420210-00167</t>
  </si>
  <si>
    <t>420210-00168</t>
  </si>
  <si>
    <t>420210-00169</t>
  </si>
  <si>
    <t>420210-00170</t>
  </si>
  <si>
    <t>420210-00172</t>
  </si>
  <si>
    <t>420210-00173</t>
  </si>
  <si>
    <t>420210-00174</t>
  </si>
  <si>
    <t>420210-00175</t>
  </si>
  <si>
    <t>420210-00179</t>
  </si>
  <si>
    <t>420210-00180</t>
  </si>
  <si>
    <t>420210-00181</t>
  </si>
  <si>
    <t>420210-00183</t>
  </si>
  <si>
    <t>420210-00184</t>
  </si>
  <si>
    <t>420210-00185</t>
  </si>
  <si>
    <t>420210-00186</t>
  </si>
  <si>
    <t>420210-00189</t>
  </si>
  <si>
    <t>420210-00190</t>
  </si>
  <si>
    <t>420210-00191</t>
  </si>
  <si>
    <t>420210-00192</t>
  </si>
  <si>
    <t>420210-00193</t>
  </si>
  <si>
    <t>420210-00194</t>
  </si>
  <si>
    <t>420210-00195</t>
  </si>
  <si>
    <t>420210-00196</t>
  </si>
  <si>
    <t>420210-00197</t>
  </si>
  <si>
    <t>420210-00198</t>
  </si>
  <si>
    <t>420210-00199</t>
  </si>
  <si>
    <t>420210-00200</t>
  </si>
  <si>
    <t>420210-00201</t>
  </si>
  <si>
    <t>420210-00202</t>
  </si>
  <si>
    <t>420210-00203</t>
  </si>
  <si>
    <t>420210-00204</t>
  </si>
  <si>
    <t>420210-00205</t>
  </si>
  <si>
    <t>420210-00206</t>
  </si>
  <si>
    <t>420210-00207</t>
  </si>
  <si>
    <t>420210-00208</t>
  </si>
  <si>
    <t>420210-00209</t>
  </si>
  <si>
    <t>420210-00210</t>
  </si>
  <si>
    <t>420210-00211</t>
  </si>
  <si>
    <t>420210-00212</t>
  </si>
  <si>
    <t>420210-00213</t>
  </si>
  <si>
    <t>420210-00214</t>
  </si>
  <si>
    <t>420210-00215</t>
  </si>
  <si>
    <t>420210-00216</t>
  </si>
  <si>
    <t>420210-00217</t>
  </si>
  <si>
    <t>420210-00218</t>
  </si>
  <si>
    <t>420210-00219</t>
  </si>
  <si>
    <t>420210-00220</t>
  </si>
  <si>
    <t>420210-00221</t>
  </si>
  <si>
    <t>420210-00222</t>
  </si>
  <si>
    <t>420210-00223</t>
  </si>
  <si>
    <t>420210-00224</t>
  </si>
  <si>
    <t>420210-00225</t>
  </si>
  <si>
    <t>420210-00226</t>
  </si>
  <si>
    <t>420210-00227</t>
  </si>
  <si>
    <t>420210-00228</t>
  </si>
  <si>
    <t>420210-00229</t>
  </si>
  <si>
    <t>420210-00230</t>
  </si>
  <si>
    <t>420210-00231</t>
  </si>
  <si>
    <t>420210-00232</t>
  </si>
  <si>
    <t>420210-00233</t>
  </si>
  <si>
    <t>420210-00234</t>
  </si>
  <si>
    <t>420210-00235</t>
  </si>
  <si>
    <t>420210-00236</t>
  </si>
  <si>
    <t>420210-00237</t>
  </si>
  <si>
    <t>420210-00238</t>
  </si>
  <si>
    <t>420210-00239</t>
  </si>
  <si>
    <t>420210-00240</t>
  </si>
  <si>
    <t>420210-00241</t>
  </si>
  <si>
    <t>420210-00242</t>
  </si>
  <si>
    <t>420210-00243</t>
  </si>
  <si>
    <t>420210-00244</t>
  </si>
  <si>
    <t>420210-00245</t>
  </si>
  <si>
    <t>420210-00246</t>
  </si>
  <si>
    <t>420210-00247</t>
  </si>
  <si>
    <t>420210-00250</t>
  </si>
  <si>
    <t>420210-00251</t>
  </si>
  <si>
    <t>420210-00252</t>
  </si>
  <si>
    <t>420210-00253</t>
  </si>
  <si>
    <t>420210-00255</t>
  </si>
  <si>
    <t>420210-00257</t>
  </si>
  <si>
    <t>420210-00258</t>
  </si>
  <si>
    <t>420210-00259</t>
  </si>
  <si>
    <t>420210-00260</t>
  </si>
  <si>
    <t>420210-00261</t>
  </si>
  <si>
    <t>420210-00263</t>
  </si>
  <si>
    <t>420210-00264</t>
  </si>
  <si>
    <t>420210-00265</t>
  </si>
  <si>
    <t>420210-00266</t>
  </si>
  <si>
    <t>420210-00267</t>
  </si>
  <si>
    <t>420210-00270</t>
  </si>
  <si>
    <t>420210-00273</t>
  </si>
  <si>
    <t>420210-00274</t>
  </si>
  <si>
    <t>420210-00275</t>
  </si>
  <si>
    <t>420210-00276</t>
  </si>
  <si>
    <t>420210-00277</t>
  </si>
  <si>
    <t>420210-00278</t>
  </si>
  <si>
    <t>420210-00279</t>
  </si>
  <si>
    <t>420210-00280</t>
  </si>
  <si>
    <t>420210-00281</t>
  </si>
  <si>
    <t>420210-00282</t>
  </si>
  <si>
    <t>420210-00283</t>
  </si>
  <si>
    <t>420210-00284</t>
  </si>
  <si>
    <t>420210-00285</t>
  </si>
  <si>
    <t>420210-00286</t>
  </si>
  <si>
    <t>420210-00289</t>
  </si>
  <si>
    <t>420210-00290</t>
  </si>
  <si>
    <t>420210-00291</t>
  </si>
  <si>
    <t>420210-00292</t>
  </si>
  <si>
    <t>420210-00293</t>
  </si>
  <si>
    <t>420210-00294</t>
  </si>
  <si>
    <t>420210-00295</t>
  </si>
  <si>
    <t>420210-00296</t>
  </si>
  <si>
    <t>420210-00297</t>
  </si>
  <si>
    <t>420210-00298</t>
  </si>
  <si>
    <t>420210-00299</t>
  </si>
  <si>
    <t>420210-00300</t>
  </si>
  <si>
    <t>420210-00301</t>
  </si>
  <si>
    <t>420210-00302</t>
  </si>
  <si>
    <t>420210-00303</t>
  </si>
  <si>
    <t>420210-00304</t>
  </si>
  <si>
    <t>420210-00305</t>
  </si>
  <si>
    <t>420210-00306</t>
  </si>
  <si>
    <t>420210-00307</t>
  </si>
  <si>
    <t>420210-00308</t>
  </si>
  <si>
    <t>420210-00309</t>
  </si>
  <si>
    <t>420210-00310</t>
  </si>
  <si>
    <t>420210-00311</t>
  </si>
  <si>
    <t>420210-00312</t>
  </si>
  <si>
    <t>420210-00313</t>
  </si>
  <si>
    <t>420210-00315</t>
  </si>
  <si>
    <t>420210-00316</t>
  </si>
  <si>
    <t>420210-00317</t>
  </si>
  <si>
    <t>420210-00318</t>
  </si>
  <si>
    <t>420210-00319</t>
  </si>
  <si>
    <t>420210-00320</t>
  </si>
  <si>
    <t>420210-00321</t>
  </si>
  <si>
    <t>420210-00322</t>
  </si>
  <si>
    <t>420210-00323</t>
  </si>
  <si>
    <t>420210-00324</t>
  </si>
  <si>
    <t>420210-00325</t>
  </si>
  <si>
    <t>420210-00327</t>
  </si>
  <si>
    <t>420210-00328</t>
  </si>
  <si>
    <t>420210-00329</t>
  </si>
  <si>
    <t>420210-00330</t>
  </si>
  <si>
    <t>420210-00331</t>
  </si>
  <si>
    <t>420210-00332</t>
  </si>
  <si>
    <t>420210-00333</t>
  </si>
  <si>
    <t>420210-00334</t>
  </si>
  <si>
    <t>420210-00335</t>
  </si>
  <si>
    <t>420210-00336</t>
  </si>
  <si>
    <t>420210-00337</t>
  </si>
  <si>
    <t>420210-00338</t>
  </si>
  <si>
    <t>420210-00339</t>
  </si>
  <si>
    <t>420210-00340</t>
  </si>
  <si>
    <t>420210-00341</t>
  </si>
  <si>
    <t>420210-00342</t>
  </si>
  <si>
    <t>420210-00343</t>
  </si>
  <si>
    <t>420210-00344</t>
  </si>
  <si>
    <t>420210-00345</t>
  </si>
  <si>
    <t>420210-00346</t>
  </si>
  <si>
    <t>420210-00347</t>
  </si>
  <si>
    <t>420210-00348</t>
  </si>
  <si>
    <t>420210-00349</t>
  </si>
  <si>
    <t>420210-00351</t>
  </si>
  <si>
    <t>420210-00352</t>
  </si>
  <si>
    <t>420210-00353</t>
  </si>
  <si>
    <t>420210-00355</t>
  </si>
  <si>
    <t>420210-00356</t>
  </si>
  <si>
    <t>420210-00357</t>
  </si>
  <si>
    <t>420210-00358</t>
  </si>
  <si>
    <t>420210-00359</t>
  </si>
  <si>
    <t>420210-00360</t>
  </si>
  <si>
    <t>420210-00361</t>
  </si>
  <si>
    <t>420210-00362</t>
  </si>
  <si>
    <t>420210-00363</t>
  </si>
  <si>
    <t>420210-00364</t>
  </si>
  <si>
    <t>420210-00365</t>
  </si>
  <si>
    <t>420210-00366</t>
  </si>
  <si>
    <t>420210-00367</t>
  </si>
  <si>
    <t>420210-00368</t>
  </si>
  <si>
    <t>420210-00369</t>
  </si>
  <si>
    <t>420210-00370</t>
  </si>
  <si>
    <t>420210-00371</t>
  </si>
  <si>
    <t>420210-00372</t>
  </si>
  <si>
    <t>420210-00374</t>
  </si>
  <si>
    <t>420210-00375</t>
  </si>
  <si>
    <t>420210-00376</t>
  </si>
  <si>
    <t>420210-00377</t>
  </si>
  <si>
    <t>420210-00378</t>
  </si>
  <si>
    <t>420210-00379</t>
  </si>
  <si>
    <t>420210-00380</t>
  </si>
  <si>
    <t>420210-00381</t>
  </si>
  <si>
    <t>420210-00382</t>
  </si>
  <si>
    <t>420210-00383</t>
  </si>
  <si>
    <t>420210-00384</t>
  </si>
  <si>
    <t>420210-00385</t>
  </si>
  <si>
    <t>420210-00386</t>
  </si>
  <si>
    <t>420210-00387</t>
  </si>
  <si>
    <t>420210-00388</t>
  </si>
  <si>
    <t>420210-00389</t>
  </si>
  <si>
    <t>420210-00391</t>
  </si>
  <si>
    <t>420210-00392</t>
  </si>
  <si>
    <t>420210-00393</t>
  </si>
  <si>
    <t>420210-00395</t>
  </si>
  <si>
    <t>420210-00396</t>
  </si>
  <si>
    <t>420210-00397</t>
  </si>
  <si>
    <t>420210-00398</t>
  </si>
  <si>
    <t>420210-00399</t>
  </si>
  <si>
    <t>420210-00401</t>
  </si>
  <si>
    <t>420210-00402</t>
  </si>
  <si>
    <t>420210-00404</t>
  </si>
  <si>
    <t>420210-00405</t>
  </si>
  <si>
    <t>420210-00406</t>
  </si>
  <si>
    <t>420210-00407</t>
  </si>
  <si>
    <t>420210-00408</t>
  </si>
  <si>
    <t>420210-00409</t>
  </si>
  <si>
    <t>420210-00410</t>
  </si>
  <si>
    <t>420210-00411</t>
  </si>
  <si>
    <t>420210-00412</t>
  </si>
  <si>
    <t>420210-00413</t>
  </si>
  <si>
    <t>420210-00414</t>
  </si>
  <si>
    <t>420210-00415</t>
  </si>
  <si>
    <t>420210-00416</t>
  </si>
  <si>
    <t>420210-00417</t>
  </si>
  <si>
    <t>420210-00418</t>
  </si>
  <si>
    <t>420210-00419</t>
  </si>
  <si>
    <t>420210-00420</t>
  </si>
  <si>
    <t>420210-00422</t>
  </si>
  <si>
    <t>420210-00423</t>
  </si>
  <si>
    <t>420210-00424</t>
  </si>
  <si>
    <t>420210-00425</t>
  </si>
  <si>
    <t>420210-00426</t>
  </si>
  <si>
    <t>420210-00427</t>
  </si>
  <si>
    <t>420210-00429</t>
  </si>
  <si>
    <t>420210-00430</t>
  </si>
  <si>
    <t>420210-00431</t>
  </si>
  <si>
    <t>420210-00432</t>
  </si>
  <si>
    <t>420210-00434</t>
  </si>
  <si>
    <t>420210-00435</t>
  </si>
  <si>
    <t>420210-00436</t>
  </si>
  <si>
    <t>420210-00438</t>
  </si>
  <si>
    <t>420210-00439</t>
  </si>
  <si>
    <t>420210-00440</t>
  </si>
  <si>
    <t>420210-00441</t>
  </si>
  <si>
    <t>420210-00442</t>
  </si>
  <si>
    <t>420210-00443</t>
  </si>
  <si>
    <t>420210-00444</t>
  </si>
  <si>
    <t>420210-00445</t>
  </si>
  <si>
    <t>420210-00446</t>
  </si>
  <si>
    <t>420210-00447</t>
  </si>
  <si>
    <t>420210-00448</t>
  </si>
  <si>
    <t>420210-00449</t>
  </si>
  <si>
    <t>420210-00451</t>
  </si>
  <si>
    <t>420210-00452</t>
  </si>
  <si>
    <t>420210-00453</t>
  </si>
  <si>
    <t>420210-00454</t>
  </si>
  <si>
    <t>420210-00455</t>
  </si>
  <si>
    <t>420210-00456</t>
  </si>
  <si>
    <t>420210-00457</t>
  </si>
  <si>
    <t>420210-00458</t>
  </si>
  <si>
    <t>420210-00459</t>
  </si>
  <si>
    <t>420210-00460</t>
  </si>
  <si>
    <t>420210-00461</t>
  </si>
  <si>
    <t>420210-00462</t>
  </si>
  <si>
    <t>420210-00463</t>
  </si>
  <si>
    <t>420210-00464</t>
  </si>
  <si>
    <t>420210-00465</t>
  </si>
  <si>
    <t>420210-00466</t>
  </si>
  <si>
    <t>420210-00467</t>
  </si>
  <si>
    <t>420210-00468</t>
  </si>
  <si>
    <t>420210-00469</t>
  </si>
  <si>
    <t>420210-00470</t>
  </si>
  <si>
    <t>420210-00472</t>
  </si>
  <si>
    <t>420210-00473</t>
  </si>
  <si>
    <t>420210-00474</t>
  </si>
  <si>
    <t>420210-00475</t>
  </si>
  <si>
    <t>420210-00476</t>
  </si>
  <si>
    <t>420210-00477</t>
  </si>
  <si>
    <t>420210-00478</t>
  </si>
  <si>
    <t>420210-00479</t>
  </si>
  <si>
    <t>420210-00480</t>
  </si>
  <si>
    <t>420210-00481</t>
  </si>
  <si>
    <t>420210-00482</t>
  </si>
  <si>
    <t>420210-00483</t>
  </si>
  <si>
    <t>420210-00484</t>
  </si>
  <si>
    <t>420210-00485</t>
  </si>
  <si>
    <t>420210-00486</t>
  </si>
  <si>
    <t>420210-00487</t>
  </si>
  <si>
    <t>420210-00488</t>
  </si>
  <si>
    <t>420210-00489</t>
  </si>
  <si>
    <t>420210-00490</t>
  </si>
  <si>
    <t>420210-00491</t>
  </si>
  <si>
    <t>420210-00492</t>
  </si>
  <si>
    <t>420210-00495</t>
  </si>
  <si>
    <t>420210-00496</t>
  </si>
  <si>
    <t>420210-00497</t>
  </si>
  <si>
    <t>420210-00498</t>
  </si>
  <si>
    <t>420210-00499</t>
  </si>
  <si>
    <t>420210-00500</t>
  </si>
  <si>
    <t>420210-00501</t>
  </si>
  <si>
    <t>420210-00502</t>
  </si>
  <si>
    <t>420210-00503</t>
  </si>
  <si>
    <t>420210-00504</t>
  </si>
  <si>
    <t>420210-00505</t>
  </si>
  <si>
    <t>420210-00506</t>
  </si>
  <si>
    <t>420210-00508</t>
  </si>
  <si>
    <t>420210-00509</t>
  </si>
  <si>
    <t>420210-00510</t>
  </si>
  <si>
    <t>420210-00511</t>
  </si>
  <si>
    <t>420210-00512</t>
  </si>
  <si>
    <t>420210-00513</t>
  </si>
  <si>
    <t>420210-00516</t>
  </si>
  <si>
    <t>420210-00517</t>
  </si>
  <si>
    <t>420210-00518</t>
  </si>
  <si>
    <t>420210-00519</t>
  </si>
  <si>
    <t>420210-00521</t>
  </si>
  <si>
    <t>420210-00522</t>
  </si>
  <si>
    <t>420210-10004</t>
  </si>
  <si>
    <t>420210-10016</t>
  </si>
  <si>
    <t>420210-10020</t>
  </si>
  <si>
    <t>420210-10021</t>
  </si>
  <si>
    <t>420210-10024</t>
  </si>
  <si>
    <t>420210-10025</t>
  </si>
  <si>
    <t>420213-00000</t>
  </si>
  <si>
    <t>420213-00001</t>
  </si>
  <si>
    <t>420213-00002</t>
  </si>
  <si>
    <t>420213-00004</t>
  </si>
  <si>
    <t>420308-00000</t>
  </si>
  <si>
    <t>420308-00001</t>
  </si>
  <si>
    <t>420308-00002</t>
  </si>
  <si>
    <t>420308-00003</t>
  </si>
  <si>
    <t>420308-00004</t>
  </si>
  <si>
    <t>420308-00005</t>
  </si>
  <si>
    <t>420308-00006</t>
  </si>
  <si>
    <t>420308-00007</t>
  </si>
  <si>
    <t>420308-00009</t>
  </si>
  <si>
    <t>420410-00000</t>
  </si>
  <si>
    <t>420410-00001</t>
  </si>
  <si>
    <t>420410-00003</t>
  </si>
  <si>
    <t>420410-00004</t>
  </si>
  <si>
    <t>420410-00010</t>
  </si>
  <si>
    <t>420410-00011</t>
  </si>
  <si>
    <t>420410-00012</t>
  </si>
  <si>
    <t>420410-00015</t>
  </si>
  <si>
    <t>420410-00016</t>
  </si>
  <si>
    <t>420410-00017</t>
  </si>
  <si>
    <t>420410-00018</t>
  </si>
  <si>
    <t>420410-00022</t>
  </si>
  <si>
    <t>420410-00023</t>
  </si>
  <si>
    <t>420410-00024</t>
  </si>
  <si>
    <t>420410-00025</t>
  </si>
  <si>
    <t>420506-00012</t>
  </si>
  <si>
    <t>420506-10003</t>
  </si>
  <si>
    <t>420511-00001</t>
  </si>
  <si>
    <t>420605-00000</t>
  </si>
  <si>
    <t>420605-00001</t>
  </si>
  <si>
    <t>420605-00004</t>
  </si>
  <si>
    <t>420605-00005</t>
  </si>
  <si>
    <t>420605-00007</t>
  </si>
  <si>
    <t>420605-00009</t>
  </si>
  <si>
    <t>420605-00011</t>
  </si>
  <si>
    <t>420605-00013</t>
  </si>
  <si>
    <t>420605-00014</t>
  </si>
  <si>
    <t>420605-00015</t>
  </si>
  <si>
    <t>420605-00016</t>
  </si>
  <si>
    <t>420605-00017</t>
  </si>
  <si>
    <t>420605-00018</t>
  </si>
  <si>
    <t>420605-00019</t>
  </si>
  <si>
    <t>420605-00020</t>
  </si>
  <si>
    <t>420605-00022</t>
  </si>
  <si>
    <t>420605-00023</t>
  </si>
  <si>
    <t>420605-00025</t>
  </si>
  <si>
    <t>420605-00026</t>
  </si>
  <si>
    <t>420605-00027</t>
  </si>
  <si>
    <t>420605-00030</t>
  </si>
  <si>
    <t>420605-00031</t>
  </si>
  <si>
    <t>420605-00032</t>
  </si>
  <si>
    <t>420605-00033</t>
  </si>
  <si>
    <t>420605-10001</t>
  </si>
  <si>
    <t>420605-10002</t>
  </si>
  <si>
    <t>420605-10003</t>
  </si>
  <si>
    <t>420605-10004</t>
  </si>
  <si>
    <t>420904-10001</t>
  </si>
  <si>
    <t>420904-10003</t>
  </si>
  <si>
    <t>421001-10003</t>
  </si>
  <si>
    <t>460108-00001</t>
  </si>
  <si>
    <t>消防局</t>
  </si>
  <si>
    <t>460108-00002</t>
  </si>
  <si>
    <t>460108-00003</t>
  </si>
  <si>
    <t>460108-00004</t>
  </si>
  <si>
    <t>460108-00007</t>
  </si>
  <si>
    <t>460108-00008</t>
  </si>
  <si>
    <t>460108-00009</t>
  </si>
  <si>
    <t>460108-00010</t>
  </si>
  <si>
    <t>460108-00011</t>
  </si>
  <si>
    <t>460108-00012</t>
  </si>
  <si>
    <t>460108-00014</t>
  </si>
  <si>
    <t>460108-00015</t>
  </si>
  <si>
    <t>460108-00016</t>
  </si>
  <si>
    <t>460108-00017</t>
  </si>
  <si>
    <t>460108-00018</t>
  </si>
  <si>
    <t>460108-00019</t>
  </si>
  <si>
    <t>460108-00020</t>
  </si>
  <si>
    <t>460108-00021</t>
  </si>
  <si>
    <t>460108-00022</t>
  </si>
  <si>
    <t>460108-00023</t>
  </si>
  <si>
    <t>460108-00024</t>
  </si>
  <si>
    <t>460108-00025</t>
  </si>
  <si>
    <t>460108-00027</t>
  </si>
  <si>
    <t>460108-00028</t>
  </si>
  <si>
    <t>460108-00030</t>
  </si>
  <si>
    <t>460108-00031</t>
  </si>
  <si>
    <t>460108-00032</t>
  </si>
  <si>
    <t>460108-00033</t>
  </si>
  <si>
    <t>460108-00034</t>
  </si>
  <si>
    <t>460108-00036</t>
  </si>
  <si>
    <t>460108-00037</t>
  </si>
  <si>
    <t>460108-00039</t>
  </si>
  <si>
    <t>460108-00040</t>
  </si>
  <si>
    <t>460108-00041</t>
  </si>
  <si>
    <t>460108-00042</t>
  </si>
  <si>
    <t>460108-00043</t>
  </si>
  <si>
    <t>460108-00044</t>
  </si>
  <si>
    <t>460108-00045</t>
  </si>
  <si>
    <t>460108-00046</t>
  </si>
  <si>
    <t>460108-00047</t>
  </si>
  <si>
    <t>460108-00048</t>
  </si>
  <si>
    <t>460108-00049</t>
  </si>
  <si>
    <t>460108-00050</t>
  </si>
  <si>
    <t>460108-00051</t>
  </si>
  <si>
    <t>460108-00052</t>
  </si>
  <si>
    <t>460108-00053</t>
  </si>
  <si>
    <t>460108-00054</t>
  </si>
  <si>
    <t>460108-00055</t>
  </si>
  <si>
    <t>460108-00056</t>
  </si>
  <si>
    <t>460108-00057</t>
  </si>
  <si>
    <t>460108-00058</t>
  </si>
  <si>
    <t>460108-00059</t>
  </si>
  <si>
    <t>460108-00060</t>
  </si>
  <si>
    <t>460108-00061</t>
  </si>
  <si>
    <t>460108-00062</t>
  </si>
  <si>
    <t>460108-00063</t>
  </si>
  <si>
    <t>460108-00064</t>
  </si>
  <si>
    <t>460108-00065</t>
  </si>
  <si>
    <t>460108-00066</t>
  </si>
  <si>
    <t>460108-00067</t>
  </si>
  <si>
    <t>460108-00068</t>
  </si>
  <si>
    <t>460108-00069</t>
  </si>
  <si>
    <t>460108-00070</t>
  </si>
  <si>
    <t>460108-00071</t>
  </si>
  <si>
    <t>460108-00072</t>
  </si>
  <si>
    <t>460108-00073</t>
  </si>
  <si>
    <t>460108-00074</t>
  </si>
  <si>
    <t>460108-00075</t>
  </si>
  <si>
    <t>460108-00076</t>
  </si>
  <si>
    <t>460108-00077</t>
  </si>
  <si>
    <t>460108-00078</t>
  </si>
  <si>
    <t>460108-00079</t>
  </si>
  <si>
    <t>460108-00080</t>
  </si>
  <si>
    <t>460108-00081</t>
  </si>
  <si>
    <t>460108-00082</t>
  </si>
  <si>
    <t>460108-00083</t>
  </si>
  <si>
    <t>460108-00084</t>
  </si>
  <si>
    <t>460108-00085</t>
  </si>
  <si>
    <t>460108-00086</t>
  </si>
  <si>
    <t>460108-00087</t>
  </si>
  <si>
    <t>460108-00088</t>
  </si>
  <si>
    <t>460108-00089</t>
  </si>
  <si>
    <t>460108-00090</t>
  </si>
  <si>
    <t>460108-00091</t>
  </si>
  <si>
    <t>460108-00092</t>
  </si>
  <si>
    <t>460108-00093</t>
  </si>
  <si>
    <t>460108-00095</t>
  </si>
  <si>
    <t>460108-00096</t>
  </si>
  <si>
    <t>460108-00097</t>
  </si>
  <si>
    <t>460108-00098</t>
  </si>
  <si>
    <t>460108-00099</t>
  </si>
  <si>
    <t>460108-00100</t>
  </si>
  <si>
    <t>460108-00101</t>
  </si>
  <si>
    <t>460108-00102</t>
  </si>
  <si>
    <t>460108-00103</t>
  </si>
  <si>
    <t>460108-00104</t>
  </si>
  <si>
    <t>460108-00105</t>
  </si>
  <si>
    <t>460108-00106</t>
  </si>
  <si>
    <t>460108-00107</t>
  </si>
  <si>
    <t>460108-00108</t>
  </si>
  <si>
    <t>460108-00109</t>
  </si>
  <si>
    <t>460108-00110</t>
  </si>
  <si>
    <t>460108-00111</t>
  </si>
  <si>
    <t>460108-00112</t>
  </si>
  <si>
    <t>460108-00113</t>
  </si>
  <si>
    <t>460108-00114</t>
  </si>
  <si>
    <t>460108-00115</t>
  </si>
  <si>
    <t>460108-00116</t>
  </si>
  <si>
    <t>460108-00117</t>
  </si>
  <si>
    <t>460108-00118</t>
  </si>
  <si>
    <t>460108-00119</t>
  </si>
  <si>
    <t>460108-00120</t>
  </si>
  <si>
    <t>460108-00121</t>
  </si>
  <si>
    <t>460108-00122</t>
  </si>
  <si>
    <t>460108-00123</t>
  </si>
  <si>
    <t>460108-00125</t>
  </si>
  <si>
    <t>460108-00126</t>
  </si>
  <si>
    <t>460108-10004</t>
  </si>
  <si>
    <t>460108-10005</t>
  </si>
  <si>
    <t>460108-10007</t>
  </si>
  <si>
    <t>460108-10009</t>
  </si>
  <si>
    <t>460108-10021</t>
  </si>
  <si>
    <t>460108-10022</t>
  </si>
  <si>
    <t>460108-10024</t>
  </si>
  <si>
    <t>500199-00102</t>
  </si>
  <si>
    <t>危機管理室</t>
  </si>
  <si>
    <t>500199-00103</t>
  </si>
  <si>
    <t>500199-00107</t>
  </si>
  <si>
    <t>500199-00108</t>
  </si>
  <si>
    <t>530103-10006</t>
  </si>
  <si>
    <t>契約管財局</t>
  </si>
  <si>
    <t>530201-00007</t>
  </si>
  <si>
    <t>530201-00008</t>
  </si>
  <si>
    <t>530201-00009</t>
  </si>
  <si>
    <t>530201-00011</t>
  </si>
  <si>
    <t>530201-00012</t>
  </si>
  <si>
    <t>530201-00013</t>
  </si>
  <si>
    <t>530201-00015</t>
  </si>
  <si>
    <t>530201-00016</t>
  </si>
  <si>
    <t>530201-00017</t>
  </si>
  <si>
    <t>530201-00018</t>
  </si>
  <si>
    <t>530201-00019</t>
  </si>
  <si>
    <t>530201-00022</t>
  </si>
  <si>
    <t>530201-00023</t>
  </si>
  <si>
    <t>530201-00025</t>
  </si>
  <si>
    <t>530201-00027</t>
  </si>
  <si>
    <t>530201-00028</t>
  </si>
  <si>
    <t>530201-00029</t>
  </si>
  <si>
    <t>530201-00030</t>
  </si>
  <si>
    <t>530201-00031</t>
  </si>
  <si>
    <t>530201-00032</t>
  </si>
  <si>
    <t>530201-00033</t>
  </si>
  <si>
    <t>530201-00034</t>
  </si>
  <si>
    <t>530201-00035</t>
  </si>
  <si>
    <t>530201-00036</t>
  </si>
  <si>
    <t>530201-00038</t>
  </si>
  <si>
    <t>530201-00041</t>
  </si>
  <si>
    <t>530201-00043</t>
  </si>
  <si>
    <t>530201-00044</t>
  </si>
  <si>
    <t>530201-00046</t>
  </si>
  <si>
    <t>530201-00047</t>
  </si>
  <si>
    <t>530201-00048</t>
  </si>
  <si>
    <t>530201-00049</t>
  </si>
  <si>
    <t>530201-00050</t>
  </si>
  <si>
    <t>530201-00051</t>
  </si>
  <si>
    <t>530201-00053</t>
  </si>
  <si>
    <t>530201-00054</t>
  </si>
  <si>
    <t>530201-00055</t>
  </si>
  <si>
    <t>530201-00057</t>
  </si>
  <si>
    <t>530201-00058</t>
  </si>
  <si>
    <t>530201-00059</t>
  </si>
  <si>
    <t>530201-00060</t>
  </si>
  <si>
    <t>530201-00061</t>
  </si>
  <si>
    <t>530201-00062</t>
  </si>
  <si>
    <t>530201-00063</t>
  </si>
  <si>
    <t>530201-00064</t>
  </si>
  <si>
    <t>530201-00065</t>
  </si>
  <si>
    <t>530201-00066</t>
  </si>
  <si>
    <t>530201-00067</t>
  </si>
  <si>
    <t>530201-00068</t>
  </si>
  <si>
    <t>530201-00069</t>
  </si>
  <si>
    <t>530201-00070</t>
  </si>
  <si>
    <t>530201-00071</t>
  </si>
  <si>
    <t>530201-00072</t>
  </si>
  <si>
    <t>530201-00073</t>
  </si>
  <si>
    <t>530201-00076</t>
  </si>
  <si>
    <t>530201-00077</t>
  </si>
  <si>
    <t>530201-00078</t>
  </si>
  <si>
    <t>530201-00079</t>
  </si>
  <si>
    <t>530201-00080</t>
  </si>
  <si>
    <t>530201-00081</t>
  </si>
  <si>
    <t>530201-00082</t>
  </si>
  <si>
    <t>530201-00083</t>
  </si>
  <si>
    <t>530201-00084</t>
  </si>
  <si>
    <t>530201-00086</t>
  </si>
  <si>
    <t>530201-00087</t>
  </si>
  <si>
    <t>530201-00088</t>
  </si>
  <si>
    <t>530201-00089</t>
  </si>
  <si>
    <t>530201-00090</t>
  </si>
  <si>
    <t>530201-00091</t>
  </si>
  <si>
    <t>530201-00093</t>
  </si>
  <si>
    <t>530201-00094</t>
  </si>
  <si>
    <t>530201-00095</t>
  </si>
  <si>
    <t>530201-00096</t>
  </si>
  <si>
    <t>530201-00097</t>
  </si>
  <si>
    <t>530201-00098</t>
  </si>
  <si>
    <t>530201-00099</t>
  </si>
  <si>
    <t>530201-00102</t>
  </si>
  <si>
    <t>530201-00103</t>
  </si>
  <si>
    <t>530201-00105</t>
  </si>
  <si>
    <t>530201-00106</t>
  </si>
  <si>
    <t>530201-00107</t>
  </si>
  <si>
    <t>530201-00109</t>
  </si>
  <si>
    <t>530201-00110</t>
  </si>
  <si>
    <t>530201-00111</t>
  </si>
  <si>
    <t>530201-00112</t>
  </si>
  <si>
    <t>530201-00113</t>
  </si>
  <si>
    <t>530201-00114</t>
  </si>
  <si>
    <t>530201-00115</t>
  </si>
  <si>
    <t>530201-00116</t>
  </si>
  <si>
    <t>530201-00117</t>
  </si>
  <si>
    <t>530201-00118</t>
  </si>
  <si>
    <t>530201-00119</t>
  </si>
  <si>
    <t>530201-00120</t>
  </si>
  <si>
    <t>530201-00121</t>
  </si>
  <si>
    <t>530201-00122</t>
  </si>
  <si>
    <t>530201-00123</t>
  </si>
  <si>
    <t>530201-00124</t>
  </si>
  <si>
    <t>530201-00125</t>
  </si>
  <si>
    <t>530201-00126</t>
  </si>
  <si>
    <t>530201-00127</t>
  </si>
  <si>
    <t>530201-00128</t>
  </si>
  <si>
    <t>530201-00129</t>
  </si>
  <si>
    <t>530201-00130</t>
  </si>
  <si>
    <t>530201-00131</t>
  </si>
  <si>
    <t>530201-00132</t>
  </si>
  <si>
    <t>530201-00133</t>
  </si>
  <si>
    <t>530201-00134</t>
  </si>
  <si>
    <t>530201-00139</t>
  </si>
  <si>
    <t>530201-00141</t>
  </si>
  <si>
    <t>530201-00142</t>
  </si>
  <si>
    <t>530201-00145</t>
  </si>
  <si>
    <t>530201-00147</t>
  </si>
  <si>
    <t>530201-00154</t>
  </si>
  <si>
    <t>530201-00156</t>
  </si>
  <si>
    <t>530201-00157</t>
  </si>
  <si>
    <t>530201-00158</t>
  </si>
  <si>
    <t>530201-00159</t>
  </si>
  <si>
    <t>530201-00160</t>
  </si>
  <si>
    <t>530201-00161</t>
  </si>
  <si>
    <t>530201-00162</t>
  </si>
  <si>
    <t>530201-00163</t>
  </si>
  <si>
    <t>530201-00164</t>
  </si>
  <si>
    <t>530201-00165</t>
  </si>
  <si>
    <t>530201-00166</t>
  </si>
  <si>
    <t>530201-00167</t>
  </si>
  <si>
    <t>530201-00168</t>
  </si>
  <si>
    <t>530201-00169</t>
  </si>
  <si>
    <t>530201-00170</t>
  </si>
  <si>
    <t>530201-00171</t>
  </si>
  <si>
    <t>530201-00172</t>
  </si>
  <si>
    <t>530201-00174</t>
  </si>
  <si>
    <t>530201-00176</t>
  </si>
  <si>
    <t>530201-00177</t>
  </si>
  <si>
    <t>530201-00178</t>
  </si>
  <si>
    <t>530201-00179</t>
  </si>
  <si>
    <t>530201-00180</t>
  </si>
  <si>
    <t>530201-00182</t>
  </si>
  <si>
    <t>530201-00183</t>
  </si>
  <si>
    <t>530201-00184</t>
  </si>
  <si>
    <t>530201-00185</t>
  </si>
  <si>
    <t>530201-00186</t>
  </si>
  <si>
    <t>530201-00187</t>
  </si>
  <si>
    <t>530201-00188</t>
  </si>
  <si>
    <t>530201-00189</t>
  </si>
  <si>
    <t>530201-00190</t>
  </si>
  <si>
    <t>530201-00191</t>
  </si>
  <si>
    <t>530201-00192</t>
  </si>
  <si>
    <t>530201-00193</t>
  </si>
  <si>
    <t>530201-00194</t>
  </si>
  <si>
    <t>530201-00195</t>
  </si>
  <si>
    <t>530201-00196</t>
  </si>
  <si>
    <t>530201-00197</t>
  </si>
  <si>
    <t>530201-00198</t>
  </si>
  <si>
    <t>530201-00199</t>
  </si>
  <si>
    <t>530201-00200</t>
  </si>
  <si>
    <t>530201-00201</t>
  </si>
  <si>
    <t>530201-00202</t>
  </si>
  <si>
    <t>530201-00204</t>
  </si>
  <si>
    <t>530201-00205</t>
  </si>
  <si>
    <t>530201-00206</t>
  </si>
  <si>
    <t>530201-00207</t>
  </si>
  <si>
    <t>530201-00208</t>
  </si>
  <si>
    <t>530201-00209</t>
  </si>
  <si>
    <t>530201-00210</t>
  </si>
  <si>
    <t>530201-00211</t>
  </si>
  <si>
    <t>530201-00212</t>
  </si>
  <si>
    <t>530201-00213</t>
  </si>
  <si>
    <t>530201-00214</t>
  </si>
  <si>
    <t>530201-00215</t>
  </si>
  <si>
    <t>530201-00216</t>
  </si>
  <si>
    <t>530201-00217</t>
  </si>
  <si>
    <t>530201-00218</t>
  </si>
  <si>
    <t>530201-00219</t>
  </si>
  <si>
    <t>530201-00220</t>
  </si>
  <si>
    <t>530201-00221</t>
  </si>
  <si>
    <t>530201-00222</t>
  </si>
  <si>
    <t>530201-00225</t>
  </si>
  <si>
    <t>530201-00226</t>
  </si>
  <si>
    <t>530201-00227</t>
  </si>
  <si>
    <t>530201-00228</t>
  </si>
  <si>
    <t>530201-00229</t>
  </si>
  <si>
    <t>530201-00230</t>
  </si>
  <si>
    <t>530201-00231</t>
  </si>
  <si>
    <t>530201-00232</t>
  </si>
  <si>
    <t>530201-00235</t>
  </si>
  <si>
    <t>530201-00236</t>
  </si>
  <si>
    <t>530201-00237</t>
  </si>
  <si>
    <t>530201-00238</t>
  </si>
  <si>
    <t>530201-00239</t>
  </si>
  <si>
    <t>530201-00240</t>
  </si>
  <si>
    <t>530201-00241</t>
  </si>
  <si>
    <t>530201-00242</t>
  </si>
  <si>
    <t>530201-00243</t>
  </si>
  <si>
    <t>530201-00244</t>
  </si>
  <si>
    <t>530201-00245</t>
  </si>
  <si>
    <t>530201-00246</t>
  </si>
  <si>
    <t>530201-00247</t>
  </si>
  <si>
    <t>530201-00248</t>
  </si>
  <si>
    <t>530201-00249</t>
  </si>
  <si>
    <t>530201-00250</t>
  </si>
  <si>
    <t>530201-00251</t>
  </si>
  <si>
    <t>530201-00252</t>
  </si>
  <si>
    <t>530201-00253</t>
  </si>
  <si>
    <t>530201-00254</t>
  </si>
  <si>
    <t>530201-00255</t>
  </si>
  <si>
    <t>530201-00256</t>
  </si>
  <si>
    <t>530201-00257</t>
  </si>
  <si>
    <t>530201-00258</t>
  </si>
  <si>
    <t>530201-00259</t>
  </si>
  <si>
    <t>530201-00260</t>
  </si>
  <si>
    <t>530201-00262</t>
  </si>
  <si>
    <t>530201-00264</t>
  </si>
  <si>
    <t>530201-00266</t>
  </si>
  <si>
    <t>530201-00267</t>
  </si>
  <si>
    <t>530201-00270</t>
  </si>
  <si>
    <t>530201-00272</t>
  </si>
  <si>
    <t>530201-00273</t>
  </si>
  <si>
    <t>530201-00274</t>
  </si>
  <si>
    <t>530201-00275</t>
  </si>
  <si>
    <t>530201-00276</t>
  </si>
  <si>
    <t>530201-00277</t>
  </si>
  <si>
    <t>530201-00278</t>
  </si>
  <si>
    <t>530201-00279</t>
  </si>
  <si>
    <t>530201-00280</t>
  </si>
  <si>
    <t>530201-00281</t>
  </si>
  <si>
    <t>530201-00285</t>
  </si>
  <si>
    <t>530201-00286</t>
  </si>
  <si>
    <t>530201-00287</t>
  </si>
  <si>
    <t>530201-00288</t>
  </si>
  <si>
    <t>530201-00289</t>
  </si>
  <si>
    <t>530201-00290</t>
  </si>
  <si>
    <t>530201-00291</t>
  </si>
  <si>
    <t>530201-00292</t>
  </si>
  <si>
    <t>530201-00294</t>
  </si>
  <si>
    <t>530201-00296</t>
  </si>
  <si>
    <t>530201-00297</t>
  </si>
  <si>
    <t>530201-10020</t>
  </si>
  <si>
    <t>530201-10021</t>
  </si>
  <si>
    <t>530201-10022</t>
  </si>
  <si>
    <t>530201-10024</t>
  </si>
  <si>
    <t>530201-10025</t>
  </si>
  <si>
    <t>530201-10026</t>
  </si>
  <si>
    <t>530201-10027</t>
  </si>
  <si>
    <t>530201-10028</t>
  </si>
  <si>
    <t>530201-10029</t>
  </si>
  <si>
    <t>530201-10030</t>
  </si>
  <si>
    <t>530201-10032</t>
  </si>
  <si>
    <t>530201-10033</t>
  </si>
  <si>
    <t>530201-10034</t>
  </si>
  <si>
    <t>530201-10035</t>
  </si>
  <si>
    <t>530201-10036</t>
  </si>
  <si>
    <t>530201-10037</t>
  </si>
  <si>
    <t>530201-10038</t>
  </si>
  <si>
    <t>530201-10039</t>
  </si>
  <si>
    <t>530201-10040</t>
  </si>
  <si>
    <t>530201-10041</t>
  </si>
  <si>
    <t>530201-10042</t>
  </si>
  <si>
    <t>530201-10043</t>
  </si>
  <si>
    <t>530201-10044</t>
  </si>
  <si>
    <t>530201-10045</t>
  </si>
  <si>
    <t>530201-10053</t>
  </si>
  <si>
    <t>530201-10054</t>
  </si>
  <si>
    <t>530201-10060</t>
  </si>
  <si>
    <t>530201-10061</t>
  </si>
  <si>
    <t>530201-10063</t>
  </si>
  <si>
    <t>530201-10064</t>
  </si>
  <si>
    <t>540101-10001</t>
  </si>
  <si>
    <t>こども青少年局</t>
  </si>
  <si>
    <t>540101-10004</t>
  </si>
  <si>
    <t>540103-00001</t>
  </si>
  <si>
    <t>540103-00004</t>
  </si>
  <si>
    <t>540103-00006</t>
  </si>
  <si>
    <t>540103-00007</t>
  </si>
  <si>
    <t>540103-00008</t>
  </si>
  <si>
    <t>540103-00009</t>
  </si>
  <si>
    <t>540103-00010</t>
  </si>
  <si>
    <t>540103-00011</t>
  </si>
  <si>
    <t>540103-10003</t>
  </si>
  <si>
    <t>540103-10006</t>
  </si>
  <si>
    <t>540109-00001</t>
  </si>
  <si>
    <t>540109-00003</t>
  </si>
  <si>
    <t>540109-00004</t>
  </si>
  <si>
    <t>540109-00006</t>
  </si>
  <si>
    <t>540109-00007</t>
  </si>
  <si>
    <t>540109-00008</t>
  </si>
  <si>
    <t>540109-00009</t>
  </si>
  <si>
    <t>540109-00013</t>
  </si>
  <si>
    <t>540109-00014</t>
  </si>
  <si>
    <t>540109-00015</t>
  </si>
  <si>
    <t>540109-00016</t>
  </si>
  <si>
    <t>540109-00019</t>
  </si>
  <si>
    <t>540109-00020</t>
  </si>
  <si>
    <t>540109-00021</t>
  </si>
  <si>
    <t>540109-00023</t>
  </si>
  <si>
    <t>540109-00024</t>
  </si>
  <si>
    <t>540109-00026</t>
  </si>
  <si>
    <t>540109-00027</t>
  </si>
  <si>
    <t>540109-00029</t>
  </si>
  <si>
    <t>540109-00030</t>
  </si>
  <si>
    <t>540109-00032</t>
  </si>
  <si>
    <t>540109-00034</t>
  </si>
  <si>
    <t>540109-00037</t>
  </si>
  <si>
    <t>540109-00038</t>
  </si>
  <si>
    <t>540109-00040</t>
  </si>
  <si>
    <t>540109-00045</t>
  </si>
  <si>
    <t>540109-00048</t>
  </si>
  <si>
    <t>540109-00051</t>
  </si>
  <si>
    <t>540109-00052</t>
  </si>
  <si>
    <t>540109-00058</t>
  </si>
  <si>
    <t>540201-00000</t>
  </si>
  <si>
    <t>540201-00001</t>
  </si>
  <si>
    <t>540201-00002</t>
  </si>
  <si>
    <t>540201-00003</t>
  </si>
  <si>
    <t>540201-00004</t>
  </si>
  <si>
    <t>540201-00005</t>
  </si>
  <si>
    <t>540201-00006</t>
  </si>
  <si>
    <t>540201-00007</t>
  </si>
  <si>
    <t>540201-00008</t>
  </si>
  <si>
    <t>540201-00009</t>
  </si>
  <si>
    <t>540201-00010</t>
  </si>
  <si>
    <t>540201-00011</t>
  </si>
  <si>
    <t>540201-00013</t>
  </si>
  <si>
    <t>540201-00014</t>
  </si>
  <si>
    <t>540201-00015</t>
  </si>
  <si>
    <t>540201-00016</t>
  </si>
  <si>
    <t>540201-00017</t>
  </si>
  <si>
    <t>540201-00018</t>
  </si>
  <si>
    <t>540201-00019</t>
  </si>
  <si>
    <t>540201-00020</t>
  </si>
  <si>
    <t>540201-00021</t>
  </si>
  <si>
    <t>540201-00022</t>
  </si>
  <si>
    <t>540201-00023</t>
  </si>
  <si>
    <t>540201-00024</t>
  </si>
  <si>
    <t>540201-00025</t>
  </si>
  <si>
    <t>540201-00026</t>
  </si>
  <si>
    <t>540201-00027</t>
  </si>
  <si>
    <t>540201-00028</t>
  </si>
  <si>
    <t>540201-00029</t>
  </si>
  <si>
    <t>540201-00030</t>
  </si>
  <si>
    <t>540201-00031</t>
  </si>
  <si>
    <t>540201-00041</t>
  </si>
  <si>
    <t>540201-00046</t>
  </si>
  <si>
    <t>540201-00047</t>
  </si>
  <si>
    <t>540201-00056</t>
  </si>
  <si>
    <t>540201-10168</t>
  </si>
  <si>
    <t>540202-00000</t>
  </si>
  <si>
    <t>540202-00001</t>
  </si>
  <si>
    <t>540202-00002</t>
  </si>
  <si>
    <t>540202-00003</t>
  </si>
  <si>
    <t>540202-00004</t>
  </si>
  <si>
    <t>540202-00005</t>
  </si>
  <si>
    <t>540202-00006</t>
  </si>
  <si>
    <t>540202-00008</t>
  </si>
  <si>
    <t>540202-00009</t>
  </si>
  <si>
    <t>540202-10005</t>
  </si>
  <si>
    <t>540202-10006</t>
  </si>
  <si>
    <t>540206-00000</t>
  </si>
  <si>
    <t>540401-00000</t>
  </si>
  <si>
    <t>540401-10016</t>
  </si>
  <si>
    <t>540401-10017</t>
  </si>
  <si>
    <t>540402-00005</t>
  </si>
  <si>
    <t>540403-00001</t>
  </si>
  <si>
    <t>540501-00000</t>
  </si>
  <si>
    <t>540501-00001</t>
  </si>
  <si>
    <t>540501-00002</t>
  </si>
  <si>
    <t>540501-00003</t>
  </si>
  <si>
    <t>540501-00004</t>
  </si>
  <si>
    <t>540501-00005</t>
  </si>
  <si>
    <t>540501-00006</t>
  </si>
  <si>
    <t>540501-00007</t>
  </si>
  <si>
    <t>540501-00008</t>
  </si>
  <si>
    <t>540501-00009</t>
  </si>
  <si>
    <t>540501-00010</t>
  </si>
  <si>
    <t>540501-00011</t>
  </si>
  <si>
    <t>540501-00012</t>
  </si>
  <si>
    <t>540501-00013</t>
  </si>
  <si>
    <t>540501-00014</t>
  </si>
  <si>
    <t>540501-00015</t>
  </si>
  <si>
    <t>540501-00016</t>
  </si>
  <si>
    <t>540501-00017</t>
  </si>
  <si>
    <t>540501-00018</t>
  </si>
  <si>
    <t>540501-00019</t>
  </si>
  <si>
    <t>540501-00020</t>
  </si>
  <si>
    <t>540501-00021</t>
  </si>
  <si>
    <t>540501-00022</t>
  </si>
  <si>
    <t>540501-00023</t>
  </si>
  <si>
    <t>540501-00024</t>
  </si>
  <si>
    <t>540501-00025</t>
  </si>
  <si>
    <t>540501-00026</t>
  </si>
  <si>
    <t>540501-00027</t>
  </si>
  <si>
    <t>540501-00029</t>
  </si>
  <si>
    <t>540501-00030</t>
  </si>
  <si>
    <t>540501-00031</t>
  </si>
  <si>
    <t>540501-00032</t>
  </si>
  <si>
    <t>540501-00033</t>
  </si>
  <si>
    <t>540501-00034</t>
  </si>
  <si>
    <t>540501-00035</t>
  </si>
  <si>
    <t>540501-00036</t>
  </si>
  <si>
    <t>540501-00037</t>
  </si>
  <si>
    <t>540501-00039</t>
  </si>
  <si>
    <t>540501-00040</t>
  </si>
  <si>
    <t>540501-00041</t>
  </si>
  <si>
    <t>540501-00042</t>
  </si>
  <si>
    <t>540501-00043</t>
  </si>
  <si>
    <t>540501-00044</t>
  </si>
  <si>
    <t>540501-00045</t>
  </si>
  <si>
    <t>540501-00046</t>
  </si>
  <si>
    <t>540501-00047</t>
  </si>
  <si>
    <t>540501-00048</t>
  </si>
  <si>
    <t>540501-00049</t>
  </si>
  <si>
    <t>540501-00050</t>
  </si>
  <si>
    <t>540501-00051</t>
  </si>
  <si>
    <t>540501-00052</t>
  </si>
  <si>
    <t>540501-00053</t>
  </si>
  <si>
    <t>540501-00054</t>
  </si>
  <si>
    <t>540501-10005</t>
  </si>
  <si>
    <t>540501-10056</t>
  </si>
  <si>
    <t>540501-10065</t>
  </si>
  <si>
    <t>540501-10066</t>
  </si>
  <si>
    <t>540501-10069</t>
  </si>
  <si>
    <t>540501-10070</t>
  </si>
  <si>
    <t>540501-10071</t>
  </si>
  <si>
    <t>540501-10072</t>
  </si>
  <si>
    <t>540501-10074</t>
  </si>
  <si>
    <t>540501-10075</t>
  </si>
  <si>
    <t>540501-10076</t>
  </si>
  <si>
    <t>540501-10077</t>
  </si>
  <si>
    <t>540501-10078</t>
  </si>
  <si>
    <t>540501-10079</t>
  </si>
  <si>
    <t>540501-10080</t>
  </si>
  <si>
    <t>540501-10081</t>
  </si>
  <si>
    <t>540501-10082</t>
  </si>
  <si>
    <t>540501-10083</t>
  </si>
  <si>
    <t>540501-10084</t>
  </si>
  <si>
    <t>540501-10085</t>
  </si>
  <si>
    <t>540501-10086</t>
  </si>
  <si>
    <t>540501-10087</t>
  </si>
  <si>
    <t>540501-10088</t>
  </si>
  <si>
    <t>540501-10089</t>
  </si>
  <si>
    <t>540501-10090</t>
  </si>
  <si>
    <t>540501-10091</t>
  </si>
  <si>
    <t>540501-10092</t>
  </si>
  <si>
    <t>540501-10093</t>
  </si>
  <si>
    <t>540501-10094</t>
  </si>
  <si>
    <t>540501-10095</t>
  </si>
  <si>
    <t>540501-10096</t>
  </si>
  <si>
    <t>540501-10097</t>
  </si>
  <si>
    <t>540501-10098</t>
  </si>
  <si>
    <t>540501-10099</t>
  </si>
  <si>
    <t>540501-10100</t>
  </si>
  <si>
    <t>540501-10101</t>
  </si>
  <si>
    <t>540501-10102</t>
  </si>
  <si>
    <t>540501-10103</t>
  </si>
  <si>
    <t>540501-10104</t>
  </si>
  <si>
    <t>540501-10105</t>
  </si>
  <si>
    <t>540501-10106</t>
  </si>
  <si>
    <t>540501-10107</t>
  </si>
  <si>
    <t>540501-10108</t>
  </si>
  <si>
    <t>540501-10109</t>
  </si>
  <si>
    <t>540501-10110</t>
  </si>
  <si>
    <t>540501-10111</t>
  </si>
  <si>
    <t>540501-10112</t>
  </si>
  <si>
    <t>540501-10113</t>
  </si>
  <si>
    <t>540501-10114</t>
  </si>
  <si>
    <t>540501-10115</t>
  </si>
  <si>
    <t>540501-10116</t>
  </si>
  <si>
    <t>540501-10117</t>
  </si>
  <si>
    <t>540501-10118</t>
  </si>
  <si>
    <t>540501-10119</t>
  </si>
  <si>
    <t>540501-10120</t>
  </si>
  <si>
    <t>540501-10121</t>
  </si>
  <si>
    <t>540501-10122</t>
  </si>
  <si>
    <t>540501-10123</t>
  </si>
  <si>
    <t>540501-10125</t>
  </si>
  <si>
    <t>540501-10126</t>
  </si>
  <si>
    <t>540501-10127</t>
  </si>
  <si>
    <t>540501-10128</t>
  </si>
  <si>
    <t>540501-10129</t>
  </si>
  <si>
    <t>540501-10130</t>
  </si>
  <si>
    <t>540501-10131</t>
  </si>
  <si>
    <t>540501-10132</t>
  </si>
  <si>
    <t>540501-10134</t>
  </si>
  <si>
    <t>540501-10138</t>
  </si>
  <si>
    <t>540501-10139</t>
  </si>
  <si>
    <t>540502-00003</t>
  </si>
  <si>
    <t>540502-00004</t>
  </si>
  <si>
    <t>540502-00005</t>
  </si>
  <si>
    <t>540502-00006</t>
  </si>
  <si>
    <t>540502-00007</t>
  </si>
  <si>
    <t>540502-00008</t>
  </si>
  <si>
    <t>540502-00010</t>
  </si>
  <si>
    <t>540502-00011</t>
  </si>
  <si>
    <t>540502-00012</t>
  </si>
  <si>
    <t>540502-00013</t>
  </si>
  <si>
    <t>540502-00014</t>
  </si>
  <si>
    <t>540502-00015</t>
  </si>
  <si>
    <t>540502-00016</t>
  </si>
  <si>
    <t>540502-00017</t>
  </si>
  <si>
    <t>540502-00018</t>
  </si>
  <si>
    <t>540502-00019</t>
  </si>
  <si>
    <t>540502-00020</t>
  </si>
  <si>
    <t>540502-00021</t>
  </si>
  <si>
    <t>540502-00022</t>
  </si>
  <si>
    <t>540502-00023</t>
  </si>
  <si>
    <t>540502-00024</t>
  </si>
  <si>
    <t>540502-00025</t>
  </si>
  <si>
    <t>540502-00026</t>
  </si>
  <si>
    <t>540502-00028</t>
  </si>
  <si>
    <t>540502-00029</t>
  </si>
  <si>
    <t>540502-00030</t>
  </si>
  <si>
    <t>540502-00031</t>
  </si>
  <si>
    <t>540502-00033</t>
  </si>
  <si>
    <t>540502-00034</t>
  </si>
  <si>
    <t>540502-00035</t>
  </si>
  <si>
    <t>540502-00036</t>
  </si>
  <si>
    <t>540502-00037</t>
  </si>
  <si>
    <t>540502-00038</t>
  </si>
  <si>
    <t>540502-00039</t>
  </si>
  <si>
    <t>540502-00041</t>
  </si>
  <si>
    <t>540502-00042</t>
  </si>
  <si>
    <t>540502-00043</t>
  </si>
  <si>
    <t>540502-00044</t>
  </si>
  <si>
    <t>540502-00045</t>
  </si>
  <si>
    <t>540502-00046</t>
  </si>
  <si>
    <t>540502-00047</t>
  </si>
  <si>
    <t>540502-00048</t>
  </si>
  <si>
    <t>540502-00049</t>
  </si>
  <si>
    <t>540502-00051</t>
  </si>
  <si>
    <t>540502-00052</t>
  </si>
  <si>
    <t>540502-00053</t>
  </si>
  <si>
    <t>540502-00054</t>
  </si>
  <si>
    <t>540502-00055</t>
  </si>
  <si>
    <t>540502-00056</t>
  </si>
  <si>
    <t>540502-00057</t>
  </si>
  <si>
    <t>540502-00058</t>
  </si>
  <si>
    <t>540502-00059</t>
  </si>
  <si>
    <t>540502-00060</t>
  </si>
  <si>
    <t>540502-00061</t>
  </si>
  <si>
    <t>540502-00063</t>
  </si>
  <si>
    <t>540502-00064</t>
  </si>
  <si>
    <t>540502-00065</t>
  </si>
  <si>
    <t>540502-00066</t>
  </si>
  <si>
    <t>540502-00067</t>
  </si>
  <si>
    <t>540502-00068</t>
  </si>
  <si>
    <t>540502-00069</t>
  </si>
  <si>
    <t>540502-00070</t>
  </si>
  <si>
    <t>540502-00071</t>
  </si>
  <si>
    <t>540502-00072</t>
  </si>
  <si>
    <t>540502-00074</t>
  </si>
  <si>
    <t>540502-00075</t>
  </si>
  <si>
    <t>540502-00076</t>
  </si>
  <si>
    <t>540502-00077</t>
  </si>
  <si>
    <t>540502-00078</t>
  </si>
  <si>
    <t>540502-00079</t>
  </si>
  <si>
    <t>540502-00081</t>
  </si>
  <si>
    <t>540502-00082</t>
  </si>
  <si>
    <t>540502-00084</t>
  </si>
  <si>
    <t>540502-00085</t>
  </si>
  <si>
    <t>540502-00086</t>
  </si>
  <si>
    <t>540502-00088</t>
  </si>
  <si>
    <t>540502-00090</t>
  </si>
  <si>
    <t>540502-00091</t>
  </si>
  <si>
    <t>540502-00092</t>
  </si>
  <si>
    <t>540502-00093</t>
  </si>
  <si>
    <t>540502-00096</t>
  </si>
  <si>
    <t>540502-00100</t>
  </si>
  <si>
    <t>540502-00101</t>
  </si>
  <si>
    <t>540502-00102</t>
  </si>
  <si>
    <t>540502-00103</t>
  </si>
  <si>
    <t>540502-00104</t>
  </si>
  <si>
    <t>540502-00105</t>
  </si>
  <si>
    <t>540502-00106</t>
  </si>
  <si>
    <t>540502-00108</t>
  </si>
  <si>
    <t>540502-00109</t>
  </si>
  <si>
    <t>540502-00110</t>
  </si>
  <si>
    <t>540502-00111</t>
  </si>
  <si>
    <t>540502-00112</t>
  </si>
  <si>
    <t>540502-00113</t>
  </si>
  <si>
    <t>540502-00115</t>
  </si>
  <si>
    <t>540502-00116</t>
  </si>
  <si>
    <t>540502-00117</t>
  </si>
  <si>
    <t>540502-00118</t>
  </si>
  <si>
    <t>540502-00119</t>
  </si>
  <si>
    <t>540502-00120</t>
  </si>
  <si>
    <t>540502-00121</t>
  </si>
  <si>
    <t>540502-00122</t>
  </si>
  <si>
    <t>540502-00123</t>
  </si>
  <si>
    <t>540502-00124</t>
  </si>
  <si>
    <t>540502-00125</t>
  </si>
  <si>
    <t>540502-00127</t>
  </si>
  <si>
    <t>540502-00128</t>
  </si>
  <si>
    <t>540502-00129</t>
  </si>
  <si>
    <t>540502-00131</t>
  </si>
  <si>
    <t>540502-00132</t>
  </si>
  <si>
    <t>540502-00133</t>
  </si>
  <si>
    <t>540502-00134</t>
  </si>
  <si>
    <t>540502-00135</t>
  </si>
  <si>
    <t>540502-10004</t>
  </si>
  <si>
    <t>540502-10005</t>
  </si>
  <si>
    <t>540502-10006</t>
  </si>
  <si>
    <t>540502-10007</t>
  </si>
  <si>
    <t>540502-10009</t>
  </si>
  <si>
    <t>540502-10011</t>
  </si>
  <si>
    <t>540502-10012</t>
  </si>
  <si>
    <t>540502-10014</t>
  </si>
  <si>
    <t>540502-10015</t>
  </si>
  <si>
    <t>540502-10016</t>
  </si>
  <si>
    <t>540502-10018</t>
  </si>
  <si>
    <t>540502-10019</t>
  </si>
  <si>
    <t>540502-10020</t>
  </si>
  <si>
    <t>540502-10021</t>
  </si>
  <si>
    <t>540502-10022</t>
  </si>
  <si>
    <t>540502-10024</t>
  </si>
  <si>
    <t>540502-10025</t>
  </si>
  <si>
    <t>540502-10029</t>
  </si>
  <si>
    <t>540502-10031</t>
  </si>
  <si>
    <t>540502-10032</t>
  </si>
  <si>
    <t>540502-10034</t>
  </si>
  <si>
    <t>540502-10035</t>
  </si>
  <si>
    <t>540502-10036</t>
  </si>
  <si>
    <t>540502-10037</t>
  </si>
  <si>
    <t>540502-10038</t>
  </si>
  <si>
    <t>540502-10040</t>
  </si>
  <si>
    <t>540502-10041</t>
  </si>
  <si>
    <t>540601-00002</t>
  </si>
  <si>
    <t>550201-00001</t>
  </si>
  <si>
    <t>550201-00008</t>
  </si>
  <si>
    <t>環境局</t>
  </si>
  <si>
    <t>550201-00013</t>
  </si>
  <si>
    <t>550201-00014</t>
  </si>
  <si>
    <t>550201-00015</t>
  </si>
  <si>
    <t>550201-00026</t>
  </si>
  <si>
    <t>550201-00027</t>
  </si>
  <si>
    <t>550201-00028</t>
  </si>
  <si>
    <t>550201-00029</t>
  </si>
  <si>
    <t>550201-00030</t>
  </si>
  <si>
    <t>550201-00032</t>
  </si>
  <si>
    <t>550201-00033</t>
  </si>
  <si>
    <t>550201-00034</t>
  </si>
  <si>
    <t>550201-00036</t>
  </si>
  <si>
    <t>550201-00038</t>
  </si>
  <si>
    <t>550201-00040</t>
  </si>
  <si>
    <t>550201-00041</t>
  </si>
  <si>
    <t>550201-00042</t>
  </si>
  <si>
    <t>550201-00043</t>
  </si>
  <si>
    <t>550201-00046</t>
  </si>
  <si>
    <t>550201-00047</t>
  </si>
  <si>
    <t>550201-00049</t>
  </si>
  <si>
    <t>550201-00051</t>
  </si>
  <si>
    <t>550201-00052</t>
  </si>
  <si>
    <t>550201-00053</t>
  </si>
  <si>
    <t>550201-00054</t>
  </si>
  <si>
    <t>550201-00055</t>
  </si>
  <si>
    <t>550201-00057</t>
  </si>
  <si>
    <t>550201-00058</t>
  </si>
  <si>
    <t>550201-00060</t>
  </si>
  <si>
    <t>550201-00061</t>
  </si>
  <si>
    <t>550201-00065</t>
  </si>
  <si>
    <t>550201-10014</t>
  </si>
  <si>
    <t>550211-00001</t>
  </si>
  <si>
    <t>550211-00002</t>
  </si>
  <si>
    <t>550211-00003</t>
  </si>
  <si>
    <t>550211-00004</t>
  </si>
  <si>
    <t>550211-00005</t>
  </si>
  <si>
    <t>550211-00006</t>
  </si>
  <si>
    <t>550211-00007</t>
  </si>
  <si>
    <t>550211-00008</t>
  </si>
  <si>
    <t>550211-00009</t>
  </si>
  <si>
    <t>550211-00010</t>
  </si>
  <si>
    <t>550301-00003</t>
  </si>
  <si>
    <t>550301-00004</t>
  </si>
  <si>
    <t>550301-00007</t>
  </si>
  <si>
    <t>550301-00017</t>
  </si>
  <si>
    <t>550301-00025</t>
  </si>
  <si>
    <t>550301-00042</t>
  </si>
  <si>
    <t>550301-00049</t>
  </si>
  <si>
    <t>550301-00051</t>
  </si>
  <si>
    <t>550301-00058</t>
  </si>
  <si>
    <t>550301-00059</t>
  </si>
  <si>
    <t>550301-00064</t>
  </si>
  <si>
    <t>550301-00065</t>
  </si>
  <si>
    <t>550301-00073</t>
  </si>
  <si>
    <t>550301-00078</t>
  </si>
  <si>
    <t>550301-00097</t>
  </si>
  <si>
    <t>550301-00101</t>
  </si>
  <si>
    <t>550301-10002</t>
  </si>
  <si>
    <t>550301-10028</t>
  </si>
  <si>
    <t>550301-10045</t>
  </si>
  <si>
    <t>550304-00000</t>
  </si>
  <si>
    <t>550305-00000</t>
  </si>
  <si>
    <t>550306-00000</t>
  </si>
  <si>
    <t>550307-00000</t>
  </si>
  <si>
    <t>550307-00001</t>
  </si>
  <si>
    <t>550308-00000</t>
  </si>
  <si>
    <t>550309-00000</t>
  </si>
  <si>
    <t>550310-00000</t>
  </si>
  <si>
    <t>550311-00000</t>
  </si>
  <si>
    <t>550312-00000</t>
  </si>
  <si>
    <t>550313-00002</t>
  </si>
  <si>
    <t>550313-00003</t>
  </si>
  <si>
    <t>550313-00004</t>
  </si>
  <si>
    <t>550316-10016</t>
  </si>
  <si>
    <t>550501-00000</t>
  </si>
  <si>
    <t>550501-00003</t>
  </si>
  <si>
    <t>550501-00004</t>
  </si>
  <si>
    <t>550501-00005</t>
  </si>
  <si>
    <t>550501-00006</t>
  </si>
  <si>
    <t>550501-00008</t>
  </si>
  <si>
    <t>550501-00010</t>
  </si>
  <si>
    <t>550501-00011</t>
  </si>
  <si>
    <t>550501-00014</t>
  </si>
  <si>
    <t>550501-00015</t>
  </si>
  <si>
    <t>550501-00016</t>
  </si>
  <si>
    <t>550501-00017</t>
  </si>
  <si>
    <t>550501-00021</t>
  </si>
  <si>
    <t>550501-00022</t>
  </si>
  <si>
    <t>550501-00023</t>
  </si>
  <si>
    <t>550501-10001</t>
  </si>
  <si>
    <t>550502-10002</t>
  </si>
  <si>
    <t>550502-10003</t>
  </si>
  <si>
    <t>550502-10004</t>
  </si>
  <si>
    <t>550502-10005</t>
  </si>
  <si>
    <t>550502-10006</t>
  </si>
  <si>
    <t>550502-10007</t>
  </si>
  <si>
    <t>550502-10008</t>
  </si>
  <si>
    <t>550505-00002</t>
  </si>
  <si>
    <t>550505-00003</t>
  </si>
  <si>
    <t>550505-00004</t>
  </si>
  <si>
    <t>550505-00006</t>
  </si>
  <si>
    <t>550505-00007</t>
  </si>
  <si>
    <t>550505-00009</t>
  </si>
  <si>
    <t>550505-00010</t>
  </si>
  <si>
    <t>550505-00011</t>
  </si>
  <si>
    <t>550505-00012</t>
  </si>
  <si>
    <t>550505-00014</t>
  </si>
  <si>
    <t>550505-00015</t>
  </si>
  <si>
    <t>550505-00016</t>
  </si>
  <si>
    <t>550505-00019</t>
  </si>
  <si>
    <t>550505-00020</t>
  </si>
  <si>
    <t>550505-00023</t>
  </si>
  <si>
    <t>550505-00024</t>
  </si>
  <si>
    <t>550505-00025</t>
  </si>
  <si>
    <t>550505-00026</t>
  </si>
  <si>
    <t>550505-00027</t>
  </si>
  <si>
    <t>550505-00028</t>
  </si>
  <si>
    <t>550505-00031</t>
  </si>
  <si>
    <t>550505-00032</t>
  </si>
  <si>
    <t>550505-00033</t>
  </si>
  <si>
    <t>550505-00111</t>
  </si>
  <si>
    <t>550505-00112</t>
  </si>
  <si>
    <t>550505-00113</t>
  </si>
  <si>
    <t>550505-00114</t>
  </si>
  <si>
    <t>550505-00115</t>
  </si>
  <si>
    <t>550505-00116</t>
  </si>
  <si>
    <t>550505-00117</t>
  </si>
  <si>
    <t>550505-00118</t>
  </si>
  <si>
    <t>550505-00119</t>
  </si>
  <si>
    <t>550505-00120</t>
  </si>
  <si>
    <t>550505-00121</t>
  </si>
  <si>
    <t>550505-00122</t>
  </si>
  <si>
    <t>550505-00123</t>
  </si>
  <si>
    <t>550505-00124</t>
  </si>
  <si>
    <t>550505-00125</t>
  </si>
  <si>
    <t>550505-00126</t>
  </si>
  <si>
    <t>550505-00127</t>
  </si>
  <si>
    <t>550505-00128</t>
  </si>
  <si>
    <t>550505-00129</t>
  </si>
  <si>
    <t>550505-00130</t>
  </si>
  <si>
    <t>550505-00131</t>
  </si>
  <si>
    <t>550505-00132</t>
  </si>
  <si>
    <t>550505-00133</t>
  </si>
  <si>
    <t>550505-00134</t>
  </si>
  <si>
    <t>550505-00135</t>
  </si>
  <si>
    <t>550505-00136</t>
  </si>
  <si>
    <t>550505-00137</t>
  </si>
  <si>
    <t>550505-00138</t>
  </si>
  <si>
    <t>550505-00139</t>
  </si>
  <si>
    <t>550505-00140</t>
  </si>
  <si>
    <t>550505-00141</t>
  </si>
  <si>
    <t>550505-00142</t>
  </si>
  <si>
    <t>550505-00143</t>
  </si>
  <si>
    <t>550505-00144</t>
  </si>
  <si>
    <t>550505-00145</t>
  </si>
  <si>
    <t>550505-00146</t>
  </si>
  <si>
    <t>550505-00147</t>
  </si>
  <si>
    <t>550505-00148</t>
  </si>
  <si>
    <t>550505-00149</t>
  </si>
  <si>
    <t>550505-00150</t>
  </si>
  <si>
    <t>550505-00151</t>
  </si>
  <si>
    <t>550505-00152</t>
  </si>
  <si>
    <t>550505-00153</t>
  </si>
  <si>
    <t>550505-00154</t>
  </si>
  <si>
    <t>550505-00155</t>
  </si>
  <si>
    <t>550505-00156</t>
  </si>
  <si>
    <t>550505-00157</t>
  </si>
  <si>
    <t>550505-00158</t>
  </si>
  <si>
    <t>550505-00159</t>
  </si>
  <si>
    <t>550505-00160</t>
  </si>
  <si>
    <t>550505-00161</t>
  </si>
  <si>
    <t>550505-00162</t>
  </si>
  <si>
    <t>550505-00163</t>
  </si>
  <si>
    <t>550505-00164</t>
  </si>
  <si>
    <t>550505-00165</t>
  </si>
  <si>
    <t>550505-00166</t>
  </si>
  <si>
    <t>550505-00167</t>
  </si>
  <si>
    <t>550505-00168</t>
  </si>
  <si>
    <t>550505-00169</t>
  </si>
  <si>
    <t>550505-00170</t>
  </si>
  <si>
    <t>550505-00171</t>
  </si>
  <si>
    <t>550505-00172</t>
  </si>
  <si>
    <t>550505-00173</t>
  </si>
  <si>
    <t>550505-00174</t>
  </si>
  <si>
    <t>550505-00175</t>
  </si>
  <si>
    <t>550505-00176</t>
  </si>
  <si>
    <t>550505-00177</t>
  </si>
  <si>
    <t>550505-00178</t>
  </si>
  <si>
    <t>550505-00179</t>
  </si>
  <si>
    <t>550505-00180</t>
  </si>
  <si>
    <t>550505-00181</t>
  </si>
  <si>
    <t>550505-00182</t>
  </si>
  <si>
    <t>550505-00183</t>
  </si>
  <si>
    <t>550505-00184</t>
  </si>
  <si>
    <t>550505-00185</t>
  </si>
  <si>
    <t>550505-00186</t>
  </si>
  <si>
    <t>550601-00000</t>
  </si>
  <si>
    <t>550601-00004</t>
  </si>
  <si>
    <t>560301-00001</t>
  </si>
  <si>
    <t>都市整備局</t>
  </si>
  <si>
    <t>560301-00003</t>
  </si>
  <si>
    <t>560301-00006</t>
  </si>
  <si>
    <t>560301-00007</t>
  </si>
  <si>
    <t>560301-00010</t>
  </si>
  <si>
    <t>560301-00012</t>
  </si>
  <si>
    <t>560301-00014</t>
  </si>
  <si>
    <t>560301-00016</t>
  </si>
  <si>
    <t>560301-00017</t>
  </si>
  <si>
    <t>560301-00019</t>
  </si>
  <si>
    <t>560301-00020</t>
  </si>
  <si>
    <t>560301-00021</t>
  </si>
  <si>
    <t>560301-00022</t>
  </si>
  <si>
    <t>560301-00023</t>
  </si>
  <si>
    <t>560301-00024</t>
  </si>
  <si>
    <t>560301-00025</t>
  </si>
  <si>
    <t>560301-00026</t>
  </si>
  <si>
    <t>560301-00027</t>
  </si>
  <si>
    <t>560301-00028</t>
  </si>
  <si>
    <t>560301-00029</t>
  </si>
  <si>
    <t>560301-00030</t>
  </si>
  <si>
    <t>560301-00031</t>
  </si>
  <si>
    <t>560301-00032</t>
  </si>
  <si>
    <t>560301-00033</t>
  </si>
  <si>
    <t>560301-00037</t>
  </si>
  <si>
    <t>560301-00039</t>
  </si>
  <si>
    <t>560301-00040</t>
  </si>
  <si>
    <t>560301-00041</t>
  </si>
  <si>
    <t>560301-00042</t>
  </si>
  <si>
    <t>560301-00043</t>
  </si>
  <si>
    <t>560301-00044</t>
  </si>
  <si>
    <t>560301-00045</t>
  </si>
  <si>
    <t>560301-00046</t>
  </si>
  <si>
    <t>560301-00047</t>
  </si>
  <si>
    <t>560301-00048</t>
  </si>
  <si>
    <t>560301-00050</t>
  </si>
  <si>
    <t>560301-00051</t>
  </si>
  <si>
    <t>560301-00053</t>
  </si>
  <si>
    <t>560301-00054</t>
  </si>
  <si>
    <t>560301-00055</t>
  </si>
  <si>
    <t>560301-00056</t>
  </si>
  <si>
    <t>560301-00057</t>
  </si>
  <si>
    <t>560301-00058</t>
  </si>
  <si>
    <t>560301-00059</t>
  </si>
  <si>
    <t>560301-00060</t>
  </si>
  <si>
    <t>560301-00061</t>
  </si>
  <si>
    <t>560301-00062</t>
  </si>
  <si>
    <t>560301-00063</t>
  </si>
  <si>
    <t>560301-00064</t>
  </si>
  <si>
    <t>560301-00065</t>
  </si>
  <si>
    <t>560301-00066</t>
  </si>
  <si>
    <t>560301-00068</t>
  </si>
  <si>
    <t>560301-00070</t>
  </si>
  <si>
    <t>560301-00140</t>
  </si>
  <si>
    <t>560301-00141</t>
  </si>
  <si>
    <t>560301-00144</t>
  </si>
  <si>
    <t>560301-10005</t>
  </si>
  <si>
    <t>560301-10021</t>
  </si>
  <si>
    <t>560301-10025</t>
  </si>
  <si>
    <t>560301-10030</t>
  </si>
  <si>
    <t>560301-10043</t>
  </si>
  <si>
    <t>560301-10046</t>
  </si>
  <si>
    <t>560301-10055</t>
  </si>
  <si>
    <t>560301-10057</t>
  </si>
  <si>
    <t>560301-10060</t>
  </si>
  <si>
    <t>560301-10064</t>
  </si>
  <si>
    <t>560301-10068</t>
  </si>
  <si>
    <t>560301-10070</t>
  </si>
  <si>
    <t>560301-10071</t>
  </si>
  <si>
    <t>560301-10072</t>
  </si>
  <si>
    <t>560301-10078</t>
  </si>
  <si>
    <t>560301-10079</t>
  </si>
  <si>
    <t>560301-10082</t>
  </si>
  <si>
    <t>560301-10084</t>
  </si>
  <si>
    <t>560301-10094</t>
  </si>
  <si>
    <t>560301-10097</t>
  </si>
  <si>
    <t>560301-10106</t>
  </si>
  <si>
    <t>560301-10110</t>
  </si>
  <si>
    <t>560301-10113</t>
  </si>
  <si>
    <t>560301-10119</t>
  </si>
  <si>
    <t>560301-10138</t>
  </si>
  <si>
    <t>560301-10181</t>
  </si>
  <si>
    <t>560301-10182</t>
  </si>
  <si>
    <t>560301-10218</t>
  </si>
  <si>
    <t>560301-10273</t>
  </si>
  <si>
    <t>560301-10274</t>
  </si>
  <si>
    <t>560301-10275</t>
  </si>
  <si>
    <t>560301-10276</t>
  </si>
  <si>
    <t>560301-10277</t>
  </si>
  <si>
    <t>560301-10282</t>
  </si>
  <si>
    <t>560306-00000</t>
  </si>
  <si>
    <t>560306-00001</t>
  </si>
  <si>
    <t>560306-10007</t>
  </si>
  <si>
    <t>560307-00000</t>
  </si>
  <si>
    <t>560307-00005</t>
  </si>
  <si>
    <t>560307-00007</t>
  </si>
  <si>
    <t>560307-00008</t>
  </si>
  <si>
    <t>560307-00009</t>
  </si>
  <si>
    <t>560307-00010</t>
  </si>
  <si>
    <t>560307-00011</t>
  </si>
  <si>
    <t>560307-00012</t>
  </si>
  <si>
    <t>560307-00013</t>
  </si>
  <si>
    <t>560307-00014</t>
  </si>
  <si>
    <t>560307-00015</t>
  </si>
  <si>
    <t>560307-00016</t>
  </si>
  <si>
    <t>560307-00017</t>
  </si>
  <si>
    <t>560307-00018</t>
  </si>
  <si>
    <t>560307-00019</t>
  </si>
  <si>
    <t>560307-00020</t>
  </si>
  <si>
    <t>560307-00021</t>
  </si>
  <si>
    <t>560307-00022</t>
  </si>
  <si>
    <t>560307-00023</t>
  </si>
  <si>
    <t>560307-00024</t>
  </si>
  <si>
    <t>560307-00025</t>
  </si>
  <si>
    <t>560307-00026</t>
  </si>
  <si>
    <t>560307-00027</t>
  </si>
  <si>
    <t>560307-00028</t>
  </si>
  <si>
    <t>560307-00029</t>
  </si>
  <si>
    <t>560307-00030</t>
  </si>
  <si>
    <t>560307-00031</t>
  </si>
  <si>
    <t>560307-00032</t>
  </si>
  <si>
    <t>560307-00033</t>
  </si>
  <si>
    <t>560307-00034</t>
  </si>
  <si>
    <t>560307-00035</t>
  </si>
  <si>
    <t>560307-00036</t>
  </si>
  <si>
    <t>560307-00037</t>
  </si>
  <si>
    <t>560307-00038</t>
  </si>
  <si>
    <t>560307-00039</t>
  </si>
  <si>
    <t>560307-00040</t>
  </si>
  <si>
    <t>560307-00041</t>
  </si>
  <si>
    <t>560307-00042</t>
  </si>
  <si>
    <t>560307-00043</t>
  </si>
  <si>
    <t>560307-00045</t>
  </si>
  <si>
    <t>560307-00046</t>
  </si>
  <si>
    <t>560307-00047</t>
  </si>
  <si>
    <t>560307-00048</t>
  </si>
  <si>
    <t>560307-00049</t>
  </si>
  <si>
    <t>560307-00050</t>
  </si>
  <si>
    <t>560307-00051</t>
  </si>
  <si>
    <t>560307-00052</t>
  </si>
  <si>
    <t>560307-00053</t>
  </si>
  <si>
    <t>560307-00054</t>
  </si>
  <si>
    <t>560307-00055</t>
  </si>
  <si>
    <t>560307-00056</t>
  </si>
  <si>
    <t>560307-00057</t>
  </si>
  <si>
    <t>560307-00058</t>
  </si>
  <si>
    <t>560307-00059</t>
  </si>
  <si>
    <t>560307-00060</t>
  </si>
  <si>
    <t>560307-00061</t>
  </si>
  <si>
    <t>560307-00062</t>
  </si>
  <si>
    <t>560307-00063</t>
  </si>
  <si>
    <t>560307-00064</t>
  </si>
  <si>
    <t>560307-00065</t>
  </si>
  <si>
    <t>560307-00066</t>
  </si>
  <si>
    <t>560307-00067</t>
  </si>
  <si>
    <t>560307-00068</t>
  </si>
  <si>
    <t>560307-00069</t>
  </si>
  <si>
    <t>560307-00070</t>
  </si>
  <si>
    <t>560307-00071</t>
  </si>
  <si>
    <t>560307-00072</t>
  </si>
  <si>
    <t>560307-00073</t>
  </si>
  <si>
    <t>560307-00074</t>
  </si>
  <si>
    <t>560307-00075</t>
  </si>
  <si>
    <t>560307-00077</t>
  </si>
  <si>
    <t>560307-00078</t>
  </si>
  <si>
    <t>560307-00079</t>
  </si>
  <si>
    <t>560307-00080</t>
  </si>
  <si>
    <t>560307-00081</t>
  </si>
  <si>
    <t>560307-00082</t>
  </si>
  <si>
    <t>560307-00083</t>
  </si>
  <si>
    <t>560307-00084</t>
  </si>
  <si>
    <t>560307-00085</t>
  </si>
  <si>
    <t>560307-00086</t>
  </si>
  <si>
    <t>560307-00087</t>
  </si>
  <si>
    <t>560307-00088</t>
  </si>
  <si>
    <t>560307-00089</t>
  </si>
  <si>
    <t>560307-00090</t>
  </si>
  <si>
    <t>560307-00091</t>
  </si>
  <si>
    <t>560307-00092</t>
  </si>
  <si>
    <t>560307-00093</t>
  </si>
  <si>
    <t>560307-00094</t>
  </si>
  <si>
    <t>560307-00095</t>
  </si>
  <si>
    <t>560307-00096</t>
  </si>
  <si>
    <t>560307-00097</t>
  </si>
  <si>
    <t>560307-00098</t>
  </si>
  <si>
    <t>560307-00099</t>
  </si>
  <si>
    <t>560307-00100</t>
  </si>
  <si>
    <t>560307-00101</t>
  </si>
  <si>
    <t>560307-00102</t>
  </si>
  <si>
    <t>560307-00103</t>
  </si>
  <si>
    <t>560307-00104</t>
  </si>
  <si>
    <t>560307-00105</t>
  </si>
  <si>
    <t>560307-00106</t>
  </si>
  <si>
    <t>560307-00107</t>
  </si>
  <si>
    <t>560307-00108</t>
  </si>
  <si>
    <t>560307-00109</t>
  </si>
  <si>
    <t>560307-00110</t>
  </si>
  <si>
    <t>560307-00111</t>
  </si>
  <si>
    <t>560307-00112</t>
  </si>
  <si>
    <t>560307-00113</t>
  </si>
  <si>
    <t>560307-00114</t>
  </si>
  <si>
    <t>560307-00115</t>
  </si>
  <si>
    <t>560307-00116</t>
  </si>
  <si>
    <t>560307-00117</t>
  </si>
  <si>
    <t>560307-00118</t>
  </si>
  <si>
    <t>560307-00119</t>
  </si>
  <si>
    <t>560307-00120</t>
  </si>
  <si>
    <t>560307-00121</t>
  </si>
  <si>
    <t>560307-00122</t>
  </si>
  <si>
    <t>560307-00123</t>
  </si>
  <si>
    <t>560307-00124</t>
  </si>
  <si>
    <t>560307-00125</t>
  </si>
  <si>
    <t>560307-00126</t>
  </si>
  <si>
    <t>560307-00127</t>
  </si>
  <si>
    <t>560307-00128</t>
  </si>
  <si>
    <t>560307-00130</t>
  </si>
  <si>
    <t>560307-00131</t>
  </si>
  <si>
    <t>560307-00132</t>
  </si>
  <si>
    <t>560307-00133</t>
  </si>
  <si>
    <t>560307-00134</t>
  </si>
  <si>
    <t>560307-00135</t>
  </si>
  <si>
    <t>560307-00136</t>
  </si>
  <si>
    <t>560307-00137</t>
  </si>
  <si>
    <t>560307-00139</t>
  </si>
  <si>
    <t>560307-00140</t>
  </si>
  <si>
    <t>560307-00141</t>
  </si>
  <si>
    <t>560307-00142</t>
  </si>
  <si>
    <t>560307-00143</t>
  </si>
  <si>
    <t>560307-00144</t>
  </si>
  <si>
    <t>560307-00145</t>
  </si>
  <si>
    <t>560307-00146</t>
  </si>
  <si>
    <t>560307-00147</t>
  </si>
  <si>
    <t>560307-00148</t>
  </si>
  <si>
    <t>560307-00149</t>
  </si>
  <si>
    <t>560307-00150</t>
  </si>
  <si>
    <t>560307-00151</t>
  </si>
  <si>
    <t>560307-00152</t>
  </si>
  <si>
    <t>560307-00153</t>
  </si>
  <si>
    <t>560307-00154</t>
  </si>
  <si>
    <t>560307-00155</t>
  </si>
  <si>
    <t>560307-00158</t>
  </si>
  <si>
    <t>560307-00159</t>
  </si>
  <si>
    <t>560307-00160</t>
  </si>
  <si>
    <t>560307-00161</t>
  </si>
  <si>
    <t>560307-00162</t>
  </si>
  <si>
    <t>560307-00163</t>
  </si>
  <si>
    <t>560307-00164</t>
  </si>
  <si>
    <t>560307-00165</t>
  </si>
  <si>
    <t>560307-00166</t>
  </si>
  <si>
    <t>560307-00167</t>
  </si>
  <si>
    <t>560307-00168</t>
  </si>
  <si>
    <t>560307-00169</t>
  </si>
  <si>
    <t>560307-00170</t>
  </si>
  <si>
    <t>560307-00171</t>
  </si>
  <si>
    <t>560307-00172</t>
  </si>
  <si>
    <t>560307-00173</t>
  </si>
  <si>
    <t>560307-00174</t>
  </si>
  <si>
    <t>560307-00175</t>
  </si>
  <si>
    <t>560307-00176</t>
  </si>
  <si>
    <t>560307-00177</t>
  </si>
  <si>
    <t>560307-00178</t>
  </si>
  <si>
    <t>560307-00179</t>
  </si>
  <si>
    <t>560307-00180</t>
  </si>
  <si>
    <t>560307-00181</t>
  </si>
  <si>
    <t>560307-00182</t>
  </si>
  <si>
    <t>560307-00183</t>
  </si>
  <si>
    <t>560307-00184</t>
  </si>
  <si>
    <t>560307-00185</t>
  </si>
  <si>
    <t>560307-00186</t>
  </si>
  <si>
    <t>560307-00187</t>
  </si>
  <si>
    <t>560307-00188</t>
  </si>
  <si>
    <t>560307-00189</t>
  </si>
  <si>
    <t>560307-00190</t>
  </si>
  <si>
    <t>560307-00191</t>
  </si>
  <si>
    <t>560307-00192</t>
  </si>
  <si>
    <t>560307-00193</t>
  </si>
  <si>
    <t>560307-00194</t>
  </si>
  <si>
    <t>560307-00195</t>
  </si>
  <si>
    <t>560307-00196</t>
  </si>
  <si>
    <t>560307-00197</t>
  </si>
  <si>
    <t>560307-00198</t>
  </si>
  <si>
    <t>560307-00199</t>
  </si>
  <si>
    <t>560307-00200</t>
  </si>
  <si>
    <t>560307-00201</t>
  </si>
  <si>
    <t>560307-00202</t>
  </si>
  <si>
    <t>560307-00203</t>
  </si>
  <si>
    <t>560307-00204</t>
  </si>
  <si>
    <t>560307-00205</t>
  </si>
  <si>
    <t>560307-00206</t>
  </si>
  <si>
    <t>560307-00207</t>
  </si>
  <si>
    <t>560307-00208</t>
  </si>
  <si>
    <t>560307-00209</t>
  </si>
  <si>
    <t>560307-00210</t>
  </si>
  <si>
    <t>560307-00211</t>
  </si>
  <si>
    <t>560307-00212</t>
  </si>
  <si>
    <t>560307-00213</t>
  </si>
  <si>
    <t>560307-00214</t>
  </si>
  <si>
    <t>560307-00215</t>
  </si>
  <si>
    <t>560307-00216</t>
  </si>
  <si>
    <t>560307-00218</t>
  </si>
  <si>
    <t>560307-00219</t>
  </si>
  <si>
    <t>560307-00220</t>
  </si>
  <si>
    <t>560307-00221</t>
  </si>
  <si>
    <t>560307-00222</t>
  </si>
  <si>
    <t>560307-00223</t>
  </si>
  <si>
    <t>560307-00224</t>
  </si>
  <si>
    <t>560307-00225</t>
  </si>
  <si>
    <t>560307-00226</t>
  </si>
  <si>
    <t>560307-00227</t>
  </si>
  <si>
    <t>560307-00228</t>
  </si>
  <si>
    <t>560307-00229</t>
  </si>
  <si>
    <t>560307-00230</t>
  </si>
  <si>
    <t>560307-00231</t>
  </si>
  <si>
    <t>560307-00232</t>
  </si>
  <si>
    <t>560307-00233</t>
  </si>
  <si>
    <t>560307-00234</t>
  </si>
  <si>
    <t>560307-00235</t>
  </si>
  <si>
    <t>560307-00236</t>
  </si>
  <si>
    <t>560307-00237</t>
  </si>
  <si>
    <t>560307-00238</t>
  </si>
  <si>
    <t>560307-00239</t>
  </si>
  <si>
    <t>560307-00240</t>
  </si>
  <si>
    <t>560307-00241</t>
  </si>
  <si>
    <t>560307-00242</t>
  </si>
  <si>
    <t>560307-00243</t>
  </si>
  <si>
    <t>560307-00244</t>
  </si>
  <si>
    <t>560307-00245</t>
  </si>
  <si>
    <t>560307-00246</t>
  </si>
  <si>
    <t>560307-00247</t>
  </si>
  <si>
    <t>560307-00248</t>
  </si>
  <si>
    <t>560307-00249</t>
  </si>
  <si>
    <t>560307-00250</t>
  </si>
  <si>
    <t>560307-00251</t>
  </si>
  <si>
    <t>560307-00252</t>
  </si>
  <si>
    <t>560307-00253</t>
  </si>
  <si>
    <t>560307-00254</t>
  </si>
  <si>
    <t>560307-00255</t>
  </si>
  <si>
    <t>560307-00256</t>
  </si>
  <si>
    <t>560307-00257</t>
  </si>
  <si>
    <t>560307-00258</t>
  </si>
  <si>
    <t>560307-00259</t>
  </si>
  <si>
    <t>560307-00260</t>
  </si>
  <si>
    <t>560307-00261</t>
  </si>
  <si>
    <t>560307-00262</t>
  </si>
  <si>
    <t>560307-00263</t>
  </si>
  <si>
    <t>560307-00264</t>
  </si>
  <si>
    <t>560307-00265</t>
  </si>
  <si>
    <t>560307-00266</t>
  </si>
  <si>
    <t>560307-00267</t>
  </si>
  <si>
    <t>560307-00268</t>
  </si>
  <si>
    <t>560307-00269</t>
  </si>
  <si>
    <t>560307-00270</t>
  </si>
  <si>
    <t>560307-00271</t>
  </si>
  <si>
    <t>560307-00272</t>
  </si>
  <si>
    <t>560307-00273</t>
  </si>
  <si>
    <t>560307-00274</t>
  </si>
  <si>
    <t>560307-00275</t>
  </si>
  <si>
    <t>560307-00276</t>
  </si>
  <si>
    <t>560307-00277</t>
  </si>
  <si>
    <t>560307-00278</t>
  </si>
  <si>
    <t>560307-00280</t>
  </si>
  <si>
    <t>560307-00281</t>
  </si>
  <si>
    <t>560307-00282</t>
  </si>
  <si>
    <t>560307-00283</t>
  </si>
  <si>
    <t>560307-00284</t>
  </si>
  <si>
    <t>560307-00285</t>
  </si>
  <si>
    <t>560307-00286</t>
  </si>
  <si>
    <t>560307-00287</t>
  </si>
  <si>
    <t>560307-00288</t>
  </si>
  <si>
    <t>560307-00289</t>
  </si>
  <si>
    <t>560307-00290</t>
  </si>
  <si>
    <t>560307-00291</t>
  </si>
  <si>
    <t>560307-00292</t>
  </si>
  <si>
    <t>560307-00293</t>
  </si>
  <si>
    <t>560307-00294</t>
  </si>
  <si>
    <t>560307-00295</t>
  </si>
  <si>
    <t>560307-00296</t>
  </si>
  <si>
    <t>560307-00297</t>
  </si>
  <si>
    <t>560307-00298</t>
  </si>
  <si>
    <t>560307-00299</t>
  </si>
  <si>
    <t>560307-00300</t>
  </si>
  <si>
    <t>560307-00301</t>
  </si>
  <si>
    <t>560307-00302</t>
  </si>
  <si>
    <t>560307-00303</t>
  </si>
  <si>
    <t>560307-00304</t>
  </si>
  <si>
    <t>560307-00305</t>
  </si>
  <si>
    <t>560307-00306</t>
  </si>
  <si>
    <t>560307-00307</t>
  </si>
  <si>
    <t>560307-00308</t>
  </si>
  <si>
    <t>560307-00309</t>
  </si>
  <si>
    <t>560307-00310</t>
  </si>
  <si>
    <t>560307-00311</t>
  </si>
  <si>
    <t>560307-00312</t>
  </si>
  <si>
    <t>560307-00313</t>
  </si>
  <si>
    <t>560307-00314</t>
  </si>
  <si>
    <t>560307-00315</t>
  </si>
  <si>
    <t>560307-00316</t>
  </si>
  <si>
    <t>560307-00317</t>
  </si>
  <si>
    <t>560307-00318</t>
  </si>
  <si>
    <t>560307-00319</t>
  </si>
  <si>
    <t>560307-00320</t>
  </si>
  <si>
    <t>560307-00321</t>
  </si>
  <si>
    <t>560307-00322</t>
  </si>
  <si>
    <t>560307-00323</t>
  </si>
  <si>
    <t>560307-00324</t>
  </si>
  <si>
    <t>560307-00325</t>
  </si>
  <si>
    <t>560307-00326</t>
  </si>
  <si>
    <t>560307-00327</t>
  </si>
  <si>
    <t>560307-00328</t>
  </si>
  <si>
    <t>560307-00329</t>
  </si>
  <si>
    <t>560307-00330</t>
  </si>
  <si>
    <t>560307-00331</t>
  </si>
  <si>
    <t>560307-00332</t>
  </si>
  <si>
    <t>560307-00333</t>
  </si>
  <si>
    <t>560307-00334</t>
  </si>
  <si>
    <t>560307-00335</t>
  </si>
  <si>
    <t>560307-00336</t>
  </si>
  <si>
    <t>560307-00337</t>
  </si>
  <si>
    <t>560307-00338</t>
  </si>
  <si>
    <t>560307-00339</t>
  </si>
  <si>
    <t>560307-00340</t>
  </si>
  <si>
    <t>560307-00341</t>
  </si>
  <si>
    <t>560307-00342</t>
  </si>
  <si>
    <t>560307-00343</t>
  </si>
  <si>
    <t>560307-00344</t>
  </si>
  <si>
    <t>560307-00345</t>
  </si>
  <si>
    <t>560307-00346</t>
  </si>
  <si>
    <t>560307-00347</t>
  </si>
  <si>
    <t>560307-00348</t>
  </si>
  <si>
    <t>560307-00349</t>
  </si>
  <si>
    <t>560307-00350</t>
  </si>
  <si>
    <t>560307-00351</t>
  </si>
  <si>
    <t>560307-00352</t>
  </si>
  <si>
    <t>560307-00353</t>
  </si>
  <si>
    <t>560307-00354</t>
  </si>
  <si>
    <t>560307-00355</t>
  </si>
  <si>
    <t>560307-00356</t>
  </si>
  <si>
    <t>560307-00357</t>
  </si>
  <si>
    <t>560307-00358</t>
  </si>
  <si>
    <t>560307-00359</t>
  </si>
  <si>
    <t>560307-00360</t>
  </si>
  <si>
    <t>560307-00361</t>
  </si>
  <si>
    <t>560307-00362</t>
  </si>
  <si>
    <t>560307-00363</t>
  </si>
  <si>
    <t>560307-00364</t>
  </si>
  <si>
    <t>560307-00365</t>
  </si>
  <si>
    <t>560307-00366</t>
  </si>
  <si>
    <t>560307-00367</t>
  </si>
  <si>
    <t>560307-00368</t>
  </si>
  <si>
    <t>560307-00369</t>
  </si>
  <si>
    <t>560307-00370</t>
  </si>
  <si>
    <t>560307-00371</t>
  </si>
  <si>
    <t>560307-00372</t>
  </si>
  <si>
    <t>560307-00373</t>
  </si>
  <si>
    <t>560307-00374</t>
  </si>
  <si>
    <t>560307-00375</t>
  </si>
  <si>
    <t>560307-00376</t>
  </si>
  <si>
    <t>560307-00377</t>
  </si>
  <si>
    <t>560307-00378</t>
  </si>
  <si>
    <t>560307-00379</t>
  </si>
  <si>
    <t>560307-00380</t>
  </si>
  <si>
    <t>560307-00381</t>
  </si>
  <si>
    <t>560307-00382</t>
  </si>
  <si>
    <t>560307-00384</t>
  </si>
  <si>
    <t>560307-00385</t>
  </si>
  <si>
    <t>560307-00386</t>
  </si>
  <si>
    <t>560307-00387</t>
  </si>
  <si>
    <t>560307-00388</t>
  </si>
  <si>
    <t>560307-00389</t>
  </si>
  <si>
    <t>560307-00390</t>
  </si>
  <si>
    <t>560307-00391</t>
  </si>
  <si>
    <t>560307-00392</t>
  </si>
  <si>
    <t>560307-00395</t>
  </si>
  <si>
    <t>560307-00396</t>
  </si>
  <si>
    <t>560307-00397</t>
  </si>
  <si>
    <t>560307-00398</t>
  </si>
  <si>
    <t>560307-00399</t>
  </si>
  <si>
    <t>560307-00400</t>
  </si>
  <si>
    <t>560307-00401</t>
  </si>
  <si>
    <t>560307-00402</t>
  </si>
  <si>
    <t>560307-00403</t>
  </si>
  <si>
    <t>560307-00404</t>
  </si>
  <si>
    <t>560307-00405</t>
  </si>
  <si>
    <t>560307-00406</t>
  </si>
  <si>
    <t>560307-00408</t>
  </si>
  <si>
    <t>560307-00409</t>
  </si>
  <si>
    <t>560307-00410</t>
  </si>
  <si>
    <t>560307-00411</t>
  </si>
  <si>
    <t>560307-00412</t>
  </si>
  <si>
    <t>560307-00413</t>
  </si>
  <si>
    <t>560307-00414</t>
  </si>
  <si>
    <t>560307-00415</t>
  </si>
  <si>
    <t>560307-00416</t>
  </si>
  <si>
    <t>560307-00417</t>
  </si>
  <si>
    <t>560307-00418</t>
  </si>
  <si>
    <t>560307-00419</t>
  </si>
  <si>
    <t>560307-00420</t>
  </si>
  <si>
    <t>560307-00421</t>
  </si>
  <si>
    <t>560307-00422</t>
  </si>
  <si>
    <t>560307-00423</t>
  </si>
  <si>
    <t>560307-00424</t>
  </si>
  <si>
    <t>560307-00425</t>
  </si>
  <si>
    <t>560307-00426</t>
  </si>
  <si>
    <t>560307-00427</t>
  </si>
  <si>
    <t>560307-00428</t>
  </si>
  <si>
    <t>560307-00429</t>
  </si>
  <si>
    <t>560307-00430</t>
  </si>
  <si>
    <t>560307-00431</t>
  </si>
  <si>
    <t>560307-00433</t>
  </si>
  <si>
    <t>560307-00434</t>
  </si>
  <si>
    <t>560307-00435</t>
  </si>
  <si>
    <t>560307-00436</t>
  </si>
  <si>
    <t>560307-00437</t>
  </si>
  <si>
    <t>560307-00438</t>
  </si>
  <si>
    <t>560307-00439</t>
  </si>
  <si>
    <t>560307-00440</t>
  </si>
  <si>
    <t>560307-00441</t>
  </si>
  <si>
    <t>560307-00442</t>
  </si>
  <si>
    <t>560307-00443</t>
  </si>
  <si>
    <t>560307-00444</t>
  </si>
  <si>
    <t>560307-00445</t>
  </si>
  <si>
    <t>560307-00446</t>
  </si>
  <si>
    <t>560307-00448</t>
  </si>
  <si>
    <t>560307-00449</t>
  </si>
  <si>
    <t>560307-00450</t>
  </si>
  <si>
    <t>560307-00451</t>
  </si>
  <si>
    <t>560307-00453</t>
  </si>
  <si>
    <t>560307-00454</t>
  </si>
  <si>
    <t>560307-00455</t>
  </si>
  <si>
    <t>560307-00456</t>
  </si>
  <si>
    <t>560307-00457</t>
  </si>
  <si>
    <t>560307-00458</t>
  </si>
  <si>
    <t>560307-00459</t>
  </si>
  <si>
    <t>560307-00464</t>
  </si>
  <si>
    <t>560307-00465</t>
  </si>
  <si>
    <t>560307-00466</t>
  </si>
  <si>
    <t>560307-10008</t>
  </si>
  <si>
    <t>560307-10009</t>
  </si>
  <si>
    <t>560307-10010</t>
  </si>
  <si>
    <t>560307-10011</t>
  </si>
  <si>
    <t>560307-10012</t>
  </si>
  <si>
    <t>560307-10014</t>
  </si>
  <si>
    <t>560307-10015</t>
  </si>
  <si>
    <t>560307-10016</t>
  </si>
  <si>
    <t>560307-10018</t>
  </si>
  <si>
    <t>560307-10019</t>
  </si>
  <si>
    <t>560307-10020</t>
  </si>
  <si>
    <t>560307-10021</t>
  </si>
  <si>
    <t>560307-10022</t>
  </si>
  <si>
    <t>560307-10023</t>
  </si>
  <si>
    <t>560307-10024</t>
  </si>
  <si>
    <t>560307-10025</t>
  </si>
  <si>
    <t>560307-10026</t>
  </si>
  <si>
    <t>560307-10027</t>
  </si>
  <si>
    <t>560307-10028</t>
  </si>
  <si>
    <t>560307-10029</t>
  </si>
  <si>
    <t>560307-10030</t>
  </si>
  <si>
    <t>560307-10032</t>
  </si>
  <si>
    <t>560307-10033</t>
  </si>
  <si>
    <t>560307-10035</t>
  </si>
  <si>
    <t>560307-10036</t>
  </si>
  <si>
    <t>560307-10037</t>
  </si>
  <si>
    <t>560307-10039</t>
  </si>
  <si>
    <t>560307-10041</t>
  </si>
  <si>
    <t>560307-10042</t>
  </si>
  <si>
    <t>560307-10044</t>
  </si>
  <si>
    <t>560307-10045</t>
  </si>
  <si>
    <t>560307-10046</t>
  </si>
  <si>
    <t>560307-10048</t>
  </si>
  <si>
    <t>560307-10049</t>
  </si>
  <si>
    <t>560307-10051</t>
  </si>
  <si>
    <t>560307-10052</t>
  </si>
  <si>
    <t>560307-10053</t>
  </si>
  <si>
    <t>560307-10054</t>
  </si>
  <si>
    <t>560307-10055</t>
  </si>
  <si>
    <t>560307-10056</t>
  </si>
  <si>
    <t>560307-10057</t>
  </si>
  <si>
    <t>560307-10058</t>
  </si>
  <si>
    <t>560307-10059</t>
  </si>
  <si>
    <t>560307-10061</t>
  </si>
  <si>
    <t>560307-10062</t>
  </si>
  <si>
    <t>560307-10063</t>
  </si>
  <si>
    <t>560307-10064</t>
  </si>
  <si>
    <t>560307-10065</t>
  </si>
  <si>
    <t>560307-10066</t>
  </si>
  <si>
    <t>560307-10067</t>
  </si>
  <si>
    <t>560307-10070</t>
  </si>
  <si>
    <t>560307-10071</t>
  </si>
  <si>
    <t>560307-10073</t>
  </si>
  <si>
    <t>560307-10081</t>
  </si>
  <si>
    <t>560307-10082</t>
  </si>
  <si>
    <t>560307-10083</t>
  </si>
  <si>
    <t>560307-10084</t>
  </si>
  <si>
    <t>560307-10100</t>
  </si>
  <si>
    <t>560307-10102</t>
  </si>
  <si>
    <t>560307-10110</t>
  </si>
  <si>
    <t>560307-10111</t>
  </si>
  <si>
    <t>560307-10124</t>
  </si>
  <si>
    <t>560307-10125</t>
  </si>
  <si>
    <t>560307-10133</t>
  </si>
  <si>
    <t>560307-10134</t>
  </si>
  <si>
    <t>560307-10143</t>
  </si>
  <si>
    <t>560307-10145</t>
  </si>
  <si>
    <t>560307-10157</t>
  </si>
  <si>
    <t>560307-10158</t>
  </si>
  <si>
    <t>560307-10161</t>
  </si>
  <si>
    <t>560307-10173</t>
  </si>
  <si>
    <t>560307-10180</t>
  </si>
  <si>
    <t>560307-10181</t>
  </si>
  <si>
    <t>560307-10183</t>
  </si>
  <si>
    <t>560307-10184</t>
  </si>
  <si>
    <t>560307-10186</t>
  </si>
  <si>
    <t>560307-10187</t>
  </si>
  <si>
    <t>560307-10188</t>
  </si>
  <si>
    <t>560307-10189</t>
  </si>
  <si>
    <t>560307-10190</t>
  </si>
  <si>
    <t>560407-00006</t>
  </si>
  <si>
    <t>560407-00007</t>
  </si>
  <si>
    <t>560407-00008</t>
  </si>
  <si>
    <t>560407-00009</t>
  </si>
  <si>
    <t>560407-00010</t>
  </si>
  <si>
    <t>560407-00011</t>
  </si>
  <si>
    <t>560407-00012</t>
  </si>
  <si>
    <t>560407-00013</t>
  </si>
  <si>
    <t>560407-00014</t>
  </si>
  <si>
    <t>560407-00015</t>
  </si>
  <si>
    <t>560407-00016</t>
  </si>
  <si>
    <t>560407-00017</t>
  </si>
  <si>
    <t>560601-10012</t>
  </si>
  <si>
    <t>560601-10013</t>
  </si>
  <si>
    <t>560701-00001</t>
  </si>
  <si>
    <t>560701-00002</t>
  </si>
  <si>
    <t>560701-00003</t>
  </si>
  <si>
    <t>560701-00004</t>
  </si>
  <si>
    <t>560701-00005</t>
  </si>
  <si>
    <t>560701-00006</t>
  </si>
  <si>
    <t>560701-00007</t>
  </si>
  <si>
    <t>560701-00008</t>
  </si>
  <si>
    <t>560701-00010</t>
  </si>
  <si>
    <t>560701-00011</t>
  </si>
  <si>
    <t>560701-00012</t>
  </si>
  <si>
    <t>560701-00013</t>
  </si>
  <si>
    <t>560701-00014</t>
  </si>
  <si>
    <t>560701-00015</t>
  </si>
  <si>
    <t>560701-00016</t>
  </si>
  <si>
    <t>560701-00017</t>
  </si>
  <si>
    <t>560701-00018</t>
  </si>
  <si>
    <t>560701-00019</t>
  </si>
  <si>
    <t>560701-00020</t>
  </si>
  <si>
    <t>560701-00025</t>
  </si>
  <si>
    <t>560701-00026</t>
  </si>
  <si>
    <t>560701-00027</t>
  </si>
  <si>
    <t>560701-00028</t>
  </si>
  <si>
    <t>560701-00029</t>
  </si>
  <si>
    <t>560701-00030</t>
  </si>
  <si>
    <t>560701-00031</t>
  </si>
  <si>
    <t>560701-00032</t>
  </si>
  <si>
    <t>560701-00033</t>
  </si>
  <si>
    <t>560701-00034</t>
  </si>
  <si>
    <t>560701-00035</t>
  </si>
  <si>
    <t>560701-00036</t>
  </si>
  <si>
    <t>560701-00037</t>
  </si>
  <si>
    <t>560701-00038</t>
  </si>
  <si>
    <t>560701-00039</t>
  </si>
  <si>
    <t>560701-00040</t>
  </si>
  <si>
    <t>560701-00041</t>
  </si>
  <si>
    <t>560701-00042</t>
  </si>
  <si>
    <t>560701-00044</t>
  </si>
  <si>
    <t>560701-00045</t>
  </si>
  <si>
    <t>560701-00046</t>
  </si>
  <si>
    <t>560701-00048</t>
  </si>
  <si>
    <t>560701-00049</t>
  </si>
  <si>
    <t>560701-00050</t>
  </si>
  <si>
    <t>560701-00051</t>
  </si>
  <si>
    <t>560701-00052</t>
  </si>
  <si>
    <t>560701-00053</t>
  </si>
  <si>
    <t>560701-00054</t>
  </si>
  <si>
    <t>560701-00055</t>
  </si>
  <si>
    <t>560701-00056</t>
  </si>
  <si>
    <t>560701-00057</t>
  </si>
  <si>
    <t>560701-00058</t>
  </si>
  <si>
    <t>560701-00065</t>
  </si>
  <si>
    <t>560701-00076</t>
  </si>
  <si>
    <t>560701-00084</t>
  </si>
  <si>
    <t>560701-00085</t>
  </si>
  <si>
    <t>560701-00088</t>
  </si>
  <si>
    <t>560701-00091</t>
  </si>
  <si>
    <t>560701-00092</t>
  </si>
  <si>
    <t>560701-00096</t>
  </si>
  <si>
    <t>560701-00097</t>
  </si>
  <si>
    <t>560701-00098</t>
  </si>
  <si>
    <t>560701-00099</t>
  </si>
  <si>
    <t>560701-00101</t>
  </si>
  <si>
    <t>560701-00103</t>
  </si>
  <si>
    <t>560701-00104</t>
  </si>
  <si>
    <t>560701-00105</t>
  </si>
  <si>
    <t>560701-00107</t>
  </si>
  <si>
    <t>560702-00000</t>
  </si>
  <si>
    <t>560702-00002</t>
  </si>
  <si>
    <t>560703-00000</t>
  </si>
  <si>
    <t>560703-00001</t>
  </si>
  <si>
    <t>560703-00002</t>
  </si>
  <si>
    <t>560703-00003</t>
  </si>
  <si>
    <t>560703-00004</t>
  </si>
  <si>
    <t>560703-00005</t>
  </si>
  <si>
    <t>560703-00007</t>
  </si>
  <si>
    <t>560703-00009</t>
  </si>
  <si>
    <t>560703-00010</t>
  </si>
  <si>
    <t>560703-00030</t>
  </si>
  <si>
    <t>560703-00031</t>
  </si>
  <si>
    <t>560703-00032</t>
  </si>
  <si>
    <t>560703-00033</t>
  </si>
  <si>
    <t>560703-00034</t>
  </si>
  <si>
    <t>560703-00035</t>
  </si>
  <si>
    <t>560703-00036</t>
  </si>
  <si>
    <t>560703-00037</t>
  </si>
  <si>
    <t>560703-00038</t>
  </si>
  <si>
    <t>560703-00039</t>
  </si>
  <si>
    <t>560703-00040</t>
  </si>
  <si>
    <t>560703-00043</t>
  </si>
  <si>
    <t>560703-00044</t>
  </si>
  <si>
    <t>560703-00045</t>
  </si>
  <si>
    <t>560703-00046</t>
  </si>
  <si>
    <t>560703-00047</t>
  </si>
  <si>
    <t>560703-00048</t>
  </si>
  <si>
    <t>560703-00050</t>
  </si>
  <si>
    <t>560703-00051</t>
  </si>
  <si>
    <t>560703-00052</t>
  </si>
  <si>
    <t>560703-00062</t>
  </si>
  <si>
    <t>560703-00063</t>
  </si>
  <si>
    <t>560703-00064</t>
  </si>
  <si>
    <t>560703-00065</t>
  </si>
  <si>
    <t>560703-00066</t>
  </si>
  <si>
    <t>560703-00067</t>
  </si>
  <si>
    <t>560703-00068</t>
  </si>
  <si>
    <t>560703-00069</t>
  </si>
  <si>
    <t>560703-00070</t>
  </si>
  <si>
    <t>560703-00071</t>
  </si>
  <si>
    <t>560703-00072</t>
  </si>
  <si>
    <t>560703-00073</t>
  </si>
  <si>
    <t>560703-00075</t>
  </si>
  <si>
    <t>560703-00080</t>
  </si>
  <si>
    <t>560705-00000</t>
  </si>
  <si>
    <t>560705-00001</t>
  </si>
  <si>
    <t>560705-00002</t>
  </si>
  <si>
    <t>560705-00004</t>
  </si>
  <si>
    <t>560705-00005</t>
  </si>
  <si>
    <t>560705-00007</t>
  </si>
  <si>
    <t>560705-00008</t>
  </si>
  <si>
    <t>560705-00011</t>
  </si>
  <si>
    <t>560705-00013</t>
  </si>
  <si>
    <t>560705-00015</t>
  </si>
  <si>
    <t>560705-00016</t>
  </si>
  <si>
    <t>560705-00018</t>
  </si>
  <si>
    <t>560705-00021</t>
  </si>
  <si>
    <t>560705-00022</t>
  </si>
  <si>
    <t>560705-00024</t>
  </si>
  <si>
    <t>560705-00025</t>
  </si>
  <si>
    <t>560705-00026</t>
  </si>
  <si>
    <t>560705-00027</t>
  </si>
  <si>
    <t>560705-00028</t>
  </si>
  <si>
    <t>560705-00029</t>
  </si>
  <si>
    <t>560705-00030</t>
  </si>
  <si>
    <t>560705-00031</t>
  </si>
  <si>
    <t>560705-00032</t>
  </si>
  <si>
    <t>560705-00034</t>
  </si>
  <si>
    <t>560705-00035</t>
  </si>
  <si>
    <t>560705-00036</t>
  </si>
  <si>
    <t>560705-00037</t>
  </si>
  <si>
    <t>560705-00038</t>
  </si>
  <si>
    <t>560705-00040</t>
  </si>
  <si>
    <t>560705-00045</t>
  </si>
  <si>
    <t>560705-00046</t>
  </si>
  <si>
    <t>560705-00047</t>
  </si>
  <si>
    <t>560706-00000</t>
  </si>
  <si>
    <t>560706-00001</t>
  </si>
  <si>
    <t>560706-00002</t>
  </si>
  <si>
    <t>560706-00003</t>
  </si>
  <si>
    <t>560706-00004</t>
  </si>
  <si>
    <t>560706-00005</t>
  </si>
  <si>
    <t>560706-00008</t>
  </si>
  <si>
    <t>590101-00002</t>
  </si>
  <si>
    <t>590101-00003</t>
  </si>
  <si>
    <t>590101-10002</t>
  </si>
  <si>
    <t>590101-10003</t>
  </si>
  <si>
    <t>590101-10005</t>
  </si>
  <si>
    <t>590101-10007</t>
  </si>
  <si>
    <t>590101-10008</t>
  </si>
  <si>
    <t>590101-10011</t>
  </si>
  <si>
    <t>590101-10013</t>
  </si>
  <si>
    <t>590101-10016</t>
  </si>
  <si>
    <t>590101-10017</t>
  </si>
  <si>
    <t>590102-00001</t>
  </si>
  <si>
    <t>590201-00000</t>
  </si>
  <si>
    <t>590201-00001</t>
  </si>
  <si>
    <t>590201-00002</t>
  </si>
  <si>
    <t>590201-00003</t>
  </si>
  <si>
    <t>590201-00004</t>
  </si>
  <si>
    <t>590201-00005</t>
  </si>
  <si>
    <t>590201-00006</t>
  </si>
  <si>
    <t>590201-00007</t>
  </si>
  <si>
    <t>590201-00008</t>
  </si>
  <si>
    <t>590201-00010</t>
  </si>
  <si>
    <t>590201-00013</t>
  </si>
  <si>
    <t>590201-00014</t>
  </si>
  <si>
    <t>590201-00015</t>
  </si>
  <si>
    <t>590201-00016</t>
  </si>
  <si>
    <t>590201-00017</t>
  </si>
  <si>
    <t>590201-00018</t>
  </si>
  <si>
    <t>590201-00020</t>
  </si>
  <si>
    <t>590201-00021</t>
  </si>
  <si>
    <t>590201-00022</t>
  </si>
  <si>
    <t>590201-00023</t>
  </si>
  <si>
    <t>590201-00024</t>
  </si>
  <si>
    <t>590201-10002</t>
  </si>
  <si>
    <t>590202-00000</t>
  </si>
  <si>
    <t>590203-00001</t>
  </si>
  <si>
    <t>590204-00000</t>
  </si>
  <si>
    <t>590204-00002</t>
  </si>
  <si>
    <t>590301-00000</t>
  </si>
  <si>
    <t>590301-00002</t>
  </si>
  <si>
    <t>590301-10005</t>
  </si>
  <si>
    <t>590303-00000</t>
  </si>
  <si>
    <t>610002-00001</t>
  </si>
  <si>
    <t>総務局</t>
  </si>
  <si>
    <t>610002-00003</t>
  </si>
  <si>
    <t>610004-00002</t>
  </si>
  <si>
    <t>610100-00000</t>
  </si>
  <si>
    <t>610201-00001</t>
  </si>
  <si>
    <t>610203-00000</t>
  </si>
  <si>
    <t>620101-00002</t>
  </si>
  <si>
    <t>副首都推進局</t>
  </si>
  <si>
    <t>620101-00011</t>
  </si>
  <si>
    <t>620101-00012</t>
  </si>
  <si>
    <t>620101-00016</t>
  </si>
  <si>
    <t>620101-00017</t>
  </si>
  <si>
    <t>620101-00021</t>
  </si>
  <si>
    <t>620301-10001</t>
  </si>
  <si>
    <t>620401-00000</t>
  </si>
  <si>
    <t>620401-00005</t>
  </si>
  <si>
    <t>620401-00006</t>
  </si>
  <si>
    <t>620401-10001</t>
  </si>
  <si>
    <t>620401-10007</t>
  </si>
  <si>
    <t>620401-10008</t>
  </si>
  <si>
    <t>620401-10012</t>
  </si>
  <si>
    <t>620401-10013</t>
  </si>
  <si>
    <t>620401-10014</t>
  </si>
  <si>
    <t>620401-10016</t>
  </si>
  <si>
    <t>620401-10018</t>
  </si>
  <si>
    <t>620401-10019</t>
  </si>
  <si>
    <t>620401-10020</t>
  </si>
  <si>
    <t>620401-10023</t>
  </si>
  <si>
    <t>620401-10025</t>
  </si>
  <si>
    <t>620401-10026</t>
  </si>
  <si>
    <t>620401-10029</t>
  </si>
  <si>
    <t>620504-00000</t>
  </si>
  <si>
    <t>620504-00001</t>
  </si>
  <si>
    <t>620504-00002</t>
  </si>
  <si>
    <t>620504-00003</t>
  </si>
  <si>
    <t>620504-00004</t>
  </si>
  <si>
    <t>620504-00005</t>
  </si>
  <si>
    <t>620504-00006</t>
  </si>
  <si>
    <t>620601-00000</t>
  </si>
  <si>
    <t>620601-00008</t>
  </si>
  <si>
    <t>620601-00013</t>
  </si>
  <si>
    <t>620601-00016</t>
  </si>
  <si>
    <t>620601-00017</t>
  </si>
  <si>
    <t>620601-00022</t>
  </si>
  <si>
    <t>620601-00024</t>
  </si>
  <si>
    <t>620601-00025</t>
  </si>
  <si>
    <t>620601-00026</t>
  </si>
  <si>
    <t>620601-00035</t>
  </si>
  <si>
    <t>620601-00037</t>
  </si>
  <si>
    <t>620601-00040</t>
  </si>
  <si>
    <t>620601-00044</t>
  </si>
  <si>
    <t>620601-00047</t>
  </si>
  <si>
    <t>620601-00049</t>
  </si>
  <si>
    <t>620601-00051</t>
  </si>
  <si>
    <t>620601-00052</t>
  </si>
  <si>
    <t>620601-00053</t>
  </si>
  <si>
    <t>620601-00054</t>
  </si>
  <si>
    <t>620601-00057</t>
  </si>
  <si>
    <t>620601-00058</t>
  </si>
  <si>
    <t>620601-00059</t>
  </si>
  <si>
    <t>620601-00060</t>
  </si>
  <si>
    <t>620601-00061</t>
  </si>
  <si>
    <t>620601-00062</t>
  </si>
  <si>
    <t>620601-00063</t>
  </si>
  <si>
    <t>620601-00065</t>
  </si>
  <si>
    <t>620601-00066</t>
  </si>
  <si>
    <t>620601-00070</t>
  </si>
  <si>
    <t>620601-00073</t>
  </si>
  <si>
    <t>620601-00074</t>
  </si>
  <si>
    <t>620601-00075</t>
  </si>
  <si>
    <t>620601-00076</t>
  </si>
  <si>
    <t>620601-00077</t>
  </si>
  <si>
    <t>620601-00081</t>
  </si>
  <si>
    <t>620601-00083</t>
  </si>
  <si>
    <t>620601-00085</t>
  </si>
  <si>
    <t>620601-00086</t>
  </si>
  <si>
    <t>620601-00088</t>
  </si>
  <si>
    <t>620601-00089</t>
  </si>
  <si>
    <t>620601-00091</t>
  </si>
  <si>
    <t>620601-00094</t>
  </si>
  <si>
    <t>620601-00095</t>
  </si>
  <si>
    <t>620601-00096</t>
  </si>
  <si>
    <t>620601-00098</t>
  </si>
  <si>
    <t>620601-00101</t>
  </si>
  <si>
    <t>620601-00103</t>
  </si>
  <si>
    <t>620601-10004</t>
  </si>
  <si>
    <t>620601-10005</t>
  </si>
  <si>
    <t>620601-10006</t>
  </si>
  <si>
    <t>620601-10007</t>
  </si>
  <si>
    <t>620603-00000</t>
  </si>
  <si>
    <t>620604-00003</t>
  </si>
  <si>
    <t>620606-00001</t>
  </si>
  <si>
    <t>620701-00000</t>
  </si>
  <si>
    <t>620701-00001</t>
  </si>
  <si>
    <t>620701-00002</t>
  </si>
  <si>
    <t>620701-00003</t>
  </si>
  <si>
    <t>620701-00004</t>
  </si>
  <si>
    <t>620701-00006</t>
  </si>
  <si>
    <t>620701-00007</t>
  </si>
  <si>
    <t>620701-00008</t>
  </si>
  <si>
    <t>620701-00009</t>
  </si>
  <si>
    <t>620701-00010</t>
  </si>
  <si>
    <t>620701-00011</t>
  </si>
  <si>
    <t>620701-00012</t>
  </si>
  <si>
    <t>620701-00013</t>
  </si>
  <si>
    <t>620701-00014</t>
  </si>
  <si>
    <t>620701-00015</t>
  </si>
  <si>
    <t>620701-00016</t>
  </si>
  <si>
    <t>620701-00017</t>
  </si>
  <si>
    <t>620701-00018</t>
  </si>
  <si>
    <t>620701-00019</t>
  </si>
  <si>
    <t>620701-00020</t>
  </si>
  <si>
    <t>620701-00021</t>
  </si>
  <si>
    <t>620701-00022</t>
  </si>
  <si>
    <t>620701-00023</t>
  </si>
  <si>
    <t>620701-00024</t>
  </si>
  <si>
    <t>620701-00025</t>
  </si>
  <si>
    <t>620701-00026</t>
  </si>
  <si>
    <t>620701-00027</t>
  </si>
  <si>
    <t>620701-00028</t>
  </si>
  <si>
    <t>620701-00029</t>
  </si>
  <si>
    <t>620701-00030</t>
  </si>
  <si>
    <t>620701-00031</t>
  </si>
  <si>
    <t>620701-00032</t>
  </si>
  <si>
    <t>620701-00033</t>
  </si>
  <si>
    <t>620701-00034</t>
  </si>
  <si>
    <t>620701-00035</t>
  </si>
  <si>
    <t>620701-00036</t>
  </si>
  <si>
    <t>620701-00037</t>
  </si>
  <si>
    <t>620701-00038</t>
  </si>
  <si>
    <t>620701-00039</t>
  </si>
  <si>
    <t>620701-00040</t>
  </si>
  <si>
    <t>620701-00041</t>
  </si>
  <si>
    <t>620701-00042</t>
  </si>
  <si>
    <t>620701-00043</t>
  </si>
  <si>
    <t>620701-00044</t>
  </si>
  <si>
    <t>620701-00045</t>
  </si>
  <si>
    <t>620701-00046</t>
  </si>
  <si>
    <t>620701-00198</t>
  </si>
  <si>
    <t>620701-00199</t>
  </si>
  <si>
    <t>620701-00200</t>
  </si>
  <si>
    <t>620701-00201</t>
  </si>
  <si>
    <t>620701-00202</t>
  </si>
  <si>
    <t>620701-00203</t>
  </si>
  <si>
    <t>620701-00204</t>
  </si>
  <si>
    <t>620701-00205</t>
  </si>
  <si>
    <t>620701-00206</t>
  </si>
  <si>
    <t>620701-00207</t>
  </si>
  <si>
    <t>620701-00208</t>
  </si>
  <si>
    <t>620701-00209</t>
  </si>
  <si>
    <t>620701-00210</t>
  </si>
  <si>
    <t>620701-00211</t>
  </si>
  <si>
    <t>620701-00212</t>
  </si>
  <si>
    <t>620701-00213</t>
  </si>
  <si>
    <t>620701-10001</t>
  </si>
  <si>
    <t>650002-00002</t>
  </si>
  <si>
    <t>デジタル統括室</t>
  </si>
  <si>
    <t>689905-00001</t>
  </si>
  <si>
    <t>中央卸売市場</t>
  </si>
  <si>
    <t>689905-00002</t>
  </si>
  <si>
    <t>68ZZZZ-00003</t>
  </si>
  <si>
    <t>68ZZZZ-00004</t>
  </si>
  <si>
    <t>68ZZZZ-00005</t>
  </si>
  <si>
    <t>68ZZZZ-00006</t>
  </si>
  <si>
    <t>出入橋抽水所</t>
  </si>
  <si>
    <t>中野抽水所</t>
  </si>
  <si>
    <t>北部方面管理事務所</t>
  </si>
  <si>
    <t>海老江工営所</t>
    <rPh sb="3" eb="5">
      <t>コウエイ</t>
    </rPh>
    <rPh sb="5" eb="6">
      <t>ショ</t>
    </rPh>
    <phoneticPr fontId="3"/>
  </si>
  <si>
    <t>市岡下水道センター</t>
  </si>
  <si>
    <t>難波島材料置場</t>
  </si>
  <si>
    <t>十八条下水道センター</t>
  </si>
  <si>
    <t>江野川抽水所</t>
  </si>
  <si>
    <t>今福材料置場</t>
  </si>
  <si>
    <t>関目抽水所</t>
  </si>
  <si>
    <t>東部方面管理事務所</t>
  </si>
  <si>
    <t>中浜工営所</t>
    <rPh sb="2" eb="4">
      <t>コウエイ</t>
    </rPh>
    <rPh sb="4" eb="5">
      <t>ショ</t>
    </rPh>
    <phoneticPr fontId="3"/>
  </si>
  <si>
    <t>下八箇荘遊水池排水機場</t>
  </si>
  <si>
    <t>南部方面管理事務所</t>
  </si>
  <si>
    <t>住之江工営所</t>
    <rPh sb="3" eb="5">
      <t>コウエイ</t>
    </rPh>
    <rPh sb="5" eb="6">
      <t>ショ</t>
    </rPh>
    <phoneticPr fontId="3"/>
  </si>
  <si>
    <t>今林抽水所</t>
  </si>
  <si>
    <t>西部方面管理事務所</t>
  </si>
  <si>
    <t>津守工営所</t>
    <rPh sb="2" eb="4">
      <t>コウエイ</t>
    </rPh>
    <rPh sb="4" eb="5">
      <t>ショ</t>
    </rPh>
    <phoneticPr fontId="3"/>
  </si>
  <si>
    <t>津守工営所（機械棟の一部）</t>
    <rPh sb="2" eb="4">
      <t>コウエイ</t>
    </rPh>
    <rPh sb="4" eb="5">
      <t>ショ</t>
    </rPh>
    <phoneticPr fontId="3"/>
  </si>
  <si>
    <t>津守船積場</t>
  </si>
  <si>
    <t>東四条抽水所</t>
  </si>
  <si>
    <t>逢阪会所</t>
    <rPh sb="0" eb="2">
      <t>オウサカ</t>
    </rPh>
    <rPh sb="2" eb="4">
      <t>カイショ</t>
    </rPh>
    <phoneticPr fontId="3"/>
  </si>
  <si>
    <t>天王寺区</t>
    <rPh sb="0" eb="4">
      <t>テンノウジク</t>
    </rPh>
    <phoneticPr fontId="3"/>
  </si>
  <si>
    <t>茶臼山町１丁目</t>
    <rPh sb="0" eb="3">
      <t>チャウスヤマ</t>
    </rPh>
    <rPh sb="3" eb="4">
      <t>マチ</t>
    </rPh>
    <rPh sb="5" eb="7">
      <t>チョウメ</t>
    </rPh>
    <phoneticPr fontId="3"/>
  </si>
  <si>
    <t>北港白津地区荷さばき地第3附設事務所他</t>
    <rPh sb="0" eb="4">
      <t>ホクコウシラツ</t>
    </rPh>
    <rPh sb="4" eb="6">
      <t>チク</t>
    </rPh>
    <rPh sb="6" eb="7">
      <t>ニ</t>
    </rPh>
    <rPh sb="10" eb="11">
      <t>チ</t>
    </rPh>
    <rPh sb="11" eb="12">
      <t>ダイ</t>
    </rPh>
    <rPh sb="13" eb="15">
      <t>フセツ</t>
    </rPh>
    <rPh sb="15" eb="17">
      <t>ジム</t>
    </rPh>
    <rPh sb="17" eb="18">
      <t>ショ</t>
    </rPh>
    <rPh sb="18" eb="19">
      <t>ホカ</t>
    </rPh>
    <phoneticPr fontId="7"/>
  </si>
  <si>
    <t>大阪港湾局</t>
    <rPh sb="0" eb="5">
      <t>オオサカコウワンキョク</t>
    </rPh>
    <phoneticPr fontId="6"/>
  </si>
  <si>
    <t>舞洲イベント広場便所・ターミナル庇</t>
  </si>
  <si>
    <t>弁天埠頭船客通路上屋</t>
  </si>
  <si>
    <t>咲洲国際客船上屋</t>
  </si>
  <si>
    <t>南港北１丁目</t>
    <rPh sb="0" eb="3">
      <t>ナンコウキタ</t>
    </rPh>
    <rPh sb="4" eb="6">
      <t>チョウメ</t>
    </rPh>
    <phoneticPr fontId="7"/>
  </si>
  <si>
    <t>ＫＦ－１上屋</t>
  </si>
  <si>
    <t>なにわの海の時空館</t>
  </si>
  <si>
    <t>南港北２丁目</t>
    <rPh sb="0" eb="3">
      <t>ナンコウキタ</t>
    </rPh>
    <rPh sb="4" eb="6">
      <t>チョウメ</t>
    </rPh>
    <phoneticPr fontId="7"/>
  </si>
  <si>
    <t>南港Ｒ地区荷さばき地１号附設事務所</t>
  </si>
  <si>
    <t>南港北３丁目</t>
    <rPh sb="0" eb="2">
      <t>ナンコウ</t>
    </rPh>
    <rPh sb="2" eb="3">
      <t>キタ</t>
    </rPh>
    <rPh sb="4" eb="6">
      <t>チョウメ</t>
    </rPh>
    <phoneticPr fontId="7"/>
  </si>
  <si>
    <t>南港Ｒ地区荷さばき地２号第２附設事務所</t>
  </si>
  <si>
    <t>南港Ｒ地区荷さばき地２号第３附設事務所</t>
  </si>
  <si>
    <t>南港Ｒ地区荷さばき地２号附設事務所</t>
  </si>
  <si>
    <t>南港北３丁目</t>
    <rPh sb="0" eb="3">
      <t>ナンコウキタ</t>
    </rPh>
    <rPh sb="4" eb="6">
      <t>チョウメ</t>
    </rPh>
    <phoneticPr fontId="7"/>
  </si>
  <si>
    <t>南港ポートタウン中央駐車場</t>
    <rPh sb="0" eb="2">
      <t>ナンコウ</t>
    </rPh>
    <rPh sb="8" eb="10">
      <t>チュウオウ</t>
    </rPh>
    <rPh sb="10" eb="13">
      <t>チュウシャジョウ</t>
    </rPh>
    <phoneticPr fontId="7"/>
  </si>
  <si>
    <t>南港中２丁目</t>
    <rPh sb="0" eb="2">
      <t>ナンコウ</t>
    </rPh>
    <rPh sb="2" eb="3">
      <t>ナカ</t>
    </rPh>
    <rPh sb="4" eb="6">
      <t>チョウメ</t>
    </rPh>
    <phoneticPr fontId="7"/>
  </si>
  <si>
    <t>南港ポートタウン西警察署詰所</t>
  </si>
  <si>
    <t>南港中３丁目</t>
    <rPh sb="0" eb="3">
      <t>ナンコウナカ</t>
    </rPh>
    <rPh sb="4" eb="6">
      <t>チョウメ</t>
    </rPh>
    <phoneticPr fontId="7"/>
  </si>
  <si>
    <t>南港ポートタウン駐車場北-２</t>
    <rPh sb="0" eb="2">
      <t>ナンコウ</t>
    </rPh>
    <rPh sb="8" eb="11">
      <t>チュウシャジョウ</t>
    </rPh>
    <phoneticPr fontId="7"/>
  </si>
  <si>
    <t>南港中４丁目</t>
    <rPh sb="0" eb="2">
      <t>ナンコウ</t>
    </rPh>
    <rPh sb="2" eb="3">
      <t>ナカ</t>
    </rPh>
    <rPh sb="4" eb="6">
      <t>チョウメ</t>
    </rPh>
    <phoneticPr fontId="7"/>
  </si>
  <si>
    <t>南港ポートタウン駐車場北-１</t>
    <rPh sb="0" eb="2">
      <t>ナンコウ</t>
    </rPh>
    <rPh sb="8" eb="11">
      <t>チュウシャジョウ</t>
    </rPh>
    <phoneticPr fontId="7"/>
  </si>
  <si>
    <t>南港中５丁目</t>
    <rPh sb="0" eb="3">
      <t>ナンコウナカ</t>
    </rPh>
    <rPh sb="4" eb="6">
      <t>チョウメ</t>
    </rPh>
    <phoneticPr fontId="7"/>
  </si>
  <si>
    <t>Q-1号上屋外</t>
    <rPh sb="3" eb="4">
      <t>ゴウ</t>
    </rPh>
    <rPh sb="6" eb="7">
      <t>ホカ</t>
    </rPh>
    <phoneticPr fontId="6"/>
  </si>
  <si>
    <t>南港中６丁目</t>
    <rPh sb="0" eb="3">
      <t>ナンコウナカ</t>
    </rPh>
    <rPh sb="4" eb="6">
      <t>チョウメ</t>
    </rPh>
    <phoneticPr fontId="7"/>
  </si>
  <si>
    <t>南港中７丁目</t>
    <rPh sb="0" eb="2">
      <t>ナンコウ</t>
    </rPh>
    <rPh sb="2" eb="3">
      <t>ナカ</t>
    </rPh>
    <rPh sb="4" eb="6">
      <t>チョウメ</t>
    </rPh>
    <phoneticPr fontId="7"/>
  </si>
  <si>
    <t>南港ポートタウン駐車場東-３</t>
  </si>
  <si>
    <t>南港東８丁目</t>
    <rPh sb="0" eb="2">
      <t>ナンコウ</t>
    </rPh>
    <rPh sb="2" eb="3">
      <t>ヒガシ</t>
    </rPh>
    <rPh sb="4" eb="6">
      <t>チョウメ</t>
    </rPh>
    <phoneticPr fontId="7"/>
  </si>
  <si>
    <t>南港ポートタウン駐車場東-２</t>
  </si>
  <si>
    <t>Ａ－１号上屋外</t>
    <rPh sb="3" eb="4">
      <t>ゴウ</t>
    </rPh>
    <rPh sb="4" eb="6">
      <t>ウワヤ</t>
    </rPh>
    <rPh sb="6" eb="7">
      <t>ホカ</t>
    </rPh>
    <phoneticPr fontId="6"/>
  </si>
  <si>
    <t>南港南３丁目</t>
    <rPh sb="0" eb="3">
      <t>ナンコウミナミ</t>
    </rPh>
    <rPh sb="4" eb="6">
      <t>チョウメ</t>
    </rPh>
    <phoneticPr fontId="7"/>
  </si>
  <si>
    <t>南港A地区荷さばき地1号附設事務所</t>
  </si>
  <si>
    <t>南港Ｊ地区荷さばき地1号附設事務所</t>
  </si>
  <si>
    <t>南港南６丁目</t>
    <rPh sb="0" eb="3">
      <t>ナンコウミナミ</t>
    </rPh>
    <rPh sb="4" eb="6">
      <t>チョウメ</t>
    </rPh>
    <phoneticPr fontId="7"/>
  </si>
  <si>
    <t>南港Ｊ地区荷さばき地３号附設事務所</t>
  </si>
  <si>
    <t>もと咲州緑地管理事務所</t>
    <rPh sb="2" eb="4">
      <t>サキシマ</t>
    </rPh>
    <rPh sb="4" eb="6">
      <t>リョクチ</t>
    </rPh>
    <rPh sb="6" eb="8">
      <t>カンリ</t>
    </rPh>
    <rPh sb="8" eb="10">
      <t>ジム</t>
    </rPh>
    <rPh sb="10" eb="11">
      <t>ショ</t>
    </rPh>
    <phoneticPr fontId="6"/>
  </si>
  <si>
    <t>住之江区</t>
    <rPh sb="0" eb="4">
      <t>スミノエク</t>
    </rPh>
    <phoneticPr fontId="6"/>
  </si>
  <si>
    <t>南港中６丁目</t>
    <rPh sb="0" eb="3">
      <t>ナンコウナカ</t>
    </rPh>
    <rPh sb="4" eb="6">
      <t>チョウメ</t>
    </rPh>
    <phoneticPr fontId="6"/>
  </si>
  <si>
    <t>舞洲運動広場</t>
    <rPh sb="0" eb="2">
      <t>マイシマ</t>
    </rPh>
    <rPh sb="2" eb="4">
      <t>ウンドウ</t>
    </rPh>
    <rPh sb="4" eb="6">
      <t>ヒロバ</t>
    </rPh>
    <phoneticPr fontId="6"/>
  </si>
  <si>
    <t>此花区</t>
    <rPh sb="0" eb="3">
      <t>コノハナク</t>
    </rPh>
    <phoneticPr fontId="6"/>
  </si>
  <si>
    <t>北港緑地１丁目</t>
    <rPh sb="0" eb="2">
      <t>ホッコウ</t>
    </rPh>
    <rPh sb="2" eb="4">
      <t>リョクチ</t>
    </rPh>
    <rPh sb="5" eb="7">
      <t>チョウメ</t>
    </rPh>
    <phoneticPr fontId="6"/>
  </si>
  <si>
    <t>オートキャンプ場</t>
    <rPh sb="7" eb="8">
      <t>ジョウ</t>
    </rPh>
    <phoneticPr fontId="6"/>
  </si>
  <si>
    <t>北港緑地２丁目</t>
    <rPh sb="0" eb="2">
      <t>ホッコウ</t>
    </rPh>
    <rPh sb="2" eb="4">
      <t>リョクチ</t>
    </rPh>
    <rPh sb="5" eb="7">
      <t>チョウメ</t>
    </rPh>
    <phoneticPr fontId="6"/>
  </si>
  <si>
    <t>バーベキュー広場</t>
    <rPh sb="6" eb="8">
      <t>ヒロバ</t>
    </rPh>
    <phoneticPr fontId="6"/>
  </si>
  <si>
    <t>舞洲多目的人工芝運動場</t>
    <rPh sb="0" eb="2">
      <t>マイシマ</t>
    </rPh>
    <rPh sb="2" eb="5">
      <t>タモクテキ</t>
    </rPh>
    <rPh sb="5" eb="7">
      <t>ジンコウ</t>
    </rPh>
    <rPh sb="7" eb="8">
      <t>シバ</t>
    </rPh>
    <rPh sb="8" eb="11">
      <t>ウンドウジョウ</t>
    </rPh>
    <phoneticPr fontId="6"/>
  </si>
  <si>
    <t>南港ポートタウン管理センター</t>
    <rPh sb="0" eb="2">
      <t>ナンコウ</t>
    </rPh>
    <rPh sb="8" eb="10">
      <t>カンリ</t>
    </rPh>
    <phoneticPr fontId="6"/>
  </si>
  <si>
    <t>南港中２丁目</t>
    <rPh sb="0" eb="2">
      <t>ナンコウ</t>
    </rPh>
    <rPh sb="2" eb="3">
      <t>ナカ</t>
    </rPh>
    <rPh sb="4" eb="6">
      <t>チョウメ</t>
    </rPh>
    <phoneticPr fontId="6"/>
  </si>
  <si>
    <t>南港ポートタウン警備員詰所</t>
    <rPh sb="0" eb="2">
      <t>ナンコウ</t>
    </rPh>
    <rPh sb="8" eb="11">
      <t>ケイビイン</t>
    </rPh>
    <rPh sb="11" eb="13">
      <t>ツメショ</t>
    </rPh>
    <phoneticPr fontId="6"/>
  </si>
  <si>
    <t>南港中４丁目</t>
    <rPh sb="0" eb="2">
      <t>ナンコウ</t>
    </rPh>
    <rPh sb="2" eb="3">
      <t>ナカ</t>
    </rPh>
    <rPh sb="4" eb="6">
      <t>チョウメ</t>
    </rPh>
    <phoneticPr fontId="6"/>
  </si>
  <si>
    <t>南港ポートタウン西駐車場</t>
    <rPh sb="9" eb="12">
      <t>チュウシャジョウ</t>
    </rPh>
    <phoneticPr fontId="6"/>
  </si>
  <si>
    <t>南港中７丁目</t>
    <rPh sb="0" eb="2">
      <t>ナンコウ</t>
    </rPh>
    <rPh sb="2" eb="3">
      <t>ナカ</t>
    </rPh>
    <rPh sb="4" eb="6">
      <t>チョウメ</t>
    </rPh>
    <phoneticPr fontId="6"/>
  </si>
  <si>
    <t>南港ポートタウン中ふ頭駐車場</t>
    <rPh sb="8" eb="9">
      <t>ナカ</t>
    </rPh>
    <rPh sb="10" eb="11">
      <t>トウ</t>
    </rPh>
    <rPh sb="11" eb="14">
      <t>チュウシャジョウ</t>
    </rPh>
    <phoneticPr fontId="6"/>
  </si>
  <si>
    <t>南港中６丁目</t>
    <rPh sb="0" eb="2">
      <t>ナンコウ</t>
    </rPh>
    <rPh sb="2" eb="3">
      <t>ナカ</t>
    </rPh>
    <rPh sb="4" eb="6">
      <t>チョウメ</t>
    </rPh>
    <phoneticPr fontId="6"/>
  </si>
  <si>
    <t>Ｂ－１号上屋外</t>
    <rPh sb="3" eb="4">
      <t>ゴウ</t>
    </rPh>
    <rPh sb="4" eb="6">
      <t>ウワヤ</t>
    </rPh>
    <rPh sb="6" eb="7">
      <t>ホカ</t>
    </rPh>
    <phoneticPr fontId="6"/>
  </si>
  <si>
    <t>Ｄ－１号上屋外</t>
    <rPh sb="3" eb="4">
      <t>ゴウ</t>
    </rPh>
    <rPh sb="4" eb="6">
      <t>ウワヤ</t>
    </rPh>
    <rPh sb="6" eb="7">
      <t>ホカ</t>
    </rPh>
    <phoneticPr fontId="6"/>
  </si>
  <si>
    <t>Ｅ－１号上屋外</t>
    <rPh sb="3" eb="4">
      <t>ゴウ</t>
    </rPh>
    <rPh sb="4" eb="6">
      <t>ウワヤ</t>
    </rPh>
    <rPh sb="6" eb="7">
      <t>ホカ</t>
    </rPh>
    <phoneticPr fontId="6"/>
  </si>
  <si>
    <t>南港南２丁目</t>
    <rPh sb="0" eb="3">
      <t>ナンコウミナミ</t>
    </rPh>
    <rPh sb="4" eb="6">
      <t>チョウメ</t>
    </rPh>
    <phoneticPr fontId="7"/>
  </si>
  <si>
    <t>Ｇ－１号上屋外</t>
    <rPh sb="3" eb="4">
      <t>ゴウ</t>
    </rPh>
    <rPh sb="4" eb="6">
      <t>ウワヤ</t>
    </rPh>
    <rPh sb="6" eb="7">
      <t>ホカ</t>
    </rPh>
    <phoneticPr fontId="6"/>
  </si>
  <si>
    <t>南港東４丁目</t>
    <rPh sb="0" eb="2">
      <t>ナンコウ</t>
    </rPh>
    <rPh sb="2" eb="3">
      <t>ヒガシ</t>
    </rPh>
    <rPh sb="4" eb="6">
      <t>チョウメ</t>
    </rPh>
    <phoneticPr fontId="7"/>
  </si>
  <si>
    <t>Ｉ－１号上屋外</t>
    <rPh sb="3" eb="4">
      <t>ゴウ</t>
    </rPh>
    <rPh sb="4" eb="6">
      <t>ウワヤ</t>
    </rPh>
    <rPh sb="6" eb="7">
      <t>ホカ</t>
    </rPh>
    <phoneticPr fontId="6"/>
  </si>
  <si>
    <t>南港東５丁目</t>
    <rPh sb="0" eb="2">
      <t>ナンコウ</t>
    </rPh>
    <rPh sb="2" eb="3">
      <t>ヒガシ</t>
    </rPh>
    <rPh sb="4" eb="6">
      <t>チョウメ</t>
    </rPh>
    <phoneticPr fontId="7"/>
  </si>
  <si>
    <t>Ｋ－１号上屋</t>
    <rPh sb="3" eb="4">
      <t>ゴウ</t>
    </rPh>
    <rPh sb="4" eb="6">
      <t>ウワヤ</t>
    </rPh>
    <phoneticPr fontId="6"/>
  </si>
  <si>
    <t>南港南７丁目</t>
    <rPh sb="0" eb="3">
      <t>ナンコウミナミ</t>
    </rPh>
    <rPh sb="4" eb="6">
      <t>チョウメ</t>
    </rPh>
    <phoneticPr fontId="7"/>
  </si>
  <si>
    <t>南港Ｃ－７電気室</t>
    <rPh sb="0" eb="2">
      <t>ナンコウ</t>
    </rPh>
    <rPh sb="5" eb="7">
      <t>デンキ</t>
    </rPh>
    <rPh sb="7" eb="8">
      <t>シツ</t>
    </rPh>
    <phoneticPr fontId="6"/>
  </si>
  <si>
    <t>南港中７丁目</t>
    <rPh sb="2" eb="3">
      <t>ナカ</t>
    </rPh>
    <phoneticPr fontId="6"/>
  </si>
  <si>
    <t>南港Ｄ地区荷さばき地３号附設事務所</t>
    <rPh sb="0" eb="2">
      <t>ナンコウ</t>
    </rPh>
    <rPh sb="3" eb="5">
      <t>チク</t>
    </rPh>
    <rPh sb="5" eb="6">
      <t>ニ</t>
    </rPh>
    <rPh sb="9" eb="10">
      <t>チ</t>
    </rPh>
    <rPh sb="11" eb="12">
      <t>ゴウ</t>
    </rPh>
    <rPh sb="12" eb="14">
      <t>フセツ</t>
    </rPh>
    <rPh sb="14" eb="16">
      <t>ジム</t>
    </rPh>
    <rPh sb="16" eb="17">
      <t>ショ</t>
    </rPh>
    <phoneticPr fontId="6"/>
  </si>
  <si>
    <t>南港南３丁目</t>
    <rPh sb="0" eb="2">
      <t>ナンコウ</t>
    </rPh>
    <rPh sb="2" eb="3">
      <t>ミナミ</t>
    </rPh>
    <phoneticPr fontId="6"/>
  </si>
  <si>
    <t>南港Ｒ地区荷さばき地３号第３附設事務所</t>
    <rPh sb="0" eb="2">
      <t>ナンコウ</t>
    </rPh>
    <rPh sb="3" eb="5">
      <t>チク</t>
    </rPh>
    <rPh sb="5" eb="6">
      <t>ニ</t>
    </rPh>
    <rPh sb="9" eb="10">
      <t>チ</t>
    </rPh>
    <rPh sb="12" eb="13">
      <t>ダイ</t>
    </rPh>
    <rPh sb="14" eb="16">
      <t>フセツ</t>
    </rPh>
    <rPh sb="16" eb="18">
      <t>ジム</t>
    </rPh>
    <rPh sb="18" eb="19">
      <t>ショ</t>
    </rPh>
    <phoneticPr fontId="6"/>
  </si>
  <si>
    <t>南港Ｒ地区荷さばき地３号第４附設事務所</t>
    <rPh sb="0" eb="2">
      <t>ナンコウ</t>
    </rPh>
    <rPh sb="3" eb="5">
      <t>チク</t>
    </rPh>
    <rPh sb="5" eb="6">
      <t>ニ</t>
    </rPh>
    <rPh sb="9" eb="10">
      <t>チ</t>
    </rPh>
    <rPh sb="12" eb="13">
      <t>ダイ</t>
    </rPh>
    <rPh sb="14" eb="16">
      <t>フセツ</t>
    </rPh>
    <rPh sb="16" eb="18">
      <t>ジム</t>
    </rPh>
    <rPh sb="18" eb="19">
      <t>ショ</t>
    </rPh>
    <phoneticPr fontId="6"/>
  </si>
  <si>
    <t>南港Ｒ地区荷さばき地４号附設事務所</t>
  </si>
  <si>
    <t>大正内港突堤地区荷さばき地１号・2号附設事務所</t>
  </si>
  <si>
    <t>南港Ｃ６荷さばき地２号附設事務所</t>
  </si>
  <si>
    <t>南港ポートタウン駐車場東-１</t>
  </si>
  <si>
    <t>愛田</t>
    <rPh sb="0" eb="2">
      <t>アイダ</t>
    </rPh>
    <phoneticPr fontId="4"/>
  </si>
  <si>
    <t>三重県伊賀市</t>
    <rPh sb="3" eb="6">
      <t>イガシ</t>
    </rPh>
    <phoneticPr fontId="4"/>
  </si>
  <si>
    <t>620701-10006</t>
    <phoneticPr fontId="5"/>
  </si>
  <si>
    <t>4‐1</t>
  </si>
  <si>
    <t>1704‐1</t>
  </si>
  <si>
    <t>1801‐1</t>
  </si>
  <si>
    <t>998‐1</t>
  </si>
  <si>
    <t>920‐1</t>
  </si>
  <si>
    <t>1629‐1</t>
  </si>
  <si>
    <t>996‐4</t>
    <phoneticPr fontId="5"/>
  </si>
  <si>
    <t>996‐2</t>
    <phoneticPr fontId="5"/>
  </si>
  <si>
    <t>966‐1/966‐2/966‐3</t>
    <phoneticPr fontId="5"/>
  </si>
  <si>
    <t>932‐11/932‐13</t>
    <phoneticPr fontId="5"/>
  </si>
  <si>
    <t>9‐1</t>
    <phoneticPr fontId="5"/>
  </si>
  <si>
    <t>88‐1</t>
    <phoneticPr fontId="5"/>
  </si>
  <si>
    <t>840‐1</t>
    <phoneticPr fontId="5"/>
  </si>
  <si>
    <t>838‐1/838‐3</t>
    <phoneticPr fontId="5"/>
  </si>
  <si>
    <t>824‐1</t>
    <phoneticPr fontId="5"/>
  </si>
  <si>
    <t>788‐1</t>
    <phoneticPr fontId="5"/>
  </si>
  <si>
    <t>786‐1</t>
    <phoneticPr fontId="5"/>
  </si>
  <si>
    <t>770‐1/770‐2</t>
    <phoneticPr fontId="5"/>
  </si>
  <si>
    <t>643‐1</t>
    <phoneticPr fontId="5"/>
  </si>
  <si>
    <t>49‐1</t>
    <phoneticPr fontId="5"/>
  </si>
  <si>
    <t>466‐1</t>
    <phoneticPr fontId="5"/>
  </si>
  <si>
    <t>415‐1</t>
    <phoneticPr fontId="5"/>
  </si>
  <si>
    <t>375‐1</t>
    <phoneticPr fontId="5"/>
  </si>
  <si>
    <t>293‐2</t>
    <phoneticPr fontId="5"/>
  </si>
  <si>
    <t>293‐1</t>
    <phoneticPr fontId="5"/>
  </si>
  <si>
    <t>292‐1</t>
    <phoneticPr fontId="5"/>
  </si>
  <si>
    <t>285‐1</t>
    <phoneticPr fontId="5"/>
  </si>
  <si>
    <t>245‐1</t>
    <phoneticPr fontId="5"/>
  </si>
  <si>
    <t>2083‐1/2083‐2</t>
    <phoneticPr fontId="5"/>
  </si>
  <si>
    <t>2070‐2</t>
    <phoneticPr fontId="5"/>
  </si>
  <si>
    <t>2032‐1</t>
    <phoneticPr fontId="5"/>
  </si>
  <si>
    <t>202‐1</t>
    <phoneticPr fontId="5"/>
  </si>
  <si>
    <t>1991‐1/1991‐2/1991‐3</t>
    <phoneticPr fontId="5"/>
  </si>
  <si>
    <t>1825‐1/1825‐2</t>
    <phoneticPr fontId="5"/>
  </si>
  <si>
    <t>1709‐1</t>
    <phoneticPr fontId="5"/>
  </si>
  <si>
    <t>1705‐1</t>
    <phoneticPr fontId="5"/>
  </si>
  <si>
    <t>1704‐2/1705‐2</t>
    <phoneticPr fontId="5"/>
  </si>
  <si>
    <t>1627‐1</t>
    <phoneticPr fontId="5"/>
  </si>
  <si>
    <t>1615‐1</t>
    <phoneticPr fontId="5"/>
  </si>
  <si>
    <t>1509‐1</t>
    <phoneticPr fontId="5"/>
  </si>
  <si>
    <t>1414‐1/1414‐2</t>
    <phoneticPr fontId="5"/>
  </si>
  <si>
    <t>1155‐2</t>
    <phoneticPr fontId="5"/>
  </si>
  <si>
    <t>1076‐1/1076‐4</t>
    <phoneticPr fontId="5"/>
  </si>
  <si>
    <t>1075‐1/1075‐2</t>
    <phoneticPr fontId="5"/>
  </si>
  <si>
    <t>1068‐2</t>
    <phoneticPr fontId="5"/>
  </si>
  <si>
    <t>1068‐1</t>
    <phoneticPr fontId="5"/>
  </si>
  <si>
    <t>10‐1</t>
    <phoneticPr fontId="5"/>
  </si>
  <si>
    <t>2092/2093/2120</t>
    <phoneticPr fontId="5"/>
  </si>
  <si>
    <t>2071/2072</t>
    <phoneticPr fontId="5"/>
  </si>
  <si>
    <t>1953/1954/2082</t>
    <phoneticPr fontId="5"/>
  </si>
  <si>
    <t>1821/2137/2138</t>
    <phoneticPr fontId="5"/>
  </si>
  <si>
    <t>1726/1727/1728/1924</t>
    <phoneticPr fontId="5"/>
  </si>
  <si>
    <t>1699/2143</t>
    <phoneticPr fontId="5"/>
  </si>
  <si>
    <t>1648/1652‐1/1652‐2/1652‐3/1891</t>
    <phoneticPr fontId="5"/>
  </si>
  <si>
    <t>1609/2084</t>
    <phoneticPr fontId="5"/>
  </si>
  <si>
    <t>1468/2134</t>
    <phoneticPr fontId="5"/>
  </si>
  <si>
    <t>415‐1/995‐1/1104‐1/1235‐1/1333‐1/1404/1483/1557/1620/1715/1811/1902/1956</t>
    <phoneticPr fontId="5"/>
  </si>
  <si>
    <t>415‐1/995‐1/1235‐1/1333‐1/1404/1483</t>
    <phoneticPr fontId="5"/>
  </si>
  <si>
    <t>1225‐1/1319/1549‐1</t>
    <phoneticPr fontId="5"/>
  </si>
  <si>
    <t>1275/1662/1663/1664/2037/2038</t>
    <phoneticPr fontId="5"/>
  </si>
  <si>
    <t>990/2122/2123‐1/2123‐2/2124/2125</t>
    <phoneticPr fontId="5"/>
  </si>
  <si>
    <t>27/951/1178</t>
    <phoneticPr fontId="5"/>
  </si>
  <si>
    <t>828/829</t>
    <phoneticPr fontId="5"/>
  </si>
  <si>
    <t>808/1266</t>
    <phoneticPr fontId="5"/>
  </si>
  <si>
    <t>805/816</t>
    <phoneticPr fontId="5"/>
  </si>
  <si>
    <t>764‐1/776</t>
    <phoneticPr fontId="5"/>
  </si>
  <si>
    <t>694/695</t>
    <phoneticPr fontId="5"/>
  </si>
  <si>
    <t>614/616/633/644/928/1011</t>
    <phoneticPr fontId="5"/>
  </si>
  <si>
    <t>562/563/569/572/573/575/576/577/578/579/580/581/582/583/584/585/586/588/589/590/591/592/595/596/</t>
    <phoneticPr fontId="5"/>
  </si>
  <si>
    <t>499/500/501/505/506/507/508/509/510/511/512/513/514/515/516/517/518/519‐1/521/522/523/524/525</t>
    <phoneticPr fontId="5"/>
  </si>
  <si>
    <t>477/481</t>
    <phoneticPr fontId="5"/>
  </si>
  <si>
    <t>414/2034</t>
    <phoneticPr fontId="5"/>
  </si>
  <si>
    <t>402/403/404</t>
    <phoneticPr fontId="5"/>
  </si>
  <si>
    <t>388/389‐1/390‐1</t>
    <phoneticPr fontId="5"/>
  </si>
  <si>
    <t>346-1/347/350/2100</t>
    <phoneticPr fontId="5"/>
  </si>
  <si>
    <t>338/339/341/343</t>
    <phoneticPr fontId="5"/>
  </si>
  <si>
    <t>203/204/1310</t>
    <phoneticPr fontId="5"/>
  </si>
  <si>
    <t>392/393/394</t>
    <phoneticPr fontId="5"/>
  </si>
  <si>
    <t>446/997</t>
    <phoneticPr fontId="5"/>
  </si>
  <si>
    <t>483/484</t>
    <phoneticPr fontId="5"/>
  </si>
  <si>
    <t>698/1887</t>
    <phoneticPr fontId="5"/>
  </si>
  <si>
    <t>395/1481</t>
    <phoneticPr fontId="5"/>
  </si>
  <si>
    <t>1565/1566/2087</t>
    <phoneticPr fontId="5"/>
  </si>
  <si>
    <t>1666/1667/1672/1673/1677/1678/1679/1680/1681/1682/1686/1922/1962-1/1963/2035/2142</t>
    <phoneticPr fontId="5"/>
  </si>
  <si>
    <t>1484-1/1718/2027</t>
    <phoneticPr fontId="5"/>
  </si>
  <si>
    <t>1484-1/1718</t>
    <phoneticPr fontId="5"/>
  </si>
  <si>
    <t>1909/2129/2130</t>
    <phoneticPr fontId="5"/>
  </si>
  <si>
    <t>155/2021/2099</t>
    <phoneticPr fontId="5"/>
  </si>
  <si>
    <t>○</t>
    <phoneticPr fontId="5"/>
  </si>
  <si>
    <t>602/604</t>
    <phoneticPr fontId="5"/>
  </si>
  <si>
    <t>792‐1</t>
    <phoneticPr fontId="5"/>
  </si>
  <si>
    <t>744‐1/1019‐1/2121</t>
    <phoneticPr fontId="5"/>
  </si>
  <si>
    <t>807‐1/1022‐1/1023/1024/1746‐1/1920‐1/2094‐1</t>
    <phoneticPr fontId="5"/>
  </si>
  <si>
    <t>もと波除老人憩の家</t>
    <phoneticPr fontId="5"/>
  </si>
  <si>
    <t>もと港区民センター</t>
    <phoneticPr fontId="5"/>
  </si>
  <si>
    <t>1729/1731</t>
    <phoneticPr fontId="5"/>
  </si>
  <si>
    <t>1354/1419/1630</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</si>
</sst>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游ゴシック"/>
      <family val="2"/>
      <scheme val="minor"/>
    </font>
    <font>
      <sz val="6"/>
      <name val="游ゴシック"/>
      <family val="2"/>
      <charset val="128"/>
      <scheme val="minor"/>
    </font>
    <font>
      <sz val="9"/>
      <name val="ＭＳ Ｐゴシック"/>
      <family val="3"/>
      <charset val="128"/>
    </font>
    <font>
      <sz val="18"/>
      <name val="HGP創英角ｺﾞｼｯｸUB"/>
      <family val="3"/>
      <charset val="128"/>
    </font>
    <font>
      <sz val="14"/>
      <name val="HGP創英角ｺﾞｼｯｸUB"/>
      <family val="3"/>
      <charset val="128"/>
    </font>
    <font>
      <sz val="10"/>
      <name val="ＭＳ Ｐゴシック"/>
      <family val="3"/>
      <charset val="128"/>
    </font>
    <font>
      <sz val="11"/>
      <color theme="1"/>
      <name val="游ゴシック"/>
      <family val="2"/>
      <charset val="128"/>
      <scheme val="minor"/>
    </font>
    <font>
      <sz val="11"/>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8">
    <xf numFmtId="0" fontId="0" fillId="0" borderId="0"/>
    <xf numFmtId="38" fontId="4" fillId="0" borderId="0" applyFont="0" applyFill="0" applyBorder="0" applyAlignment="0" applyProtection="0">
      <alignment vertical="center"/>
    </xf>
    <xf numFmtId="0" fontId="12" fillId="0" borderId="0">
      <alignment vertical="center"/>
    </xf>
    <xf numFmtId="38" fontId="13" fillId="0" borderId="0" applyFont="0" applyFill="0" applyBorder="0" applyAlignment="0" applyProtection="0"/>
    <xf numFmtId="0" fontId="13" fillId="0" borderId="0"/>
    <xf numFmtId="0" fontId="2" fillId="0" borderId="0">
      <alignment vertical="center"/>
    </xf>
    <xf numFmtId="38" fontId="13" fillId="0" borderId="0" applyFont="0" applyFill="0" applyBorder="0" applyAlignment="0" applyProtection="0">
      <alignment vertical="center"/>
    </xf>
    <xf numFmtId="0" fontId="1" fillId="0" borderId="0">
      <alignment vertical="center"/>
    </xf>
  </cellStyleXfs>
  <cellXfs count="23">
    <xf numFmtId="0" fontId="0" fillId="0" borderId="0" xfId="0"/>
    <xf numFmtId="40" fontId="8" fillId="0" borderId="2" xfId="1" applyNumberFormat="1" applyFont="1" applyFill="1" applyBorder="1" applyAlignment="1">
      <alignment vertical="center"/>
    </xf>
    <xf numFmtId="0" fontId="8" fillId="0" borderId="2" xfId="1" applyNumberFormat="1" applyFont="1" applyFill="1" applyBorder="1" applyAlignment="1">
      <alignment horizontal="left" vertical="center"/>
    </xf>
    <xf numFmtId="40" fontId="8" fillId="0" borderId="2" xfId="1" applyNumberFormat="1" applyFont="1" applyFill="1" applyBorder="1" applyAlignment="1">
      <alignment horizontal="center" vertical="center"/>
    </xf>
    <xf numFmtId="0" fontId="6" fillId="0" borderId="0" xfId="0" applyFont="1" applyAlignment="1">
      <alignment vertical="center"/>
    </xf>
    <xf numFmtId="40" fontId="6" fillId="0" borderId="0" xfId="1" applyNumberFormat="1" applyFont="1" applyFill="1" applyAlignment="1">
      <alignment vertical="center"/>
    </xf>
    <xf numFmtId="0" fontId="6" fillId="0" borderId="0" xfId="1" applyNumberFormat="1" applyFont="1" applyFill="1" applyAlignment="1">
      <alignment horizontal="left" vertical="center"/>
    </xf>
    <xf numFmtId="0" fontId="10"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left" vertical="center"/>
    </xf>
    <xf numFmtId="0" fontId="11" fillId="0" borderId="0" xfId="0" applyFont="1" applyAlignment="1">
      <alignment horizontal="center" vertical="center"/>
    </xf>
    <xf numFmtId="0" fontId="6" fillId="0" borderId="2" xfId="1" applyNumberFormat="1" applyFont="1" applyFill="1" applyBorder="1" applyAlignment="1">
      <alignment horizontal="left" vertical="center"/>
    </xf>
    <xf numFmtId="176" fontId="8" fillId="0" borderId="2" xfId="2" applyNumberFormat="1" applyFont="1" applyFill="1" applyBorder="1">
      <alignment vertical="center"/>
    </xf>
    <xf numFmtId="0" fontId="8" fillId="0" borderId="2" xfId="2" applyFont="1" applyFill="1" applyBorder="1">
      <alignment vertical="center"/>
    </xf>
    <xf numFmtId="0" fontId="8" fillId="0" borderId="2" xfId="0" applyFont="1" applyFill="1" applyBorder="1" applyAlignment="1">
      <alignment vertical="center"/>
    </xf>
    <xf numFmtId="0" fontId="14" fillId="0" borderId="2" xfId="1" applyNumberFormat="1" applyFont="1" applyFill="1" applyBorder="1" applyAlignment="1">
      <alignment horizontal="left" vertical="center" wrapText="1"/>
    </xf>
    <xf numFmtId="0" fontId="8" fillId="0" borderId="2" xfId="0" applyFont="1" applyFill="1" applyBorder="1" applyAlignment="1">
      <alignment vertical="center" shrinkToFit="1"/>
    </xf>
    <xf numFmtId="0" fontId="11" fillId="2" borderId="2" xfId="0" applyFont="1" applyFill="1" applyBorder="1" applyAlignment="1">
      <alignment horizontal="center" vertical="center" wrapText="1"/>
    </xf>
    <xf numFmtId="0" fontId="6" fillId="0" borderId="2" xfId="0" applyFont="1" applyFill="1" applyBorder="1" applyAlignment="1">
      <alignment vertical="center"/>
    </xf>
    <xf numFmtId="0" fontId="9" fillId="0" borderId="0" xfId="0" applyFont="1" applyAlignment="1">
      <alignment horizontal="center"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cellXfs>
  <cellStyles count="8">
    <cellStyle name="桁区切り" xfId="1" builtinId="6"/>
    <cellStyle name="桁区切り 2" xfId="3" xr:uid="{5D7A0BFA-A960-45C4-B9E0-E68E2056CA92}"/>
    <cellStyle name="桁区切り 3" xfId="6" xr:uid="{4DA9EA84-6365-47FA-A54A-5D26602BA64F}"/>
    <cellStyle name="標準" xfId="0" builtinId="0"/>
    <cellStyle name="標準 2" xfId="2" xr:uid="{00000000-0005-0000-0000-000002000000}"/>
    <cellStyle name="標準 2 2" xfId="5" xr:uid="{332A3929-EB98-4A15-86C2-969507ABCE1B}"/>
    <cellStyle name="標準 2 3" xfId="7" xr:uid="{FEB3D6BD-E84E-45BF-9C82-20A8A6705366}"/>
    <cellStyle name="標準 3" xfId="4" xr:uid="{DCAD1CDB-4B2A-47DD-A5F3-4DCCABC8B0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EAC1A-4593-4DDB-AA77-DB9467C9BAEB}">
  <sheetPr>
    <pageSetUpPr fitToPage="1"/>
  </sheetPr>
  <dimension ref="A1:I5599"/>
  <sheetViews>
    <sheetView tabSelected="1" zoomScale="85" zoomScaleNormal="85" zoomScaleSheetLayoutView="85" workbookViewId="0">
      <pane ySplit="4" topLeftCell="A5" activePane="bottomLeft" state="frozen"/>
      <selection pane="bottomLeft" sqref="A1:I1"/>
    </sheetView>
  </sheetViews>
  <sheetFormatPr defaultColWidth="9" defaultRowHeight="18.75" x14ac:dyDescent="0.4"/>
  <cols>
    <col min="1" max="1" width="13.25" style="4" customWidth="1"/>
    <col min="2" max="2" width="52" style="4" customWidth="1"/>
    <col min="3" max="3" width="12.25" style="4" bestFit="1" customWidth="1"/>
    <col min="4" max="4" width="17.25" style="4" bestFit="1" customWidth="1"/>
    <col min="5" max="5" width="10.625" style="5" customWidth="1"/>
    <col min="6" max="6" width="35.75" style="6" customWidth="1"/>
    <col min="7" max="7" width="10.625" style="5" customWidth="1"/>
    <col min="8" max="8" width="12.125" style="5" customWidth="1"/>
    <col min="9" max="9" width="15.875" style="4" customWidth="1"/>
    <col min="10" max="16384" width="9" style="4"/>
  </cols>
  <sheetData>
    <row r="1" spans="1:9" ht="31.5" customHeight="1" x14ac:dyDescent="0.4">
      <c r="A1" s="19" t="s">
        <v>1592</v>
      </c>
      <c r="B1" s="19"/>
      <c r="C1" s="19"/>
      <c r="D1" s="19"/>
      <c r="E1" s="19"/>
      <c r="F1" s="19"/>
      <c r="G1" s="19"/>
      <c r="H1" s="19"/>
      <c r="I1" s="19"/>
    </row>
    <row r="2" spans="1:9" ht="24.75" customHeight="1" x14ac:dyDescent="0.4">
      <c r="A2" s="7" t="s">
        <v>1533</v>
      </c>
      <c r="B2" s="8"/>
      <c r="E2" s="4"/>
      <c r="F2" s="9"/>
      <c r="G2" s="4"/>
      <c r="H2" s="4"/>
    </row>
    <row r="3" spans="1:9" s="10" customFormat="1" ht="13.5" customHeight="1" x14ac:dyDescent="0.4">
      <c r="A3" s="20" t="s">
        <v>1590</v>
      </c>
      <c r="B3" s="20" t="s">
        <v>1591</v>
      </c>
      <c r="C3" s="20" t="s">
        <v>1534</v>
      </c>
      <c r="D3" s="20" t="s">
        <v>1535</v>
      </c>
      <c r="E3" s="22" t="s">
        <v>1536</v>
      </c>
      <c r="F3" s="22"/>
      <c r="G3" s="22" t="s">
        <v>1537</v>
      </c>
      <c r="H3" s="22"/>
      <c r="I3" s="20" t="s">
        <v>1538</v>
      </c>
    </row>
    <row r="4" spans="1:9" s="10" customFormat="1" ht="24" customHeight="1" x14ac:dyDescent="0.4">
      <c r="A4" s="21"/>
      <c r="B4" s="21"/>
      <c r="C4" s="21"/>
      <c r="D4" s="21"/>
      <c r="E4" s="17" t="s">
        <v>1539</v>
      </c>
      <c r="F4" s="17" t="s">
        <v>1540</v>
      </c>
      <c r="G4" s="17" t="s">
        <v>1541</v>
      </c>
      <c r="H4" s="17" t="s">
        <v>1542</v>
      </c>
      <c r="I4" s="21"/>
    </row>
    <row r="5" spans="1:9" ht="18.75" customHeight="1" x14ac:dyDescent="0.4">
      <c r="A5" s="14" t="s">
        <v>1770</v>
      </c>
      <c r="B5" s="16" t="str">
        <f>TRIM("シルバー人材センター北部支部")</f>
        <v>シルバー人材センター北部支部</v>
      </c>
      <c r="C5" s="14" t="s">
        <v>1509</v>
      </c>
      <c r="D5" s="14" t="s">
        <v>446</v>
      </c>
      <c r="E5" s="1"/>
      <c r="F5" s="2"/>
      <c r="G5" s="1">
        <v>302.88</v>
      </c>
      <c r="H5" s="3"/>
      <c r="I5" s="14" t="s">
        <v>1654</v>
      </c>
    </row>
    <row r="6" spans="1:9" ht="18.75" customHeight="1" x14ac:dyDescent="0.4">
      <c r="A6" s="14" t="s">
        <v>1798</v>
      </c>
      <c r="B6" s="16" t="str">
        <f>TRIM("菅北福祉会館老人憩の家")</f>
        <v>菅北福祉会館老人憩の家</v>
      </c>
      <c r="C6" s="14" t="s">
        <v>1509</v>
      </c>
      <c r="D6" s="14" t="s">
        <v>446</v>
      </c>
      <c r="E6" s="1">
        <v>302.10000000000002</v>
      </c>
      <c r="F6" s="2"/>
      <c r="G6" s="1"/>
      <c r="H6" s="3"/>
      <c r="I6" s="14" t="s">
        <v>1654</v>
      </c>
    </row>
    <row r="7" spans="1:9" ht="18.75" customHeight="1" x14ac:dyDescent="0.4">
      <c r="A7" s="14" t="s">
        <v>4339</v>
      </c>
      <c r="B7" s="16" t="str">
        <f>TRIM("菅北集会所")</f>
        <v>菅北集会所</v>
      </c>
      <c r="C7" s="14" t="s">
        <v>1509</v>
      </c>
      <c r="D7" s="14" t="s">
        <v>446</v>
      </c>
      <c r="E7" s="1"/>
      <c r="F7" s="2"/>
      <c r="G7" s="1">
        <v>134.29</v>
      </c>
      <c r="H7" s="3"/>
      <c r="I7" s="14" t="s">
        <v>2067</v>
      </c>
    </row>
    <row r="8" spans="1:9" ht="18.75" customHeight="1" x14ac:dyDescent="0.4">
      <c r="A8" s="14" t="s">
        <v>4351</v>
      </c>
      <c r="B8" s="16" t="str">
        <f>TRIM("菅北集会所（もと菅北福祉会館老人憩の家）")</f>
        <v>菅北集会所（もと菅北福祉会館老人憩の家）</v>
      </c>
      <c r="C8" s="14" t="s">
        <v>1509</v>
      </c>
      <c r="D8" s="14" t="s">
        <v>446</v>
      </c>
      <c r="E8" s="1">
        <v>133.15</v>
      </c>
      <c r="F8" s="2"/>
      <c r="G8" s="1">
        <v>133.49</v>
      </c>
      <c r="H8" s="3"/>
      <c r="I8" s="14" t="s">
        <v>2067</v>
      </c>
    </row>
    <row r="9" spans="1:9" ht="18.75" customHeight="1" x14ac:dyDescent="0.4">
      <c r="A9" s="14" t="s">
        <v>3252</v>
      </c>
      <c r="B9" s="16" t="str">
        <f>TRIM("　浮田公園")</f>
        <v>浮田公園</v>
      </c>
      <c r="C9" s="14" t="s">
        <v>1509</v>
      </c>
      <c r="D9" s="14" t="s">
        <v>487</v>
      </c>
      <c r="E9" s="1">
        <v>847.54</v>
      </c>
      <c r="F9" s="2"/>
      <c r="G9" s="1"/>
      <c r="H9" s="3"/>
      <c r="I9" s="14" t="s">
        <v>2177</v>
      </c>
    </row>
    <row r="10" spans="1:9" ht="18.75" customHeight="1" x14ac:dyDescent="0.4">
      <c r="A10" s="14" t="s">
        <v>5323</v>
      </c>
      <c r="B10" s="16" t="str">
        <f>TRIM("北消防署浮田出張所")</f>
        <v>北消防署浮田出張所</v>
      </c>
      <c r="C10" s="14" t="s">
        <v>1509</v>
      </c>
      <c r="D10" s="14" t="s">
        <v>487</v>
      </c>
      <c r="E10" s="1">
        <v>353.08</v>
      </c>
      <c r="F10" s="2"/>
      <c r="G10" s="1">
        <v>224.78</v>
      </c>
      <c r="H10" s="3"/>
      <c r="I10" s="14" t="s">
        <v>5219</v>
      </c>
    </row>
    <row r="11" spans="1:9" ht="18.75" customHeight="1" x14ac:dyDescent="0.4">
      <c r="A11" s="14" t="s">
        <v>5651</v>
      </c>
      <c r="B11" s="16" t="str">
        <f>TRIM("浮田児童遊園")</f>
        <v>浮田児童遊園</v>
      </c>
      <c r="C11" s="14" t="s">
        <v>1509</v>
      </c>
      <c r="D11" s="14" t="s">
        <v>487</v>
      </c>
      <c r="E11" s="1">
        <v>259.74</v>
      </c>
      <c r="F11" s="2"/>
      <c r="G11" s="1"/>
      <c r="H11" s="3"/>
      <c r="I11" s="14" t="s">
        <v>5617</v>
      </c>
    </row>
    <row r="12" spans="1:9" ht="18.75" customHeight="1" x14ac:dyDescent="0.4">
      <c r="A12" s="14" t="s">
        <v>1629</v>
      </c>
      <c r="B12" s="16" t="str">
        <f>TRIM(" 市税事務所（梅田）")</f>
        <v>市税事務所（梅田）</v>
      </c>
      <c r="C12" s="14" t="s">
        <v>1509</v>
      </c>
      <c r="D12" s="14" t="s">
        <v>0</v>
      </c>
      <c r="E12" s="1"/>
      <c r="F12" s="2"/>
      <c r="G12" s="1">
        <v>2770.6</v>
      </c>
      <c r="H12" s="3"/>
      <c r="I12" s="14" t="s">
        <v>1628</v>
      </c>
    </row>
    <row r="13" spans="1:9" ht="18.75" customHeight="1" x14ac:dyDescent="0.4">
      <c r="A13" s="14" t="s">
        <v>1630</v>
      </c>
      <c r="B13" s="16" t="str">
        <f>TRIM("市税事務所（梅田）")</f>
        <v>市税事務所（梅田）</v>
      </c>
      <c r="C13" s="14" t="s">
        <v>1509</v>
      </c>
      <c r="D13" s="14" t="s">
        <v>0</v>
      </c>
      <c r="E13" s="1">
        <v>275.81</v>
      </c>
      <c r="F13" s="2"/>
      <c r="G13" s="1"/>
      <c r="H13" s="3"/>
      <c r="I13" s="14" t="s">
        <v>1628</v>
      </c>
    </row>
    <row r="14" spans="1:9" ht="18.75" customHeight="1" x14ac:dyDescent="0.4">
      <c r="A14" s="14" t="s">
        <v>1631</v>
      </c>
      <c r="B14" s="16" t="str">
        <f>TRIM("税務部分室")</f>
        <v>税務部分室</v>
      </c>
      <c r="C14" s="14" t="s">
        <v>1509</v>
      </c>
      <c r="D14" s="14" t="s">
        <v>0</v>
      </c>
      <c r="E14" s="1">
        <v>50.39</v>
      </c>
      <c r="F14" s="2"/>
      <c r="G14" s="1">
        <v>447.73</v>
      </c>
      <c r="H14" s="3"/>
      <c r="I14" s="14" t="s">
        <v>1628</v>
      </c>
    </row>
    <row r="15" spans="1:9" ht="18.75" customHeight="1" x14ac:dyDescent="0.4">
      <c r="A15" s="14" t="s">
        <v>2394</v>
      </c>
      <c r="B15" s="16" t="str">
        <f>TRIM("大阪駅前地下駐車場")</f>
        <v>大阪駅前地下駐車場</v>
      </c>
      <c r="C15" s="14" t="s">
        <v>1509</v>
      </c>
      <c r="D15" s="14" t="s">
        <v>0</v>
      </c>
      <c r="E15" s="1"/>
      <c r="F15" s="2"/>
      <c r="G15" s="1">
        <v>13100</v>
      </c>
      <c r="H15" s="3"/>
      <c r="I15" s="14" t="s">
        <v>2177</v>
      </c>
    </row>
    <row r="16" spans="1:9" ht="18.75" customHeight="1" x14ac:dyDescent="0.4">
      <c r="A16" s="14" t="s">
        <v>5180</v>
      </c>
      <c r="B16" s="16" t="str">
        <f>TRIM("総合生涯学習センター")</f>
        <v>総合生涯学習センター</v>
      </c>
      <c r="C16" s="14" t="s">
        <v>1509</v>
      </c>
      <c r="D16" s="14" t="s">
        <v>0</v>
      </c>
      <c r="E16" s="1">
        <v>348.51</v>
      </c>
      <c r="F16" s="2"/>
      <c r="G16" s="1">
        <v>3102.99</v>
      </c>
      <c r="H16" s="3"/>
      <c r="I16" s="14" t="s">
        <v>4689</v>
      </c>
    </row>
    <row r="17" spans="1:9" ht="18.75" customHeight="1" x14ac:dyDescent="0.4">
      <c r="A17" s="14" t="s">
        <v>5322</v>
      </c>
      <c r="B17" s="16" t="str">
        <f>TRIM("北消防署梅田出張所")</f>
        <v>北消防署梅田出張所</v>
      </c>
      <c r="C17" s="14" t="s">
        <v>1509</v>
      </c>
      <c r="D17" s="14" t="s">
        <v>0</v>
      </c>
      <c r="E17" s="1">
        <v>83.81</v>
      </c>
      <c r="F17" s="2"/>
      <c r="G17" s="1">
        <v>262.56</v>
      </c>
      <c r="H17" s="3"/>
      <c r="I17" s="14" t="s">
        <v>5219</v>
      </c>
    </row>
    <row r="18" spans="1:9" ht="18.75" customHeight="1" x14ac:dyDescent="0.4">
      <c r="A18" s="14" t="s">
        <v>5606</v>
      </c>
      <c r="B18" s="16" t="str">
        <f>TRIM("もと軌道敷（福島曽根崎線）")</f>
        <v>もと軌道敷（福島曽根崎線）</v>
      </c>
      <c r="C18" s="14" t="s">
        <v>1509</v>
      </c>
      <c r="D18" s="14" t="s">
        <v>0</v>
      </c>
      <c r="E18" s="1">
        <v>34540.730000000003</v>
      </c>
      <c r="F18" s="2"/>
      <c r="G18" s="1"/>
      <c r="H18" s="3"/>
      <c r="I18" s="14" t="s">
        <v>5349</v>
      </c>
    </row>
    <row r="19" spans="1:9" ht="18.75" customHeight="1" x14ac:dyDescent="0.4">
      <c r="A19" s="14" t="s">
        <v>5627</v>
      </c>
      <c r="B19" s="16" t="str">
        <f>TRIM("若者自立支援事業事務室")</f>
        <v>若者自立支援事業事務室</v>
      </c>
      <c r="C19" s="14" t="s">
        <v>1509</v>
      </c>
      <c r="D19" s="14" t="s">
        <v>0</v>
      </c>
      <c r="E19" s="1">
        <v>16.62</v>
      </c>
      <c r="F19" s="2"/>
      <c r="G19" s="1">
        <v>148.53</v>
      </c>
      <c r="H19" s="3"/>
      <c r="I19" s="14" t="s">
        <v>5617</v>
      </c>
    </row>
    <row r="20" spans="1:9" ht="18.75" customHeight="1" x14ac:dyDescent="0.4">
      <c r="A20" s="14" t="s">
        <v>6268</v>
      </c>
      <c r="B20" s="16" t="str">
        <f>TRIM("梅田住宅管理センター")</f>
        <v>梅田住宅管理センター</v>
      </c>
      <c r="C20" s="14" t="s">
        <v>1509</v>
      </c>
      <c r="D20" s="14" t="s">
        <v>0</v>
      </c>
      <c r="E20" s="1">
        <v>59.51</v>
      </c>
      <c r="F20" s="2"/>
      <c r="G20" s="1">
        <v>529.05999999999995</v>
      </c>
      <c r="H20" s="3"/>
      <c r="I20" s="14" t="s">
        <v>6177</v>
      </c>
    </row>
    <row r="21" spans="1:9" ht="18.75" customHeight="1" x14ac:dyDescent="0.4">
      <c r="A21" s="14" t="s">
        <v>6269</v>
      </c>
      <c r="B21" s="16" t="str">
        <f>TRIM("都市整備局分室")</f>
        <v>都市整備局分室</v>
      </c>
      <c r="C21" s="14" t="s">
        <v>1509</v>
      </c>
      <c r="D21" s="14" t="s">
        <v>0</v>
      </c>
      <c r="E21" s="1">
        <v>21.54</v>
      </c>
      <c r="F21" s="2"/>
      <c r="G21" s="1">
        <v>265.3</v>
      </c>
      <c r="H21" s="3"/>
      <c r="I21" s="14" t="s">
        <v>6177</v>
      </c>
    </row>
    <row r="22" spans="1:9" ht="18.75" customHeight="1" x14ac:dyDescent="0.4">
      <c r="A22" s="14" t="s">
        <v>6806</v>
      </c>
      <c r="B22" s="16" t="str">
        <f>TRIM("もと都市整備局倉庫")</f>
        <v>もと都市整備局倉庫</v>
      </c>
      <c r="C22" s="14" t="s">
        <v>1509</v>
      </c>
      <c r="D22" s="14" t="s">
        <v>0</v>
      </c>
      <c r="E22" s="1">
        <v>14.07</v>
      </c>
      <c r="F22" s="2"/>
      <c r="G22" s="1">
        <v>347.22</v>
      </c>
      <c r="H22" s="3" t="s">
        <v>7353</v>
      </c>
      <c r="I22" s="14" t="s">
        <v>6177</v>
      </c>
    </row>
    <row r="23" spans="1:9" ht="18.75" customHeight="1" x14ac:dyDescent="0.4">
      <c r="A23" s="14" t="s">
        <v>6905</v>
      </c>
      <c r="B23" s="16" t="str">
        <f>TRIM("大阪駅前第2ビル内事務所")</f>
        <v>大阪駅前第2ビル内事務所</v>
      </c>
      <c r="C23" s="14" t="s">
        <v>1509</v>
      </c>
      <c r="D23" s="14" t="s">
        <v>0</v>
      </c>
      <c r="E23" s="1">
        <v>8.93</v>
      </c>
      <c r="F23" s="2"/>
      <c r="G23" s="1">
        <v>74.790000000000006</v>
      </c>
      <c r="H23" s="3"/>
      <c r="I23" s="14" t="s">
        <v>6177</v>
      </c>
    </row>
    <row r="24" spans="1:9" ht="18.75" customHeight="1" x14ac:dyDescent="0.4">
      <c r="A24" s="14" t="s">
        <v>6906</v>
      </c>
      <c r="B24" s="16" t="str">
        <f>TRIM("大阪駅前第3ビル内事務所")</f>
        <v>大阪駅前第3ビル内事務所</v>
      </c>
      <c r="C24" s="14" t="s">
        <v>1509</v>
      </c>
      <c r="D24" s="14" t="s">
        <v>0</v>
      </c>
      <c r="E24" s="1">
        <v>4.26</v>
      </c>
      <c r="F24" s="2"/>
      <c r="G24" s="1">
        <v>51.2</v>
      </c>
      <c r="H24" s="3"/>
      <c r="I24" s="14" t="s">
        <v>6177</v>
      </c>
    </row>
    <row r="25" spans="1:9" ht="18.75" customHeight="1" x14ac:dyDescent="0.4">
      <c r="A25" s="14" t="s">
        <v>6907</v>
      </c>
      <c r="B25" s="16" t="str">
        <f>TRIM("大阪駅前第3ビル内駐車場21区画")</f>
        <v>大阪駅前第3ビル内駐車場21区画</v>
      </c>
      <c r="C25" s="14" t="s">
        <v>1509</v>
      </c>
      <c r="D25" s="14" t="s">
        <v>0</v>
      </c>
      <c r="E25" s="1">
        <v>110.03</v>
      </c>
      <c r="F25" s="2"/>
      <c r="G25" s="1">
        <v>2456.66</v>
      </c>
      <c r="H25" s="3"/>
      <c r="I25" s="14" t="s">
        <v>6177</v>
      </c>
    </row>
    <row r="26" spans="1:9" ht="18.75" customHeight="1" x14ac:dyDescent="0.4">
      <c r="A26" s="14" t="s">
        <v>6908</v>
      </c>
      <c r="B26" s="16" t="str">
        <f>TRIM("大阪駅前第3ビル内駐車場15区画")</f>
        <v>大阪駅前第3ビル内駐車場15区画</v>
      </c>
      <c r="C26" s="14" t="s">
        <v>1509</v>
      </c>
      <c r="D26" s="14" t="s">
        <v>0</v>
      </c>
      <c r="E26" s="1">
        <v>63.9</v>
      </c>
      <c r="F26" s="2"/>
      <c r="G26" s="1">
        <v>1260.51</v>
      </c>
      <c r="H26" s="3"/>
      <c r="I26" s="14" t="s">
        <v>6177</v>
      </c>
    </row>
    <row r="27" spans="1:9" ht="18.75" customHeight="1" x14ac:dyDescent="0.4">
      <c r="A27" s="14" t="s">
        <v>6909</v>
      </c>
      <c r="B27" s="16" t="str">
        <f>TRIM("大阪駅前第3ビル内詰所等22区画")</f>
        <v>大阪駅前第3ビル内詰所等22区画</v>
      </c>
      <c r="C27" s="14" t="s">
        <v>1509</v>
      </c>
      <c r="D27" s="14" t="s">
        <v>0</v>
      </c>
      <c r="E27" s="1">
        <v>14.25</v>
      </c>
      <c r="F27" s="2"/>
      <c r="G27" s="1">
        <v>368.2</v>
      </c>
      <c r="H27" s="3"/>
      <c r="I27" s="14" t="s">
        <v>6177</v>
      </c>
    </row>
    <row r="28" spans="1:9" ht="18.75" customHeight="1" x14ac:dyDescent="0.4">
      <c r="A28" s="14" t="s">
        <v>6910</v>
      </c>
      <c r="B28" s="16" t="str">
        <f>TRIM("大阪駅前第4ビル内駐車場13区画")</f>
        <v>大阪駅前第4ビル内駐車場13区画</v>
      </c>
      <c r="C28" s="14" t="s">
        <v>1509</v>
      </c>
      <c r="D28" s="14" t="s">
        <v>0</v>
      </c>
      <c r="E28" s="1">
        <v>157.41</v>
      </c>
      <c r="F28" s="2"/>
      <c r="G28" s="1">
        <v>1464.56</v>
      </c>
      <c r="H28" s="3"/>
      <c r="I28" s="14" t="s">
        <v>6177</v>
      </c>
    </row>
    <row r="29" spans="1:9" ht="18.75" customHeight="1" x14ac:dyDescent="0.4">
      <c r="A29" s="14" t="s">
        <v>6911</v>
      </c>
      <c r="B29" s="16" t="str">
        <f>TRIM("大阪駅前第4ビル内駐車場7区画")</f>
        <v>大阪駅前第4ビル内駐車場7区画</v>
      </c>
      <c r="C29" s="14" t="s">
        <v>1509</v>
      </c>
      <c r="D29" s="14" t="s">
        <v>0</v>
      </c>
      <c r="E29" s="1">
        <v>104.84</v>
      </c>
      <c r="F29" s="2"/>
      <c r="G29" s="1">
        <v>976.2</v>
      </c>
      <c r="H29" s="3"/>
      <c r="I29" s="14" t="s">
        <v>6177</v>
      </c>
    </row>
    <row r="30" spans="1:9" ht="18.75" customHeight="1" x14ac:dyDescent="0.4">
      <c r="A30" s="14" t="s">
        <v>6912</v>
      </c>
      <c r="B30" s="16" t="str">
        <f>TRIM("大阪駅前第4ビル内詰所等24区画")</f>
        <v>大阪駅前第4ビル内詰所等24区画</v>
      </c>
      <c r="C30" s="14" t="s">
        <v>1509</v>
      </c>
      <c r="D30" s="14" t="s">
        <v>0</v>
      </c>
      <c r="E30" s="1">
        <v>17.61</v>
      </c>
      <c r="F30" s="2"/>
      <c r="G30" s="1">
        <v>445.39</v>
      </c>
      <c r="H30" s="3"/>
      <c r="I30" s="14" t="s">
        <v>6177</v>
      </c>
    </row>
    <row r="31" spans="1:9" ht="18.75" customHeight="1" x14ac:dyDescent="0.4">
      <c r="A31" s="14" t="s">
        <v>7002</v>
      </c>
      <c r="B31" s="16" t="str">
        <f>TRIM("職員相談室")</f>
        <v>職員相談室</v>
      </c>
      <c r="C31" s="14" t="s">
        <v>1509</v>
      </c>
      <c r="D31" s="14" t="s">
        <v>0</v>
      </c>
      <c r="E31" s="1">
        <v>20.55</v>
      </c>
      <c r="F31" s="2"/>
      <c r="G31" s="1">
        <v>157.25</v>
      </c>
      <c r="H31" s="3"/>
      <c r="I31" s="14" t="s">
        <v>7001</v>
      </c>
    </row>
    <row r="32" spans="1:9" ht="18.75" customHeight="1" x14ac:dyDescent="0.4">
      <c r="A32" s="14" t="s">
        <v>7092</v>
      </c>
      <c r="B32" s="16" t="str">
        <f>TRIM("大学と連携した人材育成中核拠点")</f>
        <v>大学と連携した人材育成中核拠点</v>
      </c>
      <c r="C32" s="14" t="s">
        <v>1509</v>
      </c>
      <c r="D32" s="14" t="s">
        <v>0</v>
      </c>
      <c r="E32" s="1">
        <v>47.05</v>
      </c>
      <c r="F32" s="2"/>
      <c r="G32" s="1">
        <v>418.08</v>
      </c>
      <c r="H32" s="3"/>
      <c r="I32" s="14" t="s">
        <v>4115</v>
      </c>
    </row>
    <row r="33" spans="1:9" ht="18.75" customHeight="1" x14ac:dyDescent="0.4">
      <c r="A33" s="14" t="s">
        <v>2936</v>
      </c>
      <c r="B33" s="16" t="str">
        <f>TRIM("　西梅田公園")</f>
        <v>西梅田公園</v>
      </c>
      <c r="C33" s="14" t="s">
        <v>1509</v>
      </c>
      <c r="D33" s="14" t="s">
        <v>1117</v>
      </c>
      <c r="E33" s="1">
        <v>6400.44</v>
      </c>
      <c r="F33" s="2"/>
      <c r="G33" s="1"/>
      <c r="H33" s="3"/>
      <c r="I33" s="14" t="s">
        <v>2177</v>
      </c>
    </row>
    <row r="34" spans="1:9" ht="18.75" customHeight="1" x14ac:dyDescent="0.4">
      <c r="A34" s="14" t="s">
        <v>2315</v>
      </c>
      <c r="B34" s="16" t="str">
        <f>TRIM("道路（北）（管財課）")</f>
        <v>道路（北）（管財課）</v>
      </c>
      <c r="C34" s="14" t="s">
        <v>1509</v>
      </c>
      <c r="D34" s="14" t="s">
        <v>959</v>
      </c>
      <c r="E34" s="1">
        <v>1405066.62</v>
      </c>
      <c r="F34" s="2">
        <v>2139</v>
      </c>
      <c r="G34" s="1"/>
      <c r="H34" s="3"/>
      <c r="I34" s="14" t="s">
        <v>2177</v>
      </c>
    </row>
    <row r="35" spans="1:9" ht="18.75" customHeight="1" x14ac:dyDescent="0.4">
      <c r="A35" s="14" t="s">
        <v>2318</v>
      </c>
      <c r="B35" s="16" t="str">
        <f>TRIM("南北線（北）（管財課）")</f>
        <v>南北線（北）（管財課）</v>
      </c>
      <c r="C35" s="14" t="s">
        <v>1509</v>
      </c>
      <c r="D35" s="14" t="s">
        <v>959</v>
      </c>
      <c r="E35" s="1">
        <v>622.67999999999995</v>
      </c>
      <c r="F35" s="2"/>
      <c r="G35" s="1"/>
      <c r="H35" s="3"/>
      <c r="I35" s="14" t="s">
        <v>2177</v>
      </c>
    </row>
    <row r="36" spans="1:9" ht="18.75" customHeight="1" x14ac:dyDescent="0.4">
      <c r="A36" s="14" t="s">
        <v>2264</v>
      </c>
      <c r="B36" s="16" t="str">
        <f>TRIM("大阪高槻京都線（北）（管財課）")</f>
        <v>大阪高槻京都線（北）（管財課）</v>
      </c>
      <c r="C36" s="14" t="s">
        <v>1509</v>
      </c>
      <c r="D36" s="14" t="s">
        <v>937</v>
      </c>
      <c r="E36" s="1">
        <v>2673.76</v>
      </c>
      <c r="F36" s="2"/>
      <c r="G36" s="1"/>
      <c r="H36" s="3"/>
      <c r="I36" s="14" t="s">
        <v>2177</v>
      </c>
    </row>
    <row r="37" spans="1:9" ht="18.75" customHeight="1" x14ac:dyDescent="0.4">
      <c r="A37" s="14" t="s">
        <v>2392</v>
      </c>
      <c r="B37" s="16" t="str">
        <f>TRIM("扇町通地下駐車場")</f>
        <v>扇町通地下駐車場</v>
      </c>
      <c r="C37" s="14" t="s">
        <v>1509</v>
      </c>
      <c r="D37" s="14" t="s">
        <v>937</v>
      </c>
      <c r="E37" s="1"/>
      <c r="F37" s="2"/>
      <c r="G37" s="1">
        <v>9947</v>
      </c>
      <c r="H37" s="3"/>
      <c r="I37" s="14" t="s">
        <v>2177</v>
      </c>
    </row>
    <row r="38" spans="1:9" ht="18.75" customHeight="1" x14ac:dyDescent="0.4">
      <c r="A38" s="14" t="s">
        <v>2961</v>
      </c>
      <c r="B38" s="16" t="str">
        <f>TRIM("　扇町公園")</f>
        <v>扇町公園</v>
      </c>
      <c r="C38" s="14" t="s">
        <v>1509</v>
      </c>
      <c r="D38" s="14" t="s">
        <v>937</v>
      </c>
      <c r="E38" s="1">
        <v>73665.87</v>
      </c>
      <c r="F38" s="2"/>
      <c r="G38" s="1"/>
      <c r="H38" s="3"/>
      <c r="I38" s="14" t="s">
        <v>2177</v>
      </c>
    </row>
    <row r="39" spans="1:9" ht="18.75" customHeight="1" x14ac:dyDescent="0.4">
      <c r="A39" s="14" t="s">
        <v>3603</v>
      </c>
      <c r="B39" s="16" t="str">
        <f>TRIM("　扇町公園")</f>
        <v>扇町公園</v>
      </c>
      <c r="C39" s="14" t="s">
        <v>1509</v>
      </c>
      <c r="D39" s="14" t="s">
        <v>937</v>
      </c>
      <c r="E39" s="1"/>
      <c r="F39" s="2"/>
      <c r="G39" s="1">
        <v>8280.39</v>
      </c>
      <c r="H39" s="3"/>
      <c r="I39" s="14" t="s">
        <v>2177</v>
      </c>
    </row>
    <row r="40" spans="1:9" ht="18.75" customHeight="1" x14ac:dyDescent="0.4">
      <c r="A40" s="14" t="s">
        <v>7142</v>
      </c>
      <c r="B40" s="16" t="str">
        <f>TRIM("扇町プール")</f>
        <v>扇町プール</v>
      </c>
      <c r="C40" s="14" t="s">
        <v>1509</v>
      </c>
      <c r="D40" s="14" t="s">
        <v>937</v>
      </c>
      <c r="E40" s="1"/>
      <c r="F40" s="2"/>
      <c r="G40" s="1">
        <v>4356.24</v>
      </c>
      <c r="H40" s="3"/>
      <c r="I40" s="14" t="s">
        <v>4115</v>
      </c>
    </row>
    <row r="41" spans="1:9" ht="18.75" customHeight="1" x14ac:dyDescent="0.4">
      <c r="A41" s="14" t="s">
        <v>1600</v>
      </c>
      <c r="B41" s="16" t="str">
        <f>TRIM("北区（合同）総合庁舎")</f>
        <v>北区（合同）総合庁舎</v>
      </c>
      <c r="C41" s="14" t="s">
        <v>1509</v>
      </c>
      <c r="D41" s="14" t="s">
        <v>98</v>
      </c>
      <c r="E41" s="1">
        <v>4886.99</v>
      </c>
      <c r="F41" s="2"/>
      <c r="G41" s="1"/>
      <c r="H41" s="3"/>
      <c r="I41" s="14" t="s">
        <v>1598</v>
      </c>
    </row>
    <row r="42" spans="1:9" ht="18.75" customHeight="1" x14ac:dyDescent="0.4">
      <c r="A42" s="14" t="s">
        <v>4336</v>
      </c>
      <c r="B42" s="16" t="str">
        <f>TRIM("北区保健福祉センター")</f>
        <v>北区保健福祉センター</v>
      </c>
      <c r="C42" s="14" t="s">
        <v>1509</v>
      </c>
      <c r="D42" s="14" t="s">
        <v>98</v>
      </c>
      <c r="E42" s="1"/>
      <c r="F42" s="2"/>
      <c r="G42" s="1">
        <v>2011.99</v>
      </c>
      <c r="H42" s="3"/>
      <c r="I42" s="14" t="s">
        <v>2067</v>
      </c>
    </row>
    <row r="43" spans="1:9" ht="18.75" customHeight="1" x14ac:dyDescent="0.4">
      <c r="A43" s="14" t="s">
        <v>4337</v>
      </c>
      <c r="B43" s="16" t="str">
        <f>TRIM("北区役所")</f>
        <v>北区役所</v>
      </c>
      <c r="C43" s="14" t="s">
        <v>1509</v>
      </c>
      <c r="D43" s="14" t="s">
        <v>98</v>
      </c>
      <c r="E43" s="1">
        <v>604.1</v>
      </c>
      <c r="F43" s="2"/>
      <c r="G43" s="1">
        <v>7838.58</v>
      </c>
      <c r="H43" s="3"/>
      <c r="I43" s="14" t="s">
        <v>2067</v>
      </c>
    </row>
    <row r="44" spans="1:9" ht="18.75" customHeight="1" x14ac:dyDescent="0.4">
      <c r="A44" s="14" t="s">
        <v>4346</v>
      </c>
      <c r="B44" s="16" t="str">
        <f>TRIM("北区民センター")</f>
        <v>北区民センター</v>
      </c>
      <c r="C44" s="14" t="s">
        <v>1509</v>
      </c>
      <c r="D44" s="14" t="s">
        <v>98</v>
      </c>
      <c r="E44" s="1"/>
      <c r="F44" s="2"/>
      <c r="G44" s="1">
        <v>2748.24</v>
      </c>
      <c r="H44" s="3"/>
      <c r="I44" s="14" t="s">
        <v>2067</v>
      </c>
    </row>
    <row r="45" spans="1:9" ht="18.75" customHeight="1" x14ac:dyDescent="0.4">
      <c r="A45" s="14" t="s">
        <v>4922</v>
      </c>
      <c r="B45" s="16" t="str">
        <f>TRIM("扇町小学校")</f>
        <v>扇町小学校</v>
      </c>
      <c r="C45" s="14" t="s">
        <v>1509</v>
      </c>
      <c r="D45" s="14" t="s">
        <v>98</v>
      </c>
      <c r="E45" s="1">
        <v>8618.91</v>
      </c>
      <c r="F45" s="2"/>
      <c r="G45" s="1">
        <v>9122.7900000000009</v>
      </c>
      <c r="H45" s="3"/>
      <c r="I45" s="14" t="s">
        <v>4689</v>
      </c>
    </row>
    <row r="46" spans="1:9" ht="18.75" customHeight="1" x14ac:dyDescent="0.4">
      <c r="A46" s="14" t="s">
        <v>6467</v>
      </c>
      <c r="B46" s="16" t="str">
        <f>TRIM("扇町住宅")</f>
        <v>扇町住宅</v>
      </c>
      <c r="C46" s="14" t="s">
        <v>1509</v>
      </c>
      <c r="D46" s="14" t="s">
        <v>98</v>
      </c>
      <c r="E46" s="1">
        <v>4493.95</v>
      </c>
      <c r="F46" s="2"/>
      <c r="G46" s="1">
        <v>8902.15</v>
      </c>
      <c r="H46" s="3"/>
      <c r="I46" s="14" t="s">
        <v>6177</v>
      </c>
    </row>
    <row r="47" spans="1:9" ht="18.75" customHeight="1" x14ac:dyDescent="0.4">
      <c r="A47" s="14" t="s">
        <v>1634</v>
      </c>
      <c r="B47" s="16" t="str">
        <f>TRIM(" 大阪北口広場")</f>
        <v>大阪北口広場</v>
      </c>
      <c r="C47" s="14" t="s">
        <v>1509</v>
      </c>
      <c r="D47" s="14" t="s">
        <v>311</v>
      </c>
      <c r="E47" s="1">
        <v>9917.8700000000008</v>
      </c>
      <c r="F47" s="2"/>
      <c r="G47" s="1"/>
      <c r="H47" s="3"/>
      <c r="I47" s="14" t="s">
        <v>1633</v>
      </c>
    </row>
    <row r="48" spans="1:9" ht="18.75" customHeight="1" x14ac:dyDescent="0.4">
      <c r="A48" s="14" t="s">
        <v>2206</v>
      </c>
      <c r="B48" s="16" t="str">
        <f>TRIM("九条梅田線（北）（管財課）")</f>
        <v>九条梅田線（北）（管財課）</v>
      </c>
      <c r="C48" s="14" t="s">
        <v>1509</v>
      </c>
      <c r="D48" s="14" t="s">
        <v>311</v>
      </c>
      <c r="E48" s="1">
        <v>503.98</v>
      </c>
      <c r="F48" s="2"/>
      <c r="G48" s="1"/>
      <c r="H48" s="3"/>
      <c r="I48" s="14" t="s">
        <v>2177</v>
      </c>
    </row>
    <row r="49" spans="1:9" ht="18.75" customHeight="1" x14ac:dyDescent="0.4">
      <c r="A49" s="14" t="s">
        <v>2414</v>
      </c>
      <c r="B49" s="16" t="str">
        <f>TRIM("梅北西ポンプ場")</f>
        <v>梅北西ポンプ場</v>
      </c>
      <c r="C49" s="14" t="s">
        <v>1509</v>
      </c>
      <c r="D49" s="14" t="s">
        <v>311</v>
      </c>
      <c r="E49" s="1"/>
      <c r="F49" s="2"/>
      <c r="G49" s="1">
        <v>8.9</v>
      </c>
      <c r="H49" s="3"/>
      <c r="I49" s="14" t="s">
        <v>2177</v>
      </c>
    </row>
    <row r="50" spans="1:9" ht="18.75" customHeight="1" x14ac:dyDescent="0.4">
      <c r="A50" s="14" t="s">
        <v>3522</v>
      </c>
      <c r="B50" s="16" t="str">
        <f>TRIM("うめきた公園")</f>
        <v>うめきた公園</v>
      </c>
      <c r="C50" s="14" t="s">
        <v>1509</v>
      </c>
      <c r="D50" s="14" t="s">
        <v>311</v>
      </c>
      <c r="E50" s="1">
        <v>33504.080000000002</v>
      </c>
      <c r="F50" s="2"/>
      <c r="G50" s="1"/>
      <c r="H50" s="3"/>
      <c r="I50" s="14" t="s">
        <v>2177</v>
      </c>
    </row>
    <row r="51" spans="1:9" ht="18.75" customHeight="1" x14ac:dyDescent="0.4">
      <c r="A51" s="14" t="s">
        <v>2461</v>
      </c>
      <c r="B51" s="16" t="str">
        <f>TRIM("西野田中津線（基金）")</f>
        <v>西野田中津線（基金）</v>
      </c>
      <c r="C51" s="14" t="s">
        <v>1509</v>
      </c>
      <c r="D51" s="14" t="s">
        <v>781</v>
      </c>
      <c r="E51" s="1">
        <v>1132.3</v>
      </c>
      <c r="F51" s="2"/>
      <c r="G51" s="1"/>
      <c r="H51" s="3"/>
      <c r="I51" s="14" t="s">
        <v>2177</v>
      </c>
    </row>
    <row r="52" spans="1:9" ht="18.75" customHeight="1" x14ac:dyDescent="0.4">
      <c r="A52" s="14" t="s">
        <v>2462</v>
      </c>
      <c r="B52" s="16" t="str">
        <f>TRIM("西野田中津線")</f>
        <v>西野田中津線</v>
      </c>
      <c r="C52" s="14" t="s">
        <v>1509</v>
      </c>
      <c r="D52" s="14" t="s">
        <v>781</v>
      </c>
      <c r="E52" s="1">
        <v>2178.21</v>
      </c>
      <c r="F52" s="2"/>
      <c r="G52" s="1"/>
      <c r="H52" s="3"/>
      <c r="I52" s="14" t="s">
        <v>2177</v>
      </c>
    </row>
    <row r="53" spans="1:9" ht="18.75" customHeight="1" x14ac:dyDescent="0.4">
      <c r="A53" s="14" t="s">
        <v>3003</v>
      </c>
      <c r="B53" s="16" t="str">
        <f>TRIM("　大淀北1開発公園")</f>
        <v>大淀北1開発公園</v>
      </c>
      <c r="C53" s="14" t="s">
        <v>1509</v>
      </c>
      <c r="D53" s="14" t="s">
        <v>781</v>
      </c>
      <c r="E53" s="1">
        <v>180.28</v>
      </c>
      <c r="F53" s="2"/>
      <c r="G53" s="1"/>
      <c r="H53" s="3"/>
      <c r="I53" s="14" t="s">
        <v>2177</v>
      </c>
    </row>
    <row r="54" spans="1:9" ht="18.75" customHeight="1" x14ac:dyDescent="0.4">
      <c r="A54" s="14" t="s">
        <v>3004</v>
      </c>
      <c r="B54" s="16" t="str">
        <f>TRIM("　大淀北公園")</f>
        <v>大淀北公園</v>
      </c>
      <c r="C54" s="14" t="s">
        <v>1509</v>
      </c>
      <c r="D54" s="14" t="s">
        <v>781</v>
      </c>
      <c r="E54" s="1">
        <v>2469.36</v>
      </c>
      <c r="F54" s="2"/>
      <c r="G54" s="1"/>
      <c r="H54" s="3"/>
      <c r="I54" s="14" t="s">
        <v>2177</v>
      </c>
    </row>
    <row r="55" spans="1:9" ht="18.75" customHeight="1" x14ac:dyDescent="0.4">
      <c r="A55" s="14" t="s">
        <v>5320</v>
      </c>
      <c r="B55" s="16" t="str">
        <f>TRIM("北消防署大淀町出張所")</f>
        <v>北消防署大淀町出張所</v>
      </c>
      <c r="C55" s="14" t="s">
        <v>1509</v>
      </c>
      <c r="D55" s="14" t="s">
        <v>781</v>
      </c>
      <c r="E55" s="1">
        <v>244.71</v>
      </c>
      <c r="F55" s="2"/>
      <c r="G55" s="1">
        <v>205.84</v>
      </c>
      <c r="H55" s="3"/>
      <c r="I55" s="14" t="s">
        <v>5219</v>
      </c>
    </row>
    <row r="56" spans="1:9" ht="18.75" customHeight="1" x14ac:dyDescent="0.4">
      <c r="A56" s="14" t="s">
        <v>6487</v>
      </c>
      <c r="B56" s="16" t="str">
        <f>TRIM("大淀北住宅")</f>
        <v>大淀北住宅</v>
      </c>
      <c r="C56" s="14" t="s">
        <v>1509</v>
      </c>
      <c r="D56" s="14" t="s">
        <v>781</v>
      </c>
      <c r="E56" s="1">
        <v>3471.27</v>
      </c>
      <c r="F56" s="2"/>
      <c r="G56" s="1">
        <v>7898.14</v>
      </c>
      <c r="H56" s="3"/>
      <c r="I56" s="14" t="s">
        <v>6177</v>
      </c>
    </row>
    <row r="57" spans="1:9" ht="18.75" customHeight="1" x14ac:dyDescent="0.4">
      <c r="A57" s="14" t="s">
        <v>2999</v>
      </c>
      <c r="B57" s="16" t="str">
        <f>TRIM("　大淀西公園")</f>
        <v>大淀西公園</v>
      </c>
      <c r="C57" s="14" t="s">
        <v>1509</v>
      </c>
      <c r="D57" s="14" t="s">
        <v>1136</v>
      </c>
      <c r="E57" s="1">
        <v>2237.6</v>
      </c>
      <c r="F57" s="2"/>
      <c r="G57" s="1"/>
      <c r="H57" s="3"/>
      <c r="I57" s="14" t="s">
        <v>2177</v>
      </c>
    </row>
    <row r="58" spans="1:9" ht="18.75" customHeight="1" x14ac:dyDescent="0.4">
      <c r="A58" s="14" t="s">
        <v>3001</v>
      </c>
      <c r="B58" s="16" t="str">
        <f>TRIM("　大淀中公園")</f>
        <v>大淀中公園</v>
      </c>
      <c r="C58" s="14" t="s">
        <v>1509</v>
      </c>
      <c r="D58" s="14" t="s">
        <v>1138</v>
      </c>
      <c r="E58" s="1">
        <v>5391.3</v>
      </c>
      <c r="F58" s="2"/>
      <c r="G58" s="1"/>
      <c r="H58" s="3"/>
      <c r="I58" s="14" t="s">
        <v>2177</v>
      </c>
    </row>
    <row r="59" spans="1:9" ht="18.75" customHeight="1" x14ac:dyDescent="0.4">
      <c r="A59" s="14" t="s">
        <v>4946</v>
      </c>
      <c r="B59" s="16" t="str">
        <f>TRIM("大淀中学校")</f>
        <v>大淀中学校</v>
      </c>
      <c r="C59" s="14" t="s">
        <v>1509</v>
      </c>
      <c r="D59" s="14" t="s">
        <v>1411</v>
      </c>
      <c r="E59" s="1">
        <v>8224.74</v>
      </c>
      <c r="F59" s="2"/>
      <c r="G59" s="1">
        <v>6279.1</v>
      </c>
      <c r="H59" s="3"/>
      <c r="I59" s="14" t="s">
        <v>4689</v>
      </c>
    </row>
    <row r="60" spans="1:9" ht="18.75" customHeight="1" x14ac:dyDescent="0.4">
      <c r="A60" s="14" t="s">
        <v>2079</v>
      </c>
      <c r="B60" s="16" t="str">
        <f>TRIM("大淀地域集会所（もと大淀老人憩の家）")</f>
        <v>大淀地域集会所（もと大淀老人憩の家）</v>
      </c>
      <c r="C60" s="14" t="s">
        <v>1509</v>
      </c>
      <c r="D60" s="14" t="s">
        <v>62</v>
      </c>
      <c r="E60" s="1">
        <v>347.9</v>
      </c>
      <c r="F60" s="2"/>
      <c r="G60" s="1"/>
      <c r="H60" s="3"/>
      <c r="I60" s="14" t="s">
        <v>2067</v>
      </c>
    </row>
    <row r="61" spans="1:9" ht="18.75" customHeight="1" x14ac:dyDescent="0.4">
      <c r="A61" s="14" t="s">
        <v>4341</v>
      </c>
      <c r="B61" s="16" t="str">
        <f>TRIM("大淀地域集会所")</f>
        <v>大淀地域集会所</v>
      </c>
      <c r="C61" s="14" t="s">
        <v>1509</v>
      </c>
      <c r="D61" s="14" t="s">
        <v>62</v>
      </c>
      <c r="E61" s="1"/>
      <c r="F61" s="2"/>
      <c r="G61" s="1">
        <v>166.74</v>
      </c>
      <c r="H61" s="3"/>
      <c r="I61" s="14" t="s">
        <v>2067</v>
      </c>
    </row>
    <row r="62" spans="1:9" ht="18.75" customHeight="1" x14ac:dyDescent="0.4">
      <c r="A62" s="14" t="s">
        <v>4945</v>
      </c>
      <c r="B62" s="16" t="str">
        <f>TRIM("大淀小学校")</f>
        <v>大淀小学校</v>
      </c>
      <c r="C62" s="14" t="s">
        <v>1509</v>
      </c>
      <c r="D62" s="14" t="s">
        <v>511</v>
      </c>
      <c r="E62" s="1">
        <v>7264.32</v>
      </c>
      <c r="F62" s="2"/>
      <c r="G62" s="1">
        <v>6444.82</v>
      </c>
      <c r="H62" s="3"/>
      <c r="I62" s="14" t="s">
        <v>4689</v>
      </c>
    </row>
    <row r="63" spans="1:9" ht="18.75" customHeight="1" x14ac:dyDescent="0.4">
      <c r="A63" s="14" t="s">
        <v>5804</v>
      </c>
      <c r="B63" s="16" t="str">
        <f>TRIM("中大淀幼稚園")</f>
        <v>中大淀幼稚園</v>
      </c>
      <c r="C63" s="14" t="s">
        <v>1509</v>
      </c>
      <c r="D63" s="14" t="s">
        <v>511</v>
      </c>
      <c r="E63" s="1">
        <v>1329</v>
      </c>
      <c r="F63" s="2"/>
      <c r="G63" s="1">
        <v>674</v>
      </c>
      <c r="H63" s="3"/>
      <c r="I63" s="14" t="s">
        <v>5617</v>
      </c>
    </row>
    <row r="64" spans="1:9" ht="18.75" customHeight="1" x14ac:dyDescent="0.4">
      <c r="A64" s="14" t="s">
        <v>5891</v>
      </c>
      <c r="B64" s="16" t="str">
        <f>TRIM("大淀保育所")</f>
        <v>大淀保育所</v>
      </c>
      <c r="C64" s="14" t="s">
        <v>1509</v>
      </c>
      <c r="D64" s="14" t="s">
        <v>511</v>
      </c>
      <c r="E64" s="1">
        <v>846.64</v>
      </c>
      <c r="F64" s="2"/>
      <c r="G64" s="1">
        <v>771.92</v>
      </c>
      <c r="H64" s="3"/>
      <c r="I64" s="14" t="s">
        <v>5617</v>
      </c>
    </row>
    <row r="65" spans="1:9" ht="18.75" customHeight="1" x14ac:dyDescent="0.4">
      <c r="A65" s="14" t="s">
        <v>3000</v>
      </c>
      <c r="B65" s="16" t="str">
        <f>TRIM("　大淀中5公園")</f>
        <v>大淀中5公園</v>
      </c>
      <c r="C65" s="14" t="s">
        <v>1509</v>
      </c>
      <c r="D65" s="14" t="s">
        <v>1137</v>
      </c>
      <c r="E65" s="1">
        <v>732.06</v>
      </c>
      <c r="F65" s="2"/>
      <c r="G65" s="1"/>
      <c r="H65" s="3"/>
      <c r="I65" s="14" t="s">
        <v>2177</v>
      </c>
    </row>
    <row r="66" spans="1:9" ht="18.75" customHeight="1" x14ac:dyDescent="0.4">
      <c r="A66" s="14" t="s">
        <v>5316</v>
      </c>
      <c r="B66" s="16" t="str">
        <f>TRIM("防火水槽用地（北）")</f>
        <v>防火水槽用地（北）</v>
      </c>
      <c r="C66" s="14" t="s">
        <v>1509</v>
      </c>
      <c r="D66" s="14" t="s">
        <v>1137</v>
      </c>
      <c r="E66" s="1">
        <v>87.74</v>
      </c>
      <c r="F66" s="2"/>
      <c r="G66" s="1"/>
      <c r="H66" s="3"/>
      <c r="I66" s="14" t="s">
        <v>5219</v>
      </c>
    </row>
    <row r="67" spans="1:9" ht="18.75" customHeight="1" x14ac:dyDescent="0.4">
      <c r="A67" s="14" t="s">
        <v>3002</v>
      </c>
      <c r="B67" s="16" t="str">
        <f>TRIM("　大淀南公園")</f>
        <v>大淀南公園</v>
      </c>
      <c r="C67" s="14" t="s">
        <v>1509</v>
      </c>
      <c r="D67" s="14" t="s">
        <v>1139</v>
      </c>
      <c r="E67" s="1">
        <v>2552.09</v>
      </c>
      <c r="F67" s="2"/>
      <c r="G67" s="1"/>
      <c r="H67" s="3"/>
      <c r="I67" s="14" t="s">
        <v>2177</v>
      </c>
    </row>
    <row r="68" spans="1:9" ht="18.75" customHeight="1" x14ac:dyDescent="0.4">
      <c r="A68" s="14" t="s">
        <v>4108</v>
      </c>
      <c r="B68" s="16" t="str">
        <f>TRIM("北野抽水所")</f>
        <v>北野抽水所</v>
      </c>
      <c r="C68" s="14" t="s">
        <v>1509</v>
      </c>
      <c r="D68" s="14" t="s">
        <v>1139</v>
      </c>
      <c r="E68" s="1">
        <v>4917.13</v>
      </c>
      <c r="F68" s="2"/>
      <c r="G68" s="1">
        <v>3698.13</v>
      </c>
      <c r="H68" s="3"/>
      <c r="I68" s="14" t="s">
        <v>2177</v>
      </c>
    </row>
    <row r="69" spans="1:9" ht="18.75" customHeight="1" x14ac:dyDescent="0.4">
      <c r="A69" s="14" t="s">
        <v>2571</v>
      </c>
      <c r="B69" s="16" t="str">
        <f>TRIM("　浦江公園")</f>
        <v>浦江公園</v>
      </c>
      <c r="C69" s="14" t="s">
        <v>1509</v>
      </c>
      <c r="D69" s="14" t="s">
        <v>1001</v>
      </c>
      <c r="E69" s="1">
        <v>20497.55</v>
      </c>
      <c r="F69" s="2"/>
      <c r="G69" s="1"/>
      <c r="H69" s="3"/>
      <c r="I69" s="14" t="s">
        <v>2177</v>
      </c>
    </row>
    <row r="70" spans="1:9" ht="18.75" customHeight="1" x14ac:dyDescent="0.4">
      <c r="A70" s="14" t="s">
        <v>3536</v>
      </c>
      <c r="B70" s="16" t="str">
        <f>TRIM("　浦江公園")</f>
        <v>浦江公園</v>
      </c>
      <c r="C70" s="14" t="s">
        <v>1509</v>
      </c>
      <c r="D70" s="14" t="s">
        <v>1001</v>
      </c>
      <c r="E70" s="1"/>
      <c r="F70" s="2"/>
      <c r="G70" s="1">
        <v>19.2</v>
      </c>
      <c r="H70" s="3"/>
      <c r="I70" s="14" t="s">
        <v>2177</v>
      </c>
    </row>
    <row r="71" spans="1:9" ht="18.75" customHeight="1" x14ac:dyDescent="0.4">
      <c r="A71" s="14" t="s">
        <v>5584</v>
      </c>
      <c r="B71" s="16" t="str">
        <f>TRIM("廃道（北）")</f>
        <v>廃道（北）</v>
      </c>
      <c r="C71" s="14" t="s">
        <v>1509</v>
      </c>
      <c r="D71" s="14" t="s">
        <v>292</v>
      </c>
      <c r="E71" s="1">
        <v>28.57</v>
      </c>
      <c r="F71" s="2">
        <v>2140</v>
      </c>
      <c r="G71" s="1"/>
      <c r="H71" s="3"/>
      <c r="I71" s="14" t="s">
        <v>5349</v>
      </c>
    </row>
    <row r="72" spans="1:9" ht="18.75" customHeight="1" x14ac:dyDescent="0.4">
      <c r="A72" s="14" t="s">
        <v>1963</v>
      </c>
      <c r="B72" s="16" t="str">
        <f>TRIM("特別養護老人ホーム北野よろこび苑・北野老人憩の家")</f>
        <v>特別養護老人ホーム北野よろこび苑・北野老人憩の家</v>
      </c>
      <c r="C72" s="14" t="s">
        <v>1509</v>
      </c>
      <c r="D72" s="14" t="s">
        <v>292</v>
      </c>
      <c r="E72" s="1">
        <v>788.76</v>
      </c>
      <c r="F72" s="2"/>
      <c r="G72" s="1"/>
      <c r="H72" s="3"/>
      <c r="I72" s="14" t="s">
        <v>1654</v>
      </c>
    </row>
    <row r="73" spans="1:9" ht="18.75" customHeight="1" x14ac:dyDescent="0.4">
      <c r="A73" s="14" t="s">
        <v>1969</v>
      </c>
      <c r="B73" s="16" t="str">
        <f>TRIM("北区在宅サービスセンター")</f>
        <v>北区在宅サービスセンター</v>
      </c>
      <c r="C73" s="14" t="s">
        <v>1509</v>
      </c>
      <c r="D73" s="14" t="s">
        <v>292</v>
      </c>
      <c r="E73" s="1">
        <v>663.86</v>
      </c>
      <c r="F73" s="2"/>
      <c r="G73" s="1"/>
      <c r="H73" s="3"/>
      <c r="I73" s="14" t="s">
        <v>1654</v>
      </c>
    </row>
    <row r="74" spans="1:9" ht="18.75" customHeight="1" x14ac:dyDescent="0.4">
      <c r="A74" s="14" t="s">
        <v>2442</v>
      </c>
      <c r="B74" s="16" t="str">
        <f>TRIM("本庄西天満線外１（基金）")</f>
        <v>本庄西天満線外１（基金）</v>
      </c>
      <c r="C74" s="14" t="s">
        <v>1509</v>
      </c>
      <c r="D74" s="14" t="s">
        <v>292</v>
      </c>
      <c r="E74" s="1">
        <v>68.400000000000006</v>
      </c>
      <c r="F74" s="2"/>
      <c r="G74" s="1"/>
      <c r="H74" s="3"/>
      <c r="I74" s="14" t="s">
        <v>2177</v>
      </c>
    </row>
    <row r="75" spans="1:9" ht="18.75" customHeight="1" x14ac:dyDescent="0.4">
      <c r="A75" s="14" t="s">
        <v>2458</v>
      </c>
      <c r="B75" s="16" t="str">
        <f>TRIM("本庄西天満線外１")</f>
        <v>本庄西天満線外１</v>
      </c>
      <c r="C75" s="14" t="s">
        <v>1509</v>
      </c>
      <c r="D75" s="14" t="s">
        <v>292</v>
      </c>
      <c r="E75" s="1">
        <v>112.77</v>
      </c>
      <c r="F75" s="2"/>
      <c r="G75" s="1"/>
      <c r="H75" s="3"/>
      <c r="I75" s="14" t="s">
        <v>2177</v>
      </c>
    </row>
    <row r="76" spans="1:9" ht="18.75" customHeight="1" x14ac:dyDescent="0.4">
      <c r="A76" s="14" t="s">
        <v>5003</v>
      </c>
      <c r="B76" s="16" t="str">
        <f>TRIM("天満中学校")</f>
        <v>天満中学校</v>
      </c>
      <c r="C76" s="14" t="s">
        <v>1509</v>
      </c>
      <c r="D76" s="14" t="s">
        <v>292</v>
      </c>
      <c r="E76" s="1">
        <v>12072.78</v>
      </c>
      <c r="F76" s="2"/>
      <c r="G76" s="1">
        <v>8808</v>
      </c>
      <c r="H76" s="3"/>
      <c r="I76" s="14" t="s">
        <v>4689</v>
      </c>
    </row>
    <row r="77" spans="1:9" ht="18.75" customHeight="1" x14ac:dyDescent="0.4">
      <c r="A77" s="14" t="s">
        <v>2885</v>
      </c>
      <c r="B77" s="16" t="str">
        <f>TRIM("　菅北公園")</f>
        <v>菅北公園</v>
      </c>
      <c r="C77" s="14" t="s">
        <v>1509</v>
      </c>
      <c r="D77" s="14" t="s">
        <v>1102</v>
      </c>
      <c r="E77" s="1">
        <v>1833.23</v>
      </c>
      <c r="F77" s="2"/>
      <c r="G77" s="1"/>
      <c r="H77" s="3"/>
      <c r="I77" s="14" t="s">
        <v>2177</v>
      </c>
    </row>
    <row r="78" spans="1:9" ht="18.75" customHeight="1" x14ac:dyDescent="0.4">
      <c r="A78" s="14" t="s">
        <v>4895</v>
      </c>
      <c r="B78" s="16" t="str">
        <f>TRIM("菅北小学校")</f>
        <v>菅北小学校</v>
      </c>
      <c r="C78" s="14" t="s">
        <v>1509</v>
      </c>
      <c r="D78" s="14" t="s">
        <v>1102</v>
      </c>
      <c r="E78" s="1">
        <v>6851.59</v>
      </c>
      <c r="F78" s="2"/>
      <c r="G78" s="1">
        <v>5978.51</v>
      </c>
      <c r="H78" s="3"/>
      <c r="I78" s="14" t="s">
        <v>4689</v>
      </c>
    </row>
    <row r="79" spans="1:9" ht="18.75" customHeight="1" x14ac:dyDescent="0.4">
      <c r="A79" s="14" t="s">
        <v>2716</v>
      </c>
      <c r="B79" s="16" t="str">
        <f>TRIM("　黒崎町公園")</f>
        <v>黒崎町公園</v>
      </c>
      <c r="C79" s="14" t="s">
        <v>1509</v>
      </c>
      <c r="D79" s="14" t="s">
        <v>1044</v>
      </c>
      <c r="E79" s="1">
        <v>1800.16</v>
      </c>
      <c r="F79" s="2"/>
      <c r="G79" s="1"/>
      <c r="H79" s="3"/>
      <c r="I79" s="14" t="s">
        <v>2177</v>
      </c>
    </row>
    <row r="80" spans="1:9" ht="18.75" customHeight="1" x14ac:dyDescent="0.4">
      <c r="A80" s="14" t="s">
        <v>2252</v>
      </c>
      <c r="B80" s="16" t="str">
        <f>TRIM("大阪環状線（北）（管財課）")</f>
        <v>大阪環状線（北）（管財課）</v>
      </c>
      <c r="C80" s="14" t="s">
        <v>1509</v>
      </c>
      <c r="D80" s="14" t="s">
        <v>931</v>
      </c>
      <c r="E80" s="1">
        <v>320.72000000000003</v>
      </c>
      <c r="F80" s="2"/>
      <c r="G80" s="1"/>
      <c r="H80" s="3"/>
      <c r="I80" s="14" t="s">
        <v>2177</v>
      </c>
    </row>
    <row r="81" spans="1:9" ht="18.75" customHeight="1" x14ac:dyDescent="0.4">
      <c r="A81" s="14" t="s">
        <v>2715</v>
      </c>
      <c r="B81" s="16" t="str">
        <f>TRIM("　国分寺公園")</f>
        <v>国分寺公園</v>
      </c>
      <c r="C81" s="14" t="s">
        <v>1509</v>
      </c>
      <c r="D81" s="14" t="s">
        <v>931</v>
      </c>
      <c r="E81" s="1">
        <v>1319.47</v>
      </c>
      <c r="F81" s="2"/>
      <c r="G81" s="1"/>
      <c r="H81" s="3"/>
      <c r="I81" s="14" t="s">
        <v>2177</v>
      </c>
    </row>
    <row r="82" spans="1:9" ht="18.75" customHeight="1" x14ac:dyDescent="0.4">
      <c r="A82" s="14" t="s">
        <v>4033</v>
      </c>
      <c r="B82" s="16" t="str">
        <f>TRIM("下水道用地（北）")</f>
        <v>下水道用地（北）</v>
      </c>
      <c r="C82" s="14" t="s">
        <v>1509</v>
      </c>
      <c r="D82" s="14" t="s">
        <v>1321</v>
      </c>
      <c r="E82" s="1">
        <v>33268.18</v>
      </c>
      <c r="F82" s="2"/>
      <c r="G82" s="1"/>
      <c r="H82" s="3"/>
      <c r="I82" s="14" t="s">
        <v>2177</v>
      </c>
    </row>
    <row r="83" spans="1:9" ht="18.75" customHeight="1" x14ac:dyDescent="0.4">
      <c r="A83" s="14" t="s">
        <v>1689</v>
      </c>
      <c r="B83" s="16" t="str">
        <f>TRIM("福祉局分室（ジーニス大阪）")</f>
        <v>福祉局分室（ジーニス大阪）</v>
      </c>
      <c r="C83" s="14" t="s">
        <v>1509</v>
      </c>
      <c r="D83" s="14" t="s">
        <v>337</v>
      </c>
      <c r="E83" s="1">
        <v>1218.54</v>
      </c>
      <c r="F83" s="2"/>
      <c r="G83" s="1">
        <v>382.97</v>
      </c>
      <c r="H83" s="3"/>
      <c r="I83" s="14" t="s">
        <v>1654</v>
      </c>
    </row>
    <row r="84" spans="1:9" ht="18.75" customHeight="1" x14ac:dyDescent="0.4">
      <c r="A84" s="14" t="s">
        <v>1769</v>
      </c>
      <c r="B84" s="16" t="str">
        <f>TRIM("もといきいきエイジングセンター")</f>
        <v>もといきいきエイジングセンター</v>
      </c>
      <c r="C84" s="14" t="s">
        <v>1509</v>
      </c>
      <c r="D84" s="14" t="s">
        <v>337</v>
      </c>
      <c r="E84" s="1"/>
      <c r="F84" s="2"/>
      <c r="G84" s="1">
        <v>3005.55</v>
      </c>
      <c r="H84" s="3" t="s">
        <v>7353</v>
      </c>
      <c r="I84" s="14" t="s">
        <v>1654</v>
      </c>
    </row>
    <row r="85" spans="1:9" ht="18.75" customHeight="1" x14ac:dyDescent="0.4">
      <c r="A85" s="14" t="s">
        <v>2210</v>
      </c>
      <c r="B85" s="16" t="str">
        <f>TRIM("恵美須南森町線（北）（管財課）")</f>
        <v>恵美須南森町線（北）（管財課）</v>
      </c>
      <c r="C85" s="14" t="s">
        <v>1509</v>
      </c>
      <c r="D85" s="14" t="s">
        <v>337</v>
      </c>
      <c r="E85" s="1">
        <v>3974.36</v>
      </c>
      <c r="F85" s="2"/>
      <c r="G85" s="1"/>
      <c r="H85" s="3"/>
      <c r="I85" s="14" t="s">
        <v>2177</v>
      </c>
    </row>
    <row r="86" spans="1:9" ht="18.75" customHeight="1" x14ac:dyDescent="0.4">
      <c r="A86" s="14" t="s">
        <v>4000</v>
      </c>
      <c r="B86" s="16" t="str">
        <f>TRIM("もと下水道用地（北）")</f>
        <v>もと下水道用地（北）</v>
      </c>
      <c r="C86" s="14" t="s">
        <v>1509</v>
      </c>
      <c r="D86" s="14" t="s">
        <v>337</v>
      </c>
      <c r="E86" s="1">
        <v>144.78</v>
      </c>
      <c r="F86" s="2"/>
      <c r="G86" s="1"/>
      <c r="H86" s="3"/>
      <c r="I86" s="14" t="s">
        <v>2177</v>
      </c>
    </row>
    <row r="87" spans="1:9" ht="18.75" customHeight="1" x14ac:dyDescent="0.4">
      <c r="A87" s="14" t="s">
        <v>5616</v>
      </c>
      <c r="B87" s="16" t="str">
        <f>TRIM("こども青少年局分室（ジーニス大阪）")</f>
        <v>こども青少年局分室（ジーニス大阪）</v>
      </c>
      <c r="C87" s="14" t="s">
        <v>1509</v>
      </c>
      <c r="D87" s="14" t="s">
        <v>337</v>
      </c>
      <c r="E87" s="1"/>
      <c r="F87" s="2"/>
      <c r="G87" s="1">
        <v>576.46</v>
      </c>
      <c r="H87" s="3"/>
      <c r="I87" s="14" t="s">
        <v>5617</v>
      </c>
    </row>
    <row r="88" spans="1:9" ht="18.75" customHeight="1" x14ac:dyDescent="0.4">
      <c r="A88" s="14" t="s">
        <v>5796</v>
      </c>
      <c r="B88" s="16" t="str">
        <f>TRIM("菅南幼稚園")</f>
        <v>菅南幼稚園</v>
      </c>
      <c r="C88" s="14" t="s">
        <v>1509</v>
      </c>
      <c r="D88" s="14" t="s">
        <v>337</v>
      </c>
      <c r="E88" s="1">
        <v>1090.9000000000001</v>
      </c>
      <c r="F88" s="2"/>
      <c r="G88" s="1">
        <v>792.15</v>
      </c>
      <c r="H88" s="3"/>
      <c r="I88" s="14" t="s">
        <v>5617</v>
      </c>
    </row>
    <row r="89" spans="1:9" ht="18.75" customHeight="1" x14ac:dyDescent="0.4">
      <c r="A89" s="14" t="s">
        <v>4338</v>
      </c>
      <c r="B89" s="16" t="str">
        <f>TRIM("（仮称）曽根崎地域集会所")</f>
        <v>（仮称）曽根崎地域集会所</v>
      </c>
      <c r="C89" s="14" t="s">
        <v>1509</v>
      </c>
      <c r="D89" s="14" t="s">
        <v>186</v>
      </c>
      <c r="E89" s="1">
        <v>150.03</v>
      </c>
      <c r="F89" s="2">
        <v>3</v>
      </c>
      <c r="G89" s="1"/>
      <c r="H89" s="3"/>
      <c r="I89" s="14" t="s">
        <v>2067</v>
      </c>
    </row>
    <row r="90" spans="1:9" ht="18.75" customHeight="1" x14ac:dyDescent="0.4">
      <c r="A90" s="14" t="s">
        <v>5435</v>
      </c>
      <c r="B90" s="16" t="str">
        <f>TRIM("もと北区役所")</f>
        <v>もと北区役所</v>
      </c>
      <c r="C90" s="14" t="s">
        <v>1509</v>
      </c>
      <c r="D90" s="14" t="s">
        <v>186</v>
      </c>
      <c r="E90" s="1">
        <v>30.76</v>
      </c>
      <c r="F90" s="2"/>
      <c r="G90" s="1"/>
      <c r="H90" s="3"/>
      <c r="I90" s="14" t="s">
        <v>5349</v>
      </c>
    </row>
    <row r="91" spans="1:9" ht="18.75" customHeight="1" x14ac:dyDescent="0.4">
      <c r="A91" s="14" t="s">
        <v>7042</v>
      </c>
      <c r="B91" s="16" t="str">
        <f>TRIM("もと小売市場施設（北区曽根崎） もと曽根崎小売市場民営化事業施設")</f>
        <v>もと小売市場施設（北区曽根崎） もと曽根崎小売市場民営化事業施設</v>
      </c>
      <c r="C91" s="14" t="s">
        <v>1509</v>
      </c>
      <c r="D91" s="14" t="s">
        <v>28</v>
      </c>
      <c r="E91" s="1">
        <v>1174.19</v>
      </c>
      <c r="F91" s="2">
        <v>1360</v>
      </c>
      <c r="G91" s="1"/>
      <c r="H91" s="3"/>
      <c r="I91" s="14" t="s">
        <v>4115</v>
      </c>
    </row>
    <row r="92" spans="1:9" ht="18.75" customHeight="1" x14ac:dyDescent="0.4">
      <c r="A92" s="14" t="s">
        <v>2340</v>
      </c>
      <c r="B92" s="16" t="str">
        <f>TRIM("国道176号線(北)(もと交通局)")</f>
        <v>国道176号線(北)(もと交通局)</v>
      </c>
      <c r="C92" s="14" t="s">
        <v>1509</v>
      </c>
      <c r="D92" s="14" t="s">
        <v>28</v>
      </c>
      <c r="E92" s="1">
        <v>1864.42</v>
      </c>
      <c r="F92" s="2"/>
      <c r="G92" s="1"/>
      <c r="H92" s="3"/>
      <c r="I92" s="14" t="s">
        <v>2177</v>
      </c>
    </row>
    <row r="93" spans="1:9" ht="18.75" customHeight="1" x14ac:dyDescent="0.4">
      <c r="A93" s="14" t="s">
        <v>5502</v>
      </c>
      <c r="B93" s="16" t="str">
        <f>TRIM("曽根崎警察署")</f>
        <v>曽根崎警察署</v>
      </c>
      <c r="C93" s="14" t="s">
        <v>1509</v>
      </c>
      <c r="D93" s="14" t="s">
        <v>28</v>
      </c>
      <c r="E93" s="1">
        <v>2016.47</v>
      </c>
      <c r="F93" s="2"/>
      <c r="G93" s="1"/>
      <c r="H93" s="3"/>
      <c r="I93" s="14" t="s">
        <v>5349</v>
      </c>
    </row>
    <row r="94" spans="1:9" ht="18.75" customHeight="1" x14ac:dyDescent="0.4">
      <c r="A94" s="14" t="s">
        <v>5588</v>
      </c>
      <c r="B94" s="16" t="str">
        <f>TRIM("梅田新道曲線部隧道用地")</f>
        <v>梅田新道曲線部隧道用地</v>
      </c>
      <c r="C94" s="14" t="s">
        <v>1509</v>
      </c>
      <c r="D94" s="14" t="s">
        <v>28</v>
      </c>
      <c r="E94" s="1">
        <v>29.71</v>
      </c>
      <c r="F94" s="2"/>
      <c r="G94" s="1"/>
      <c r="H94" s="3"/>
      <c r="I94" s="14" t="s">
        <v>5349</v>
      </c>
    </row>
    <row r="95" spans="1:9" ht="18.75" customHeight="1" x14ac:dyDescent="0.4">
      <c r="A95" s="14" t="s">
        <v>4706</v>
      </c>
      <c r="B95" s="16" t="str">
        <f>TRIM("もと梅田東小学校")</f>
        <v>もと梅田東小学校</v>
      </c>
      <c r="C95" s="14" t="s">
        <v>1509</v>
      </c>
      <c r="D95" s="14" t="s">
        <v>1373</v>
      </c>
      <c r="E95" s="1">
        <v>1735.38</v>
      </c>
      <c r="F95" s="2" t="s">
        <v>7265</v>
      </c>
      <c r="G95" s="1">
        <v>1180.23</v>
      </c>
      <c r="H95" s="3"/>
      <c r="I95" s="14" t="s">
        <v>4689</v>
      </c>
    </row>
    <row r="96" spans="1:9" ht="18.75" customHeight="1" x14ac:dyDescent="0.4">
      <c r="A96" s="14" t="s">
        <v>5318</v>
      </c>
      <c r="B96" s="16" t="str">
        <f>TRIM("北消防署")</f>
        <v>北消防署</v>
      </c>
      <c r="C96" s="14" t="s">
        <v>1509</v>
      </c>
      <c r="D96" s="14" t="s">
        <v>1373</v>
      </c>
      <c r="E96" s="1">
        <v>1432.27</v>
      </c>
      <c r="F96" s="2"/>
      <c r="G96" s="1">
        <v>1933.7</v>
      </c>
      <c r="H96" s="3"/>
      <c r="I96" s="14" t="s">
        <v>5219</v>
      </c>
    </row>
    <row r="97" spans="1:9" ht="18.75" customHeight="1" x14ac:dyDescent="0.4">
      <c r="A97" s="14" t="s">
        <v>5319</v>
      </c>
      <c r="B97" s="16" t="str">
        <f>TRIM("北災害待機宿舎")</f>
        <v>北災害待機宿舎</v>
      </c>
      <c r="C97" s="14" t="s">
        <v>1509</v>
      </c>
      <c r="D97" s="14" t="s">
        <v>1373</v>
      </c>
      <c r="E97" s="1"/>
      <c r="F97" s="2"/>
      <c r="G97" s="1">
        <v>97.86</v>
      </c>
      <c r="H97" s="3"/>
      <c r="I97" s="14" t="s">
        <v>5219</v>
      </c>
    </row>
    <row r="98" spans="1:9" ht="18.75" customHeight="1" x14ac:dyDescent="0.4">
      <c r="A98" s="14" t="s">
        <v>2292</v>
      </c>
      <c r="B98" s="16" t="str">
        <f>TRIM("天神橋天王寺線（北）（管財課）")</f>
        <v>天神橋天王寺線（北）（管財課）</v>
      </c>
      <c r="C98" s="14" t="s">
        <v>1509</v>
      </c>
      <c r="D98" s="14" t="s">
        <v>195</v>
      </c>
      <c r="E98" s="1">
        <v>149.85</v>
      </c>
      <c r="F98" s="2"/>
      <c r="G98" s="1"/>
      <c r="H98" s="3"/>
      <c r="I98" s="14" t="s">
        <v>2177</v>
      </c>
    </row>
    <row r="99" spans="1:9" ht="18.75" customHeight="1" x14ac:dyDescent="0.4">
      <c r="A99" s="14" t="s">
        <v>5449</v>
      </c>
      <c r="B99" s="16" t="str">
        <f>TRIM("河岸地（北）")</f>
        <v>河岸地（北）</v>
      </c>
      <c r="C99" s="14" t="s">
        <v>1509</v>
      </c>
      <c r="D99" s="14" t="s">
        <v>195</v>
      </c>
      <c r="E99" s="1">
        <v>41.79</v>
      </c>
      <c r="F99" s="2"/>
      <c r="G99" s="1"/>
      <c r="H99" s="3"/>
      <c r="I99" s="14" t="s">
        <v>5349</v>
      </c>
    </row>
    <row r="100" spans="1:9" ht="18.75" customHeight="1" x14ac:dyDescent="0.4">
      <c r="A100" s="14" t="s">
        <v>5512</v>
      </c>
      <c r="B100" s="16" t="str">
        <f>TRIM("天満署天神橋北交番")</f>
        <v>天満署天神橋北交番</v>
      </c>
      <c r="C100" s="14" t="s">
        <v>1509</v>
      </c>
      <c r="D100" s="14" t="s">
        <v>195</v>
      </c>
      <c r="E100" s="1">
        <v>26.44</v>
      </c>
      <c r="F100" s="2"/>
      <c r="G100" s="1"/>
      <c r="H100" s="3"/>
      <c r="I100" s="14" t="s">
        <v>5349</v>
      </c>
    </row>
    <row r="101" spans="1:9" ht="18.75" customHeight="1" x14ac:dyDescent="0.4">
      <c r="A101" s="14" t="s">
        <v>4702</v>
      </c>
      <c r="B101" s="16" t="str">
        <f>TRIM("もと天満幼稚園")</f>
        <v>もと天満幼稚園</v>
      </c>
      <c r="C101" s="14" t="s">
        <v>1509</v>
      </c>
      <c r="D101" s="14" t="s">
        <v>877</v>
      </c>
      <c r="E101" s="1">
        <v>1044.52</v>
      </c>
      <c r="F101" s="2"/>
      <c r="G101" s="1"/>
      <c r="H101" s="3"/>
      <c r="I101" s="14" t="s">
        <v>4689</v>
      </c>
    </row>
    <row r="102" spans="1:9" ht="18.75" customHeight="1" x14ac:dyDescent="0.4">
      <c r="A102" s="14" t="s">
        <v>6817</v>
      </c>
      <c r="B102" s="16" t="str">
        <f>TRIM("肩替地（東天満）")</f>
        <v>肩替地（東天満）</v>
      </c>
      <c r="C102" s="14" t="s">
        <v>1509</v>
      </c>
      <c r="D102" s="14" t="s">
        <v>877</v>
      </c>
      <c r="E102" s="1">
        <v>7.48</v>
      </c>
      <c r="F102" s="2"/>
      <c r="G102" s="1"/>
      <c r="H102" s="3"/>
      <c r="I102" s="14" t="s">
        <v>6177</v>
      </c>
    </row>
    <row r="103" spans="1:9" ht="18.75" customHeight="1" x14ac:dyDescent="0.4">
      <c r="A103" s="14" t="s">
        <v>2363</v>
      </c>
      <c r="B103" s="16" t="str">
        <f>TRIM("もと軌道敷(天神橋西筋線)")</f>
        <v>もと軌道敷(天神橋西筋線)</v>
      </c>
      <c r="C103" s="14" t="s">
        <v>1509</v>
      </c>
      <c r="D103" s="14" t="s">
        <v>301</v>
      </c>
      <c r="E103" s="1">
        <v>34637.019999999997</v>
      </c>
      <c r="F103" s="2"/>
      <c r="G103" s="1"/>
      <c r="H103" s="3"/>
      <c r="I103" s="14" t="s">
        <v>2177</v>
      </c>
    </row>
    <row r="104" spans="1:9" ht="18.75" customHeight="1" x14ac:dyDescent="0.4">
      <c r="A104" s="14" t="s">
        <v>3875</v>
      </c>
      <c r="B104" s="16" t="str">
        <f>TRIM("扇町駅・天満駅自転車駐車場管理事務所")</f>
        <v>扇町駅・天満駅自転車駐車場管理事務所</v>
      </c>
      <c r="C104" s="14" t="s">
        <v>1509</v>
      </c>
      <c r="D104" s="14" t="s">
        <v>301</v>
      </c>
      <c r="E104" s="1"/>
      <c r="F104" s="2"/>
      <c r="G104" s="1">
        <v>9.1999999999999993</v>
      </c>
      <c r="H104" s="3"/>
      <c r="I104" s="14" t="s">
        <v>2177</v>
      </c>
    </row>
    <row r="105" spans="1:9" ht="18.75" customHeight="1" x14ac:dyDescent="0.4">
      <c r="A105" s="14" t="s">
        <v>5601</v>
      </c>
      <c r="B105" s="16" t="str">
        <f>TRIM("もと軌道敷（天神橋西筋線）")</f>
        <v>もと軌道敷（天神橋西筋線）</v>
      </c>
      <c r="C105" s="14" t="s">
        <v>1509</v>
      </c>
      <c r="D105" s="14" t="s">
        <v>301</v>
      </c>
      <c r="E105" s="1">
        <v>972.31</v>
      </c>
      <c r="F105" s="2"/>
      <c r="G105" s="1"/>
      <c r="H105" s="3"/>
      <c r="I105" s="14" t="s">
        <v>5349</v>
      </c>
    </row>
    <row r="106" spans="1:9" ht="18.75" customHeight="1" x14ac:dyDescent="0.4">
      <c r="A106" s="14" t="s">
        <v>6853</v>
      </c>
      <c r="B106" s="16" t="str">
        <f>TRIM("区画整理事業用地（東天満工区）")</f>
        <v>区画整理事業用地（東天満工区）</v>
      </c>
      <c r="C106" s="14" t="s">
        <v>1509</v>
      </c>
      <c r="D106" s="14" t="s">
        <v>301</v>
      </c>
      <c r="E106" s="1">
        <v>65.680000000000007</v>
      </c>
      <c r="F106" s="2"/>
      <c r="G106" s="1"/>
      <c r="H106" s="3"/>
      <c r="I106" s="14" t="s">
        <v>6177</v>
      </c>
    </row>
    <row r="107" spans="1:9" ht="18.75" customHeight="1" x14ac:dyDescent="0.4">
      <c r="A107" s="14" t="s">
        <v>5503</v>
      </c>
      <c r="B107" s="16" t="str">
        <f>TRIM("曽根崎署天神橋5丁目交番")</f>
        <v>曽根崎署天神橋5丁目交番</v>
      </c>
      <c r="C107" s="14" t="s">
        <v>1509</v>
      </c>
      <c r="D107" s="14" t="s">
        <v>236</v>
      </c>
      <c r="E107" s="1">
        <v>26.44</v>
      </c>
      <c r="F107" s="2"/>
      <c r="G107" s="1"/>
      <c r="H107" s="3"/>
      <c r="I107" s="14" t="s">
        <v>5349</v>
      </c>
    </row>
    <row r="108" spans="1:9" ht="18.75" customHeight="1" x14ac:dyDescent="0.4">
      <c r="A108" s="14" t="s">
        <v>6803</v>
      </c>
      <c r="B108" s="16" t="str">
        <f>TRIM("住まい情報センター")</f>
        <v>住まい情報センター</v>
      </c>
      <c r="C108" s="14" t="s">
        <v>1509</v>
      </c>
      <c r="D108" s="14" t="s">
        <v>872</v>
      </c>
      <c r="E108" s="1">
        <v>2100.3000000000002</v>
      </c>
      <c r="F108" s="2"/>
      <c r="G108" s="1">
        <v>11271.68</v>
      </c>
      <c r="H108" s="3"/>
      <c r="I108" s="14" t="s">
        <v>6177</v>
      </c>
    </row>
    <row r="109" spans="1:9" ht="18.75" customHeight="1" x14ac:dyDescent="0.4">
      <c r="A109" s="14" t="s">
        <v>1624</v>
      </c>
      <c r="B109" s="16" t="str">
        <f>TRIM("男女共同参画センター子育て活動支援館")</f>
        <v>男女共同参画センター子育て活動支援館</v>
      </c>
      <c r="C109" s="14" t="s">
        <v>1509</v>
      </c>
      <c r="D109" s="14" t="s">
        <v>872</v>
      </c>
      <c r="E109" s="1"/>
      <c r="F109" s="2"/>
      <c r="G109" s="1">
        <v>1606.99</v>
      </c>
      <c r="H109" s="3"/>
      <c r="I109" s="14" t="s">
        <v>1598</v>
      </c>
    </row>
    <row r="110" spans="1:9" ht="18.75" customHeight="1" x14ac:dyDescent="0.4">
      <c r="A110" s="14" t="s">
        <v>5691</v>
      </c>
      <c r="B110" s="16" t="str">
        <f>TRIM("男女共同参画センター子育て活動支援館")</f>
        <v>男女共同参画センター子育て活動支援館</v>
      </c>
      <c r="C110" s="14" t="s">
        <v>1509</v>
      </c>
      <c r="D110" s="14" t="s">
        <v>872</v>
      </c>
      <c r="E110" s="1"/>
      <c r="F110" s="2"/>
      <c r="G110" s="1">
        <v>108.23</v>
      </c>
      <c r="H110" s="3"/>
      <c r="I110" s="14" t="s">
        <v>5617</v>
      </c>
    </row>
    <row r="111" spans="1:9" ht="18.75" customHeight="1" x14ac:dyDescent="0.4">
      <c r="A111" s="14" t="s">
        <v>5410</v>
      </c>
      <c r="B111" s="16" t="str">
        <f>TRIM("もと疎開跡地（北）")</f>
        <v>もと疎開跡地（北）</v>
      </c>
      <c r="C111" s="14" t="s">
        <v>1509</v>
      </c>
      <c r="D111" s="14" t="s">
        <v>166</v>
      </c>
      <c r="E111" s="1">
        <v>11.8</v>
      </c>
      <c r="F111" s="2"/>
      <c r="G111" s="1"/>
      <c r="H111" s="3"/>
      <c r="I111" s="14" t="s">
        <v>5349</v>
      </c>
    </row>
    <row r="112" spans="1:9" ht="18.75" customHeight="1" x14ac:dyDescent="0.4">
      <c r="A112" s="14" t="s">
        <v>4952</v>
      </c>
      <c r="B112" s="16" t="str">
        <f>TRIM("滝川小学校")</f>
        <v>滝川小学校</v>
      </c>
      <c r="C112" s="14" t="s">
        <v>1509</v>
      </c>
      <c r="D112" s="14" t="s">
        <v>510</v>
      </c>
      <c r="E112" s="1">
        <v>6837.13</v>
      </c>
      <c r="F112" s="2"/>
      <c r="G112" s="1">
        <v>6005.42</v>
      </c>
      <c r="H112" s="3"/>
      <c r="I112" s="14" t="s">
        <v>4689</v>
      </c>
    </row>
    <row r="113" spans="1:9" ht="18.75" customHeight="1" x14ac:dyDescent="0.4">
      <c r="A113" s="14" t="s">
        <v>5802</v>
      </c>
      <c r="B113" s="16" t="str">
        <f>TRIM("滝川幼稚園")</f>
        <v>滝川幼稚園</v>
      </c>
      <c r="C113" s="14" t="s">
        <v>1509</v>
      </c>
      <c r="D113" s="14" t="s">
        <v>510</v>
      </c>
      <c r="E113" s="1">
        <v>992</v>
      </c>
      <c r="F113" s="2"/>
      <c r="G113" s="1">
        <v>770</v>
      </c>
      <c r="H113" s="3"/>
      <c r="I113" s="14" t="s">
        <v>5617</v>
      </c>
    </row>
    <row r="114" spans="1:9" ht="18.75" customHeight="1" x14ac:dyDescent="0.4">
      <c r="A114" s="14" t="s">
        <v>3204</v>
      </c>
      <c r="B114" s="16" t="str">
        <f>TRIM("　南天満公園")</f>
        <v>南天満公園</v>
      </c>
      <c r="C114" s="14" t="s">
        <v>1509</v>
      </c>
      <c r="D114" s="14" t="s">
        <v>1209</v>
      </c>
      <c r="E114" s="1">
        <v>19615.62</v>
      </c>
      <c r="F114" s="2"/>
      <c r="G114" s="1"/>
      <c r="H114" s="3"/>
      <c r="I114" s="14" t="s">
        <v>2177</v>
      </c>
    </row>
    <row r="115" spans="1:9" ht="18.75" customHeight="1" x14ac:dyDescent="0.4">
      <c r="A115" s="14" t="s">
        <v>3656</v>
      </c>
      <c r="B115" s="16" t="str">
        <f>TRIM("　南天満公園")</f>
        <v>南天満公園</v>
      </c>
      <c r="C115" s="14" t="s">
        <v>1509</v>
      </c>
      <c r="D115" s="14" t="s">
        <v>1209</v>
      </c>
      <c r="E115" s="1"/>
      <c r="F115" s="2"/>
      <c r="G115" s="1">
        <v>47.43</v>
      </c>
      <c r="H115" s="3"/>
      <c r="I115" s="14" t="s">
        <v>2177</v>
      </c>
    </row>
    <row r="116" spans="1:9" ht="18.75" customHeight="1" x14ac:dyDescent="0.4">
      <c r="A116" s="14" t="s">
        <v>5352</v>
      </c>
      <c r="B116" s="16" t="str">
        <f>TRIM("コミュニティ用地（北区天満）")</f>
        <v>コミュニティ用地（北区天満）</v>
      </c>
      <c r="C116" s="14" t="s">
        <v>1509</v>
      </c>
      <c r="D116" s="14" t="s">
        <v>117</v>
      </c>
      <c r="E116" s="1">
        <v>56.18</v>
      </c>
      <c r="F116" s="2"/>
      <c r="G116" s="1"/>
      <c r="H116" s="3"/>
      <c r="I116" s="14" t="s">
        <v>5349</v>
      </c>
    </row>
    <row r="117" spans="1:9" ht="18.75" customHeight="1" x14ac:dyDescent="0.4">
      <c r="A117" s="14" t="s">
        <v>3011</v>
      </c>
      <c r="B117" s="16" t="str">
        <f>TRIM("　滝川公園")</f>
        <v>滝川公園</v>
      </c>
      <c r="C117" s="14" t="s">
        <v>1509</v>
      </c>
      <c r="D117" s="14" t="s">
        <v>1141</v>
      </c>
      <c r="E117" s="1">
        <v>5716.92</v>
      </c>
      <c r="F117" s="2"/>
      <c r="G117" s="1"/>
      <c r="H117" s="3"/>
      <c r="I117" s="14" t="s">
        <v>2177</v>
      </c>
    </row>
    <row r="118" spans="1:9" ht="18.75" customHeight="1" x14ac:dyDescent="0.4">
      <c r="A118" s="14" t="s">
        <v>3611</v>
      </c>
      <c r="B118" s="16" t="str">
        <f>TRIM("　滝川公園")</f>
        <v>滝川公園</v>
      </c>
      <c r="C118" s="14" t="s">
        <v>1509</v>
      </c>
      <c r="D118" s="14" t="s">
        <v>1141</v>
      </c>
      <c r="E118" s="1"/>
      <c r="F118" s="2"/>
      <c r="G118" s="1">
        <v>15.6</v>
      </c>
      <c r="H118" s="3"/>
      <c r="I118" s="14" t="s">
        <v>2177</v>
      </c>
    </row>
    <row r="119" spans="1:9" ht="18.75" customHeight="1" x14ac:dyDescent="0.4">
      <c r="A119" s="14" t="s">
        <v>5109</v>
      </c>
      <c r="B119" s="16" t="str">
        <f>TRIM("北稜中学校")</f>
        <v>北稜中学校</v>
      </c>
      <c r="C119" s="14" t="s">
        <v>1509</v>
      </c>
      <c r="D119" s="14" t="s">
        <v>14</v>
      </c>
      <c r="E119" s="1">
        <v>9563.9599999999991</v>
      </c>
      <c r="F119" s="2"/>
      <c r="G119" s="1">
        <v>7709.95</v>
      </c>
      <c r="H119" s="3"/>
      <c r="I119" s="14" t="s">
        <v>4689</v>
      </c>
    </row>
    <row r="120" spans="1:9" ht="18.75" customHeight="1" x14ac:dyDescent="0.4">
      <c r="A120" s="14" t="s">
        <v>2358</v>
      </c>
      <c r="B120" s="16" t="str">
        <f>TRIM("もと軌道敷(曽根崎天満橋線)")</f>
        <v>もと軌道敷(曽根崎天満橋線)</v>
      </c>
      <c r="C120" s="14" t="s">
        <v>1509</v>
      </c>
      <c r="D120" s="14" t="s">
        <v>14</v>
      </c>
      <c r="E120" s="1">
        <v>4944.45</v>
      </c>
      <c r="F120" s="2"/>
      <c r="G120" s="1"/>
      <c r="H120" s="3"/>
      <c r="I120" s="14" t="s">
        <v>2177</v>
      </c>
    </row>
    <row r="121" spans="1:9" ht="18.75" customHeight="1" x14ac:dyDescent="0.4">
      <c r="A121" s="14" t="s">
        <v>3149</v>
      </c>
      <c r="B121" s="16" t="str">
        <f>TRIM("　東天満公園")</f>
        <v>東天満公園</v>
      </c>
      <c r="C121" s="14" t="s">
        <v>1509</v>
      </c>
      <c r="D121" s="14" t="s">
        <v>14</v>
      </c>
      <c r="E121" s="1">
        <v>1796.21</v>
      </c>
      <c r="F121" s="2"/>
      <c r="G121" s="1"/>
      <c r="H121" s="3"/>
      <c r="I121" s="14" t="s">
        <v>2177</v>
      </c>
    </row>
    <row r="122" spans="1:9" ht="18.75" customHeight="1" x14ac:dyDescent="0.4">
      <c r="A122" s="14" t="s">
        <v>7021</v>
      </c>
      <c r="B122" s="16" t="str">
        <f>TRIM("旧造幣寮泉布観地区")</f>
        <v>旧造幣寮泉布観地区</v>
      </c>
      <c r="C122" s="14" t="s">
        <v>1509</v>
      </c>
      <c r="D122" s="14" t="s">
        <v>14</v>
      </c>
      <c r="E122" s="1">
        <v>6290.74</v>
      </c>
      <c r="F122" s="2"/>
      <c r="G122" s="1">
        <v>2447.4</v>
      </c>
      <c r="H122" s="3"/>
      <c r="I122" s="14" t="s">
        <v>4115</v>
      </c>
    </row>
    <row r="123" spans="1:9" ht="18.75" customHeight="1" x14ac:dyDescent="0.4">
      <c r="A123" s="14" t="s">
        <v>5600</v>
      </c>
      <c r="B123" s="16" t="str">
        <f>TRIM("もと軌道敷（曽根崎天満橋線）")</f>
        <v>もと軌道敷（曽根崎天満橋線）</v>
      </c>
      <c r="C123" s="14" t="s">
        <v>1509</v>
      </c>
      <c r="D123" s="14" t="s">
        <v>14</v>
      </c>
      <c r="E123" s="1">
        <v>25508.67</v>
      </c>
      <c r="F123" s="2"/>
      <c r="G123" s="1"/>
      <c r="H123" s="3"/>
      <c r="I123" s="14" t="s">
        <v>5349</v>
      </c>
    </row>
    <row r="124" spans="1:9" ht="18.75" customHeight="1" x14ac:dyDescent="0.4">
      <c r="A124" s="14" t="s">
        <v>6067</v>
      </c>
      <c r="B124" s="16" t="str">
        <f>TRIM("もと北部環境事業センター")</f>
        <v>もと北部環境事業センター</v>
      </c>
      <c r="C124" s="14" t="s">
        <v>1509</v>
      </c>
      <c r="D124" s="14" t="s">
        <v>683</v>
      </c>
      <c r="E124" s="1">
        <v>27.89</v>
      </c>
      <c r="F124" s="2">
        <v>2141</v>
      </c>
      <c r="G124" s="1"/>
      <c r="H124" s="3"/>
      <c r="I124" s="14" t="s">
        <v>5977</v>
      </c>
    </row>
    <row r="125" spans="1:9" ht="18.75" customHeight="1" x14ac:dyDescent="0.4">
      <c r="A125" s="14" t="s">
        <v>2115</v>
      </c>
      <c r="B125" s="16" t="str">
        <f>TRIM("堂島地域集会所（もと堂島・中之島老人憩の家）")</f>
        <v>堂島地域集会所（もと堂島・中之島老人憩の家）</v>
      </c>
      <c r="C125" s="14" t="s">
        <v>1509</v>
      </c>
      <c r="D125" s="14" t="s">
        <v>1447</v>
      </c>
      <c r="E125" s="1">
        <v>322.54000000000002</v>
      </c>
      <c r="F125" s="2"/>
      <c r="G125" s="1">
        <v>145.06</v>
      </c>
      <c r="H125" s="3"/>
      <c r="I125" s="14" t="s">
        <v>2067</v>
      </c>
    </row>
    <row r="126" spans="1:9" ht="18.75" customHeight="1" x14ac:dyDescent="0.4">
      <c r="A126" s="14" t="s">
        <v>4343</v>
      </c>
      <c r="B126" s="16" t="str">
        <f>TRIM("堂島地域集会所")</f>
        <v>堂島地域集会所</v>
      </c>
      <c r="C126" s="14" t="s">
        <v>1509</v>
      </c>
      <c r="D126" s="14" t="s">
        <v>1447</v>
      </c>
      <c r="E126" s="1">
        <v>1210.1099999999999</v>
      </c>
      <c r="F126" s="2"/>
      <c r="G126" s="1">
        <v>176.17</v>
      </c>
      <c r="H126" s="3"/>
      <c r="I126" s="14" t="s">
        <v>2067</v>
      </c>
    </row>
    <row r="127" spans="1:9" ht="18.75" customHeight="1" x14ac:dyDescent="0.4">
      <c r="A127" s="14" t="s">
        <v>3168</v>
      </c>
      <c r="B127" s="16" t="str">
        <f>TRIM("　堂島公園")</f>
        <v>堂島公園</v>
      </c>
      <c r="C127" s="14" t="s">
        <v>1509</v>
      </c>
      <c r="D127" s="14" t="s">
        <v>1201</v>
      </c>
      <c r="E127" s="1">
        <v>2001.9</v>
      </c>
      <c r="F127" s="2"/>
      <c r="G127" s="1"/>
      <c r="H127" s="3"/>
      <c r="I127" s="14" t="s">
        <v>2177</v>
      </c>
    </row>
    <row r="128" spans="1:9" ht="18.75" customHeight="1" x14ac:dyDescent="0.4">
      <c r="A128" s="14" t="s">
        <v>5513</v>
      </c>
      <c r="B128" s="16" t="str">
        <f>TRIM("天満署渡辺橋交番")</f>
        <v>天満署渡辺橋交番</v>
      </c>
      <c r="C128" s="14" t="s">
        <v>1509</v>
      </c>
      <c r="D128" s="14" t="s">
        <v>241</v>
      </c>
      <c r="E128" s="1">
        <v>20.170000000000002</v>
      </c>
      <c r="F128" s="2"/>
      <c r="G128" s="1"/>
      <c r="H128" s="3"/>
      <c r="I128" s="14" t="s">
        <v>5349</v>
      </c>
    </row>
    <row r="129" spans="1:9" ht="18.75" customHeight="1" x14ac:dyDescent="0.4">
      <c r="A129" s="18"/>
      <c r="B129" s="14" t="s">
        <v>7165</v>
      </c>
      <c r="C129" s="14" t="s">
        <v>1509</v>
      </c>
      <c r="D129" s="1" t="s">
        <v>241</v>
      </c>
      <c r="E129" s="2"/>
      <c r="F129" s="11"/>
      <c r="G129" s="1">
        <v>718.06</v>
      </c>
      <c r="H129" s="1"/>
      <c r="I129" s="1" t="s">
        <v>2177</v>
      </c>
    </row>
    <row r="130" spans="1:9" ht="18.75" customHeight="1" x14ac:dyDescent="0.4">
      <c r="A130" s="14" t="s">
        <v>1838</v>
      </c>
      <c r="B130" s="16" t="str">
        <f>TRIM("北区北老人福祉センター")</f>
        <v>北区北老人福祉センター</v>
      </c>
      <c r="C130" s="14" t="s">
        <v>1509</v>
      </c>
      <c r="D130" s="14" t="s">
        <v>466</v>
      </c>
      <c r="E130" s="1">
        <v>1674.91</v>
      </c>
      <c r="F130" s="2"/>
      <c r="G130" s="1">
        <v>790.87</v>
      </c>
      <c r="H130" s="3"/>
      <c r="I130" s="14" t="s">
        <v>1654</v>
      </c>
    </row>
    <row r="131" spans="1:9" ht="18.75" customHeight="1" x14ac:dyDescent="0.4">
      <c r="A131" s="14" t="s">
        <v>1688</v>
      </c>
      <c r="B131" s="16" t="str">
        <f>TRIM("医療助成費等償還事務センター")</f>
        <v>医療助成費等償還事務センター</v>
      </c>
      <c r="C131" s="14" t="s">
        <v>1509</v>
      </c>
      <c r="D131" s="14" t="s">
        <v>466</v>
      </c>
      <c r="E131" s="1"/>
      <c r="F131" s="2"/>
      <c r="G131" s="1">
        <v>509.95</v>
      </c>
      <c r="H131" s="3"/>
      <c r="I131" s="14" t="s">
        <v>1654</v>
      </c>
    </row>
    <row r="132" spans="1:9" ht="18.75" customHeight="1" x14ac:dyDescent="0.4">
      <c r="A132" s="14" t="s">
        <v>1719</v>
      </c>
      <c r="B132" s="16" t="str">
        <f>TRIM("障がい福祉サービス事業所 なんばなかよし作業所")</f>
        <v>障がい福祉サービス事業所 なんばなかよし作業所</v>
      </c>
      <c r="C132" s="14" t="s">
        <v>1509</v>
      </c>
      <c r="D132" s="14" t="s">
        <v>466</v>
      </c>
      <c r="E132" s="1"/>
      <c r="F132" s="2"/>
      <c r="G132" s="1">
        <v>290.89999999999998</v>
      </c>
      <c r="H132" s="3"/>
      <c r="I132" s="14" t="s">
        <v>1654</v>
      </c>
    </row>
    <row r="133" spans="1:9" ht="18.75" customHeight="1" x14ac:dyDescent="0.4">
      <c r="A133" s="14" t="s">
        <v>5325</v>
      </c>
      <c r="B133" s="16" t="str">
        <f>TRIM("北消防署与力出張所")</f>
        <v>北消防署与力出張所</v>
      </c>
      <c r="C133" s="14" t="s">
        <v>1509</v>
      </c>
      <c r="D133" s="14" t="s">
        <v>466</v>
      </c>
      <c r="E133" s="1">
        <v>506.77</v>
      </c>
      <c r="F133" s="2"/>
      <c r="G133" s="1">
        <v>516.16999999999996</v>
      </c>
      <c r="H133" s="3"/>
      <c r="I133" s="14" t="s">
        <v>5219</v>
      </c>
    </row>
    <row r="134" spans="1:9" ht="18.75" customHeight="1" x14ac:dyDescent="0.4">
      <c r="A134" s="14" t="s">
        <v>5761</v>
      </c>
      <c r="B134" s="16" t="str">
        <f>TRIM("同心保育園")</f>
        <v>同心保育園</v>
      </c>
      <c r="C134" s="14" t="s">
        <v>1509</v>
      </c>
      <c r="D134" s="14" t="s">
        <v>466</v>
      </c>
      <c r="E134" s="1"/>
      <c r="F134" s="2"/>
      <c r="G134" s="1">
        <v>1081.8900000000001</v>
      </c>
      <c r="H134" s="3"/>
      <c r="I134" s="14" t="s">
        <v>5617</v>
      </c>
    </row>
    <row r="135" spans="1:9" ht="18.75" customHeight="1" x14ac:dyDescent="0.4">
      <c r="A135" s="14" t="s">
        <v>2150</v>
      </c>
      <c r="B135" s="16" t="str">
        <f>TRIM("堀川会館（もと堀川老人憩の家）")</f>
        <v>堀川会館（もと堀川老人憩の家）</v>
      </c>
      <c r="C135" s="14" t="s">
        <v>1509</v>
      </c>
      <c r="D135" s="14" t="s">
        <v>671</v>
      </c>
      <c r="E135" s="1">
        <v>152.1</v>
      </c>
      <c r="F135" s="2"/>
      <c r="G135" s="1">
        <v>106.48</v>
      </c>
      <c r="H135" s="3"/>
      <c r="I135" s="14" t="s">
        <v>2067</v>
      </c>
    </row>
    <row r="136" spans="1:9" ht="18.75" customHeight="1" x14ac:dyDescent="0.4">
      <c r="A136" s="14" t="s">
        <v>6036</v>
      </c>
      <c r="B136" s="16" t="str">
        <f>TRIM("もと北部環境事業センター（管理棟・車庫棟）")</f>
        <v>もと北部環境事業センター（管理棟・車庫棟）</v>
      </c>
      <c r="C136" s="14" t="s">
        <v>1509</v>
      </c>
      <c r="D136" s="14" t="s">
        <v>671</v>
      </c>
      <c r="E136" s="1">
        <v>5264.66</v>
      </c>
      <c r="F136" s="2"/>
      <c r="G136" s="1">
        <v>4465.04</v>
      </c>
      <c r="H136" s="3" t="s">
        <v>7353</v>
      </c>
      <c r="I136" s="14" t="s">
        <v>5977</v>
      </c>
    </row>
    <row r="137" spans="1:9" ht="18.75" customHeight="1" x14ac:dyDescent="0.4">
      <c r="A137" s="14" t="s">
        <v>4348</v>
      </c>
      <c r="B137" s="16" t="str">
        <f>TRIM("堀川会館")</f>
        <v>堀川会館</v>
      </c>
      <c r="C137" s="14" t="s">
        <v>1509</v>
      </c>
      <c r="D137" s="14" t="s">
        <v>671</v>
      </c>
      <c r="E137" s="1"/>
      <c r="F137" s="2"/>
      <c r="G137" s="1">
        <v>105.3</v>
      </c>
      <c r="H137" s="3"/>
      <c r="I137" s="14" t="s">
        <v>2067</v>
      </c>
    </row>
    <row r="138" spans="1:9" ht="18.75" customHeight="1" x14ac:dyDescent="0.4">
      <c r="A138" s="14" t="s">
        <v>5359</v>
      </c>
      <c r="B138" s="16" t="str">
        <f>TRIM("その他の土地（北）")</f>
        <v>その他の土地（北）</v>
      </c>
      <c r="C138" s="14" t="s">
        <v>1509</v>
      </c>
      <c r="D138" s="14" t="s">
        <v>124</v>
      </c>
      <c r="E138" s="1">
        <v>16.59</v>
      </c>
      <c r="F138" s="2"/>
      <c r="G138" s="1"/>
      <c r="H138" s="3"/>
      <c r="I138" s="14" t="s">
        <v>5349</v>
      </c>
    </row>
    <row r="139" spans="1:9" ht="18.75" customHeight="1" x14ac:dyDescent="0.4">
      <c r="A139" s="14" t="s">
        <v>2441</v>
      </c>
      <c r="B139" s="16" t="str">
        <f>TRIM("北野今市線")</f>
        <v>北野今市線</v>
      </c>
      <c r="C139" s="14" t="s">
        <v>1509</v>
      </c>
      <c r="D139" s="14" t="s">
        <v>664</v>
      </c>
      <c r="E139" s="1">
        <v>292.01</v>
      </c>
      <c r="F139" s="2"/>
      <c r="G139" s="1"/>
      <c r="H139" s="3"/>
      <c r="I139" s="14" t="s">
        <v>2177</v>
      </c>
    </row>
    <row r="140" spans="1:9" ht="18.75" customHeight="1" x14ac:dyDescent="0.4">
      <c r="A140" s="14" t="s">
        <v>6155</v>
      </c>
      <c r="B140" s="16" t="str">
        <f>TRIM("南浜霊園")</f>
        <v>南浜霊園</v>
      </c>
      <c r="C140" s="14" t="s">
        <v>1509</v>
      </c>
      <c r="D140" s="14" t="s">
        <v>664</v>
      </c>
      <c r="E140" s="1">
        <v>1585.47</v>
      </c>
      <c r="F140" s="2"/>
      <c r="G140" s="1"/>
      <c r="H140" s="3"/>
      <c r="I140" s="14" t="s">
        <v>5977</v>
      </c>
    </row>
    <row r="141" spans="1:9" ht="18.75" customHeight="1" x14ac:dyDescent="0.4">
      <c r="A141" s="14" t="s">
        <v>2387</v>
      </c>
      <c r="B141" s="16" t="str">
        <f>TRIM("豊崎地下駐車場")</f>
        <v>豊崎地下駐車場</v>
      </c>
      <c r="C141" s="14" t="s">
        <v>1509</v>
      </c>
      <c r="D141" s="14" t="s">
        <v>1239</v>
      </c>
      <c r="E141" s="1"/>
      <c r="F141" s="2"/>
      <c r="G141" s="1">
        <v>6701.9</v>
      </c>
      <c r="H141" s="3"/>
      <c r="I141" s="14" t="s">
        <v>2177</v>
      </c>
    </row>
    <row r="142" spans="1:9" ht="18.75" customHeight="1" x14ac:dyDescent="0.4">
      <c r="A142" s="14" t="s">
        <v>3285</v>
      </c>
      <c r="B142" s="16" t="str">
        <f>TRIM("　豊崎南公園")</f>
        <v>豊崎南公園</v>
      </c>
      <c r="C142" s="14" t="s">
        <v>1509</v>
      </c>
      <c r="D142" s="14" t="s">
        <v>1239</v>
      </c>
      <c r="E142" s="1">
        <v>1344.13</v>
      </c>
      <c r="F142" s="2"/>
      <c r="G142" s="1"/>
      <c r="H142" s="3"/>
      <c r="I142" s="14" t="s">
        <v>2177</v>
      </c>
    </row>
    <row r="143" spans="1:9" ht="18.75" customHeight="1" x14ac:dyDescent="0.4">
      <c r="A143" s="14" t="s">
        <v>5093</v>
      </c>
      <c r="B143" s="16" t="str">
        <f>TRIM("豊崎小学校")</f>
        <v>豊崎小学校</v>
      </c>
      <c r="C143" s="14" t="s">
        <v>1509</v>
      </c>
      <c r="D143" s="14" t="s">
        <v>1238</v>
      </c>
      <c r="E143" s="1">
        <v>2231.09</v>
      </c>
      <c r="F143" s="2"/>
      <c r="G143" s="1">
        <v>6732.92</v>
      </c>
      <c r="H143" s="3"/>
      <c r="I143" s="14" t="s">
        <v>4689</v>
      </c>
    </row>
    <row r="144" spans="1:9" ht="18.75" customHeight="1" x14ac:dyDescent="0.4">
      <c r="A144" s="14" t="s">
        <v>2138</v>
      </c>
      <c r="B144" s="16" t="str">
        <f>TRIM("豊崎地域集会所（もと豊崎会館老人憩の家）")</f>
        <v>豊崎地域集会所（もと豊崎会館老人憩の家）</v>
      </c>
      <c r="C144" s="14" t="s">
        <v>1509</v>
      </c>
      <c r="D144" s="14" t="s">
        <v>1238</v>
      </c>
      <c r="E144" s="1"/>
      <c r="F144" s="2"/>
      <c r="G144" s="1">
        <v>130</v>
      </c>
      <c r="H144" s="3"/>
      <c r="I144" s="14" t="s">
        <v>2067</v>
      </c>
    </row>
    <row r="145" spans="1:9" ht="18.75" customHeight="1" x14ac:dyDescent="0.4">
      <c r="A145" s="14" t="s">
        <v>3284</v>
      </c>
      <c r="B145" s="16" t="str">
        <f>TRIM("　豊崎東公園")</f>
        <v>豊崎東公園</v>
      </c>
      <c r="C145" s="14" t="s">
        <v>1509</v>
      </c>
      <c r="D145" s="14" t="s">
        <v>1238</v>
      </c>
      <c r="E145" s="1">
        <v>7592.36</v>
      </c>
      <c r="F145" s="2"/>
      <c r="G145" s="1"/>
      <c r="H145" s="3"/>
      <c r="I145" s="14" t="s">
        <v>2177</v>
      </c>
    </row>
    <row r="146" spans="1:9" ht="18.75" customHeight="1" x14ac:dyDescent="0.4">
      <c r="A146" s="14" t="s">
        <v>4344</v>
      </c>
      <c r="B146" s="16" t="str">
        <f>TRIM("豊崎地域集会所")</f>
        <v>豊崎地域集会所</v>
      </c>
      <c r="C146" s="14" t="s">
        <v>1509</v>
      </c>
      <c r="D146" s="14" t="s">
        <v>1238</v>
      </c>
      <c r="E146" s="1"/>
      <c r="F146" s="2"/>
      <c r="G146" s="1">
        <v>109.54</v>
      </c>
      <c r="H146" s="3"/>
      <c r="I146" s="14" t="s">
        <v>2067</v>
      </c>
    </row>
    <row r="147" spans="1:9" ht="18.75" customHeight="1" x14ac:dyDescent="0.4">
      <c r="A147" s="14" t="s">
        <v>6784</v>
      </c>
      <c r="B147" s="16" t="str">
        <f>TRIM("もと豊崎住宅")</f>
        <v>もと豊崎住宅</v>
      </c>
      <c r="C147" s="14" t="s">
        <v>1509</v>
      </c>
      <c r="D147" s="14" t="s">
        <v>832</v>
      </c>
      <c r="E147" s="1">
        <v>2935.45</v>
      </c>
      <c r="F147" s="2">
        <v>2069</v>
      </c>
      <c r="G147" s="1">
        <v>3585.89</v>
      </c>
      <c r="H147" s="3"/>
      <c r="I147" s="14" t="s">
        <v>6177</v>
      </c>
    </row>
    <row r="148" spans="1:9" ht="18.75" customHeight="1" x14ac:dyDescent="0.4">
      <c r="A148" s="14" t="s">
        <v>3282</v>
      </c>
      <c r="B148" s="16" t="str">
        <f>TRIM("　豊崎西公園")</f>
        <v>豊崎西公園</v>
      </c>
      <c r="C148" s="14" t="s">
        <v>1509</v>
      </c>
      <c r="D148" s="14" t="s">
        <v>832</v>
      </c>
      <c r="E148" s="1">
        <v>5652.72</v>
      </c>
      <c r="F148" s="2"/>
      <c r="G148" s="1"/>
      <c r="H148" s="3"/>
      <c r="I148" s="14" t="s">
        <v>2177</v>
      </c>
    </row>
    <row r="149" spans="1:9" ht="18.75" customHeight="1" x14ac:dyDescent="0.4">
      <c r="A149" s="14" t="s">
        <v>2218</v>
      </c>
      <c r="B149" s="16" t="str">
        <f>TRIM("国道４２３号（北）（管財課）")</f>
        <v>国道４２３号（北）（管財課）</v>
      </c>
      <c r="C149" s="14" t="s">
        <v>1509</v>
      </c>
      <c r="D149" s="14" t="s">
        <v>914</v>
      </c>
      <c r="E149" s="1">
        <v>1402.67</v>
      </c>
      <c r="F149" s="2"/>
      <c r="G149" s="1"/>
      <c r="H149" s="3"/>
      <c r="I149" s="14" t="s">
        <v>2177</v>
      </c>
    </row>
    <row r="150" spans="1:9" ht="18.75" customHeight="1" x14ac:dyDescent="0.4">
      <c r="A150" s="14" t="s">
        <v>3286</v>
      </c>
      <c r="B150" s="16" t="str">
        <f>TRIM("　豊崎北公園")</f>
        <v>豊崎北公園</v>
      </c>
      <c r="C150" s="14" t="s">
        <v>1509</v>
      </c>
      <c r="D150" s="14" t="s">
        <v>914</v>
      </c>
      <c r="E150" s="1">
        <v>3086.34</v>
      </c>
      <c r="F150" s="2"/>
      <c r="G150" s="1"/>
      <c r="H150" s="3"/>
      <c r="I150" s="14" t="s">
        <v>2177</v>
      </c>
    </row>
    <row r="151" spans="1:9" ht="18.75" customHeight="1" x14ac:dyDescent="0.4">
      <c r="A151" s="14" t="s">
        <v>3731</v>
      </c>
      <c r="B151" s="16" t="str">
        <f>TRIM(" 中津自転車保管所管理事務所")</f>
        <v>中津自転車保管所管理事務所</v>
      </c>
      <c r="C151" s="14" t="s">
        <v>1509</v>
      </c>
      <c r="D151" s="14" t="s">
        <v>914</v>
      </c>
      <c r="E151" s="1"/>
      <c r="F151" s="2"/>
      <c r="G151" s="1">
        <v>26.68</v>
      </c>
      <c r="H151" s="3"/>
      <c r="I151" s="14" t="s">
        <v>2177</v>
      </c>
    </row>
    <row r="152" spans="1:9" ht="18.75" customHeight="1" x14ac:dyDescent="0.4">
      <c r="A152" s="14" t="s">
        <v>6780</v>
      </c>
      <c r="B152" s="16" t="str">
        <f>TRIM("豊崎第1住宅")</f>
        <v>豊崎第1住宅</v>
      </c>
      <c r="C152" s="14" t="s">
        <v>1509</v>
      </c>
      <c r="D152" s="14" t="s">
        <v>833</v>
      </c>
      <c r="E152" s="1">
        <v>2837.51</v>
      </c>
      <c r="F152" s="2"/>
      <c r="G152" s="1">
        <v>8723.34</v>
      </c>
      <c r="H152" s="3"/>
      <c r="I152" s="14" t="s">
        <v>6177</v>
      </c>
    </row>
    <row r="153" spans="1:9" ht="18.75" customHeight="1" x14ac:dyDescent="0.4">
      <c r="A153" s="14" t="s">
        <v>2139</v>
      </c>
      <c r="B153" s="16" t="str">
        <f>TRIM("豊崎福祉会館")</f>
        <v>豊崎福祉会館</v>
      </c>
      <c r="C153" s="14" t="s">
        <v>1509</v>
      </c>
      <c r="D153" s="14" t="s">
        <v>833</v>
      </c>
      <c r="E153" s="1">
        <v>628.49</v>
      </c>
      <c r="F153" s="2"/>
      <c r="G153" s="1"/>
      <c r="H153" s="3"/>
      <c r="I153" s="14" t="s">
        <v>2067</v>
      </c>
    </row>
    <row r="154" spans="1:9" ht="18.75" customHeight="1" x14ac:dyDescent="0.4">
      <c r="A154" s="14" t="s">
        <v>2341</v>
      </c>
      <c r="B154" s="16" t="str">
        <f>TRIM("国道423号線(北)(もと交通局)")</f>
        <v>国道423号線(北)(もと交通局)</v>
      </c>
      <c r="C154" s="14" t="s">
        <v>1509</v>
      </c>
      <c r="D154" s="14" t="s">
        <v>833</v>
      </c>
      <c r="E154" s="1">
        <v>400.1</v>
      </c>
      <c r="F154" s="2"/>
      <c r="G154" s="1"/>
      <c r="H154" s="3"/>
      <c r="I154" s="14" t="s">
        <v>2177</v>
      </c>
    </row>
    <row r="155" spans="1:9" ht="18.75" customHeight="1" x14ac:dyDescent="0.4">
      <c r="A155" s="14" t="s">
        <v>3283</v>
      </c>
      <c r="B155" s="16" t="str">
        <f>TRIM("　豊崎中公園")</f>
        <v>豊崎中公園</v>
      </c>
      <c r="C155" s="14" t="s">
        <v>1509</v>
      </c>
      <c r="D155" s="14" t="s">
        <v>833</v>
      </c>
      <c r="E155" s="1">
        <v>1259.5999999999999</v>
      </c>
      <c r="F155" s="2"/>
      <c r="G155" s="1"/>
      <c r="H155" s="3"/>
      <c r="I155" s="14" t="s">
        <v>2177</v>
      </c>
    </row>
    <row r="156" spans="1:9" ht="18.75" customHeight="1" x14ac:dyDescent="0.4">
      <c r="A156" s="14" t="s">
        <v>7067</v>
      </c>
      <c r="B156" s="16" t="str">
        <f>TRIM("本庄小売市場民営活性化事業施設")</f>
        <v>本庄小売市場民営活性化事業施設</v>
      </c>
      <c r="C156" s="14" t="s">
        <v>1509</v>
      </c>
      <c r="D156" s="14" t="s">
        <v>49</v>
      </c>
      <c r="E156" s="1">
        <v>1842.8</v>
      </c>
      <c r="F156" s="2"/>
      <c r="G156" s="1">
        <v>2506.58</v>
      </c>
      <c r="H156" s="3"/>
      <c r="I156" s="14" t="s">
        <v>4115</v>
      </c>
    </row>
    <row r="157" spans="1:9" ht="18.75" customHeight="1" x14ac:dyDescent="0.4">
      <c r="A157" s="14" t="s">
        <v>4350</v>
      </c>
      <c r="B157" s="16" t="str">
        <f>TRIM("済美福祉センター")</f>
        <v>済美福祉センター</v>
      </c>
      <c r="C157" s="14" t="s">
        <v>1509</v>
      </c>
      <c r="D157" s="14" t="s">
        <v>1053</v>
      </c>
      <c r="E157" s="1">
        <v>1958.87</v>
      </c>
      <c r="F157" s="2"/>
      <c r="G157" s="1">
        <v>60.15</v>
      </c>
      <c r="H157" s="3"/>
      <c r="I157" s="14" t="s">
        <v>2067</v>
      </c>
    </row>
    <row r="158" spans="1:9" ht="18.75" customHeight="1" x14ac:dyDescent="0.4">
      <c r="A158" s="14" t="s">
        <v>2734</v>
      </c>
      <c r="B158" s="16" t="str">
        <f>TRIM("　済美公園")</f>
        <v>済美公園</v>
      </c>
      <c r="C158" s="14" t="s">
        <v>1509</v>
      </c>
      <c r="D158" s="14" t="s">
        <v>1053</v>
      </c>
      <c r="E158" s="1">
        <v>706.15</v>
      </c>
      <c r="F158" s="2"/>
      <c r="G158" s="1"/>
      <c r="H158" s="3"/>
      <c r="I158" s="14" t="s">
        <v>2177</v>
      </c>
    </row>
    <row r="159" spans="1:9" ht="18.75" customHeight="1" x14ac:dyDescent="0.4">
      <c r="A159" s="14" t="s">
        <v>5695</v>
      </c>
      <c r="B159" s="16" t="str">
        <f>TRIM("愛光会館")</f>
        <v>愛光会館</v>
      </c>
      <c r="C159" s="14" t="s">
        <v>1509</v>
      </c>
      <c r="D159" s="14" t="s">
        <v>238</v>
      </c>
      <c r="E159" s="1">
        <v>571.5</v>
      </c>
      <c r="F159" s="2"/>
      <c r="G159" s="1">
        <v>1116.94</v>
      </c>
      <c r="H159" s="3"/>
      <c r="I159" s="14" t="s">
        <v>5617</v>
      </c>
    </row>
    <row r="160" spans="1:9" ht="18.75" customHeight="1" x14ac:dyDescent="0.4">
      <c r="A160" s="14" t="s">
        <v>3895</v>
      </c>
      <c r="B160" s="16" t="str">
        <f>TRIM("地下鉄中津駅自転車駐車場管理事務所")</f>
        <v>地下鉄中津駅自転車駐車場管理事務所</v>
      </c>
      <c r="C160" s="14" t="s">
        <v>1509</v>
      </c>
      <c r="D160" s="14" t="s">
        <v>238</v>
      </c>
      <c r="E160" s="1"/>
      <c r="F160" s="2"/>
      <c r="G160" s="1">
        <v>12.15</v>
      </c>
      <c r="H160" s="3"/>
      <c r="I160" s="14" t="s">
        <v>2177</v>
      </c>
    </row>
    <row r="161" spans="1:9" ht="18.75" customHeight="1" x14ac:dyDescent="0.4">
      <c r="A161" s="14" t="s">
        <v>5507</v>
      </c>
      <c r="B161" s="16" t="str">
        <f>TRIM("大淀警察署")</f>
        <v>大淀警察署</v>
      </c>
      <c r="C161" s="14" t="s">
        <v>1509</v>
      </c>
      <c r="D161" s="14" t="s">
        <v>238</v>
      </c>
      <c r="E161" s="1">
        <v>2006.61</v>
      </c>
      <c r="F161" s="2"/>
      <c r="G161" s="1"/>
      <c r="H161" s="3"/>
      <c r="I161" s="14" t="s">
        <v>5349</v>
      </c>
    </row>
    <row r="162" spans="1:9" ht="18.75" customHeight="1" x14ac:dyDescent="0.4">
      <c r="A162" s="14" t="s">
        <v>5750</v>
      </c>
      <c r="B162" s="16" t="str">
        <f>TRIM("中津保育園")</f>
        <v>中津保育園</v>
      </c>
      <c r="C162" s="14" t="s">
        <v>1509</v>
      </c>
      <c r="D162" s="14" t="s">
        <v>551</v>
      </c>
      <c r="E162" s="1">
        <v>863.44</v>
      </c>
      <c r="F162" s="2"/>
      <c r="G162" s="1">
        <v>416.26</v>
      </c>
      <c r="H162" s="3"/>
      <c r="I162" s="14" t="s">
        <v>5617</v>
      </c>
    </row>
    <row r="163" spans="1:9" ht="18.75" customHeight="1" x14ac:dyDescent="0.4">
      <c r="A163" s="14" t="s">
        <v>6511</v>
      </c>
      <c r="B163" s="16" t="str">
        <f>TRIM("中津住宅")</f>
        <v>中津住宅</v>
      </c>
      <c r="C163" s="14" t="s">
        <v>1509</v>
      </c>
      <c r="D163" s="14" t="s">
        <v>551</v>
      </c>
      <c r="E163" s="1">
        <v>11566.78</v>
      </c>
      <c r="F163" s="2"/>
      <c r="G163" s="1">
        <v>13290.95</v>
      </c>
      <c r="H163" s="3"/>
      <c r="I163" s="14" t="s">
        <v>6177</v>
      </c>
    </row>
    <row r="164" spans="1:9" ht="18.75" customHeight="1" x14ac:dyDescent="0.4">
      <c r="A164" s="14" t="s">
        <v>3047</v>
      </c>
      <c r="B164" s="16" t="str">
        <f>TRIM("　中津公園")</f>
        <v>中津公園</v>
      </c>
      <c r="C164" s="14" t="s">
        <v>1509</v>
      </c>
      <c r="D164" s="14" t="s">
        <v>551</v>
      </c>
      <c r="E164" s="1">
        <v>15681.56</v>
      </c>
      <c r="F164" s="2"/>
      <c r="G164" s="1"/>
      <c r="H164" s="3"/>
      <c r="I164" s="14" t="s">
        <v>2177</v>
      </c>
    </row>
    <row r="165" spans="1:9" ht="18.75" customHeight="1" x14ac:dyDescent="0.4">
      <c r="A165" s="14" t="s">
        <v>3049</v>
      </c>
      <c r="B165" s="16" t="str">
        <f>TRIM("　中津東公園")</f>
        <v>中津東公園</v>
      </c>
      <c r="C165" s="14" t="s">
        <v>1509</v>
      </c>
      <c r="D165" s="14" t="s">
        <v>551</v>
      </c>
      <c r="E165" s="1">
        <v>2643.73</v>
      </c>
      <c r="F165" s="2"/>
      <c r="G165" s="1"/>
      <c r="H165" s="3"/>
      <c r="I165" s="14" t="s">
        <v>2177</v>
      </c>
    </row>
    <row r="166" spans="1:9" ht="18.75" customHeight="1" x14ac:dyDescent="0.4">
      <c r="A166" s="14" t="s">
        <v>3618</v>
      </c>
      <c r="B166" s="16" t="str">
        <f>TRIM("　中津公園")</f>
        <v>中津公園</v>
      </c>
      <c r="C166" s="14" t="s">
        <v>1509</v>
      </c>
      <c r="D166" s="14" t="s">
        <v>551</v>
      </c>
      <c r="E166" s="1"/>
      <c r="F166" s="2"/>
      <c r="G166" s="1">
        <v>6.17</v>
      </c>
      <c r="H166" s="3"/>
      <c r="I166" s="14" t="s">
        <v>2177</v>
      </c>
    </row>
    <row r="167" spans="1:9" ht="18.75" customHeight="1" x14ac:dyDescent="0.4">
      <c r="A167" s="14" t="s">
        <v>4966</v>
      </c>
      <c r="B167" s="16" t="str">
        <f>TRIM("中津小学校")</f>
        <v>中津小学校</v>
      </c>
      <c r="C167" s="14" t="s">
        <v>1509</v>
      </c>
      <c r="D167" s="14" t="s">
        <v>87</v>
      </c>
      <c r="E167" s="1">
        <v>12644.96</v>
      </c>
      <c r="F167" s="2"/>
      <c r="G167" s="1">
        <v>5453.84</v>
      </c>
      <c r="H167" s="3"/>
      <c r="I167" s="14" t="s">
        <v>4689</v>
      </c>
    </row>
    <row r="168" spans="1:9" ht="18.75" customHeight="1" x14ac:dyDescent="0.4">
      <c r="A168" s="14" t="s">
        <v>6209</v>
      </c>
      <c r="B168" s="16" t="str">
        <f>TRIM("中津倉庫")</f>
        <v>中津倉庫</v>
      </c>
      <c r="C168" s="14" t="s">
        <v>1509</v>
      </c>
      <c r="D168" s="14" t="s">
        <v>87</v>
      </c>
      <c r="E168" s="1">
        <v>390.97</v>
      </c>
      <c r="F168" s="2"/>
      <c r="G168" s="1">
        <v>359.42</v>
      </c>
      <c r="H168" s="3"/>
      <c r="I168" s="14" t="s">
        <v>6177</v>
      </c>
    </row>
    <row r="169" spans="1:9" ht="18.75" customHeight="1" x14ac:dyDescent="0.4">
      <c r="A169" s="14" t="s">
        <v>2089</v>
      </c>
      <c r="B169" s="16" t="str">
        <f>TRIM("中津福祉会館（もと中津老人憩の家）")</f>
        <v>中津福祉会館（もと中津老人憩の家）</v>
      </c>
      <c r="C169" s="14" t="s">
        <v>1509</v>
      </c>
      <c r="D169" s="14" t="s">
        <v>87</v>
      </c>
      <c r="E169" s="1"/>
      <c r="F169" s="2"/>
      <c r="G169" s="1">
        <v>110.55</v>
      </c>
      <c r="H169" s="3"/>
      <c r="I169" s="14" t="s">
        <v>2067</v>
      </c>
    </row>
    <row r="170" spans="1:9" ht="18.75" customHeight="1" x14ac:dyDescent="0.4">
      <c r="A170" s="14" t="s">
        <v>3814</v>
      </c>
      <c r="B170" s="16" t="str">
        <f>TRIM("阪急中津駅自転車駐車場管理事務所")</f>
        <v>阪急中津駅自転車駐車場管理事務所</v>
      </c>
      <c r="C170" s="14" t="s">
        <v>1509</v>
      </c>
      <c r="D170" s="14" t="s">
        <v>87</v>
      </c>
      <c r="E170" s="1"/>
      <c r="F170" s="2"/>
      <c r="G170" s="1">
        <v>12.96</v>
      </c>
      <c r="H170" s="3"/>
      <c r="I170" s="14" t="s">
        <v>2177</v>
      </c>
    </row>
    <row r="171" spans="1:9" ht="18.75" customHeight="1" x14ac:dyDescent="0.4">
      <c r="A171" s="14" t="s">
        <v>4342</v>
      </c>
      <c r="B171" s="16" t="str">
        <f>TRIM("中津福祉会館")</f>
        <v>中津福祉会館</v>
      </c>
      <c r="C171" s="14" t="s">
        <v>1509</v>
      </c>
      <c r="D171" s="14" t="s">
        <v>87</v>
      </c>
      <c r="E171" s="1"/>
      <c r="F171" s="2"/>
      <c r="G171" s="1">
        <v>108</v>
      </c>
      <c r="H171" s="3"/>
      <c r="I171" s="14" t="s">
        <v>2067</v>
      </c>
    </row>
    <row r="172" spans="1:9" ht="18.75" customHeight="1" x14ac:dyDescent="0.4">
      <c r="A172" s="14" t="s">
        <v>7133</v>
      </c>
      <c r="B172" s="16" t="str">
        <f>TRIM("北スポーツセンター")</f>
        <v>北スポーツセンター</v>
      </c>
      <c r="C172" s="14" t="s">
        <v>1509</v>
      </c>
      <c r="D172" s="14" t="s">
        <v>87</v>
      </c>
      <c r="E172" s="1">
        <v>3223.76</v>
      </c>
      <c r="F172" s="2"/>
      <c r="G172" s="1">
        <v>2094.44</v>
      </c>
      <c r="H172" s="3"/>
      <c r="I172" s="14" t="s">
        <v>4115</v>
      </c>
    </row>
    <row r="173" spans="1:9" ht="18.75" customHeight="1" x14ac:dyDescent="0.4">
      <c r="A173" s="14" t="s">
        <v>5508</v>
      </c>
      <c r="B173" s="16" t="str">
        <f>TRIM("大淀単身寮")</f>
        <v>大淀単身寮</v>
      </c>
      <c r="C173" s="14" t="s">
        <v>1509</v>
      </c>
      <c r="D173" s="14" t="s">
        <v>87</v>
      </c>
      <c r="E173" s="1">
        <v>1279.33</v>
      </c>
      <c r="F173" s="2"/>
      <c r="G173" s="1"/>
      <c r="H173" s="3"/>
      <c r="I173" s="14" t="s">
        <v>5349</v>
      </c>
    </row>
    <row r="174" spans="1:9" ht="18.75" customHeight="1" x14ac:dyDescent="0.4">
      <c r="A174" s="14" t="s">
        <v>3991</v>
      </c>
      <c r="B174" s="16" t="str">
        <f>TRIM("淀川左岸線（北）")</f>
        <v>淀川左岸線（北）</v>
      </c>
      <c r="C174" s="14" t="s">
        <v>1509</v>
      </c>
      <c r="D174" s="14" t="s">
        <v>1549</v>
      </c>
      <c r="E174" s="1">
        <v>11491.15</v>
      </c>
      <c r="F174" s="2"/>
      <c r="G174" s="1"/>
      <c r="H174" s="3"/>
      <c r="I174" s="14" t="s">
        <v>2177</v>
      </c>
    </row>
    <row r="175" spans="1:9" ht="18.75" customHeight="1" x14ac:dyDescent="0.4">
      <c r="A175" s="14" t="s">
        <v>3050</v>
      </c>
      <c r="B175" s="16" t="str">
        <f>TRIM("　中津南公園")</f>
        <v>中津南公園</v>
      </c>
      <c r="C175" s="14" t="s">
        <v>1509</v>
      </c>
      <c r="D175" s="14" t="s">
        <v>1156</v>
      </c>
      <c r="E175" s="1">
        <v>2702.87</v>
      </c>
      <c r="F175" s="2"/>
      <c r="G175" s="1"/>
      <c r="H175" s="3"/>
      <c r="I175" s="14" t="s">
        <v>2177</v>
      </c>
    </row>
    <row r="176" spans="1:9" ht="18.75" customHeight="1" x14ac:dyDescent="0.4">
      <c r="A176" s="14" t="s">
        <v>6512</v>
      </c>
      <c r="B176" s="16" t="str">
        <f>TRIM("中津第2住宅")</f>
        <v>中津第2住宅</v>
      </c>
      <c r="C176" s="14" t="s">
        <v>1509</v>
      </c>
      <c r="D176" s="14" t="s">
        <v>21</v>
      </c>
      <c r="E176" s="1">
        <v>2045.08</v>
      </c>
      <c r="F176" s="2"/>
      <c r="G176" s="1">
        <v>2444.96</v>
      </c>
      <c r="H176" s="3"/>
      <c r="I176" s="14" t="s">
        <v>6177</v>
      </c>
    </row>
    <row r="177" spans="1:9" ht="18.75" customHeight="1" x14ac:dyDescent="0.4">
      <c r="A177" s="14" t="s">
        <v>6746</v>
      </c>
      <c r="B177" s="16" t="str">
        <f>TRIM("中津第3住宅")</f>
        <v>中津第3住宅</v>
      </c>
      <c r="C177" s="14" t="s">
        <v>1509</v>
      </c>
      <c r="D177" s="14" t="s">
        <v>21</v>
      </c>
      <c r="E177" s="1">
        <v>2335.86</v>
      </c>
      <c r="F177" s="2"/>
      <c r="G177" s="1">
        <v>2769.52</v>
      </c>
      <c r="H177" s="3"/>
      <c r="I177" s="14" t="s">
        <v>6177</v>
      </c>
    </row>
    <row r="178" spans="1:9" ht="18.75" customHeight="1" x14ac:dyDescent="0.4">
      <c r="A178" s="14" t="s">
        <v>7034</v>
      </c>
      <c r="B178" s="16" t="str">
        <f>TRIM("国際学校")</f>
        <v>国際学校</v>
      </c>
      <c r="C178" s="14" t="s">
        <v>1509</v>
      </c>
      <c r="D178" s="14" t="s">
        <v>21</v>
      </c>
      <c r="E178" s="1">
        <v>5964.05</v>
      </c>
      <c r="F178" s="2"/>
      <c r="G178" s="1">
        <v>3009.74</v>
      </c>
      <c r="H178" s="3"/>
      <c r="I178" s="14" t="s">
        <v>4115</v>
      </c>
    </row>
    <row r="179" spans="1:9" ht="18.75" customHeight="1" x14ac:dyDescent="0.4">
      <c r="A179" s="14" t="s">
        <v>2212</v>
      </c>
      <c r="B179" s="16" t="str">
        <f>TRIM("国道１７６号（北）（管財課）")</f>
        <v>国道１７６号（北）（管財課）</v>
      </c>
      <c r="C179" s="14" t="s">
        <v>1509</v>
      </c>
      <c r="D179" s="14" t="s">
        <v>885</v>
      </c>
      <c r="E179" s="1">
        <v>152.37</v>
      </c>
      <c r="F179" s="2"/>
      <c r="G179" s="1"/>
      <c r="H179" s="3"/>
      <c r="I179" s="14" t="s">
        <v>2177</v>
      </c>
    </row>
    <row r="180" spans="1:9" ht="18.75" customHeight="1" x14ac:dyDescent="0.4">
      <c r="A180" s="14" t="s">
        <v>6841</v>
      </c>
      <c r="B180" s="16" t="str">
        <f>TRIM("もと建築物移転先用地（大仁工区・本庄長柄工区）")</f>
        <v>もと建築物移転先用地（大仁工区・本庄長柄工区）</v>
      </c>
      <c r="C180" s="14" t="s">
        <v>1509</v>
      </c>
      <c r="D180" s="14" t="s">
        <v>885</v>
      </c>
      <c r="E180" s="1">
        <v>101.81</v>
      </c>
      <c r="F180" s="2"/>
      <c r="G180" s="1"/>
      <c r="H180" s="3"/>
      <c r="I180" s="14" t="s">
        <v>6177</v>
      </c>
    </row>
    <row r="181" spans="1:9" ht="18.75" customHeight="1" x14ac:dyDescent="0.4">
      <c r="A181" s="14" t="s">
        <v>7005</v>
      </c>
      <c r="B181" s="16" t="str">
        <f>TRIM("市庁舎")</f>
        <v>市庁舎</v>
      </c>
      <c r="C181" s="14" t="s">
        <v>1509</v>
      </c>
      <c r="D181" s="14" t="s">
        <v>96</v>
      </c>
      <c r="E181" s="1">
        <v>13086.05</v>
      </c>
      <c r="F181" s="2"/>
      <c r="G181" s="1">
        <v>75010.52</v>
      </c>
      <c r="H181" s="3"/>
      <c r="I181" s="14" t="s">
        <v>7001</v>
      </c>
    </row>
    <row r="182" spans="1:9" ht="18.75" customHeight="1" x14ac:dyDescent="0.4">
      <c r="A182" s="14" t="s">
        <v>3054</v>
      </c>
      <c r="B182" s="16" t="str">
        <f>TRIM("　中之島公園")</f>
        <v>中之島公園</v>
      </c>
      <c r="C182" s="14" t="s">
        <v>1509</v>
      </c>
      <c r="D182" s="14" t="s">
        <v>96</v>
      </c>
      <c r="E182" s="1">
        <v>23100.240000000002</v>
      </c>
      <c r="F182" s="2"/>
      <c r="G182" s="1"/>
      <c r="H182" s="3"/>
      <c r="I182" s="14" t="s">
        <v>2177</v>
      </c>
    </row>
    <row r="183" spans="1:9" ht="18.75" customHeight="1" x14ac:dyDescent="0.4">
      <c r="A183" s="14" t="s">
        <v>3620</v>
      </c>
      <c r="B183" s="16" t="str">
        <f>TRIM("　中之島公園")</f>
        <v>中之島公園</v>
      </c>
      <c r="C183" s="14" t="s">
        <v>1509</v>
      </c>
      <c r="D183" s="14" t="s">
        <v>96</v>
      </c>
      <c r="E183" s="1"/>
      <c r="F183" s="2"/>
      <c r="G183" s="1">
        <v>292.72000000000003</v>
      </c>
      <c r="H183" s="3"/>
      <c r="I183" s="14" t="s">
        <v>2177</v>
      </c>
    </row>
    <row r="184" spans="1:9" ht="18.75" customHeight="1" x14ac:dyDescent="0.4">
      <c r="A184" s="14" t="s">
        <v>7015</v>
      </c>
      <c r="B184" s="16" t="str">
        <f>TRIM(" 中央公会堂")</f>
        <v>中央公会堂</v>
      </c>
      <c r="C184" s="14" t="s">
        <v>1509</v>
      </c>
      <c r="D184" s="14" t="s">
        <v>96</v>
      </c>
      <c r="E184" s="1"/>
      <c r="F184" s="2"/>
      <c r="G184" s="1">
        <v>9886.56</v>
      </c>
      <c r="H184" s="3"/>
      <c r="I184" s="14" t="s">
        <v>4115</v>
      </c>
    </row>
    <row r="185" spans="1:9" ht="18.75" customHeight="1" x14ac:dyDescent="0.4">
      <c r="A185" s="14" t="s">
        <v>7029</v>
      </c>
      <c r="B185" s="16" t="str">
        <f>TRIM("こども本の森 中之島")</f>
        <v>こども本の森 中之島</v>
      </c>
      <c r="C185" s="14" t="s">
        <v>1509</v>
      </c>
      <c r="D185" s="14" t="s">
        <v>96</v>
      </c>
      <c r="E185" s="1"/>
      <c r="F185" s="2"/>
      <c r="G185" s="1">
        <v>815.1</v>
      </c>
      <c r="H185" s="3"/>
      <c r="I185" s="14" t="s">
        <v>4115</v>
      </c>
    </row>
    <row r="186" spans="1:9" ht="18.75" customHeight="1" x14ac:dyDescent="0.4">
      <c r="A186" s="14" t="s">
        <v>3055</v>
      </c>
      <c r="B186" s="16" t="str">
        <f>TRIM("　中之島緑道")</f>
        <v>中之島緑道</v>
      </c>
      <c r="C186" s="14" t="s">
        <v>1509</v>
      </c>
      <c r="D186" s="14" t="s">
        <v>1157</v>
      </c>
      <c r="E186" s="1">
        <v>2141.69</v>
      </c>
      <c r="F186" s="2"/>
      <c r="G186" s="1"/>
      <c r="H186" s="3"/>
      <c r="I186" s="14" t="s">
        <v>2177</v>
      </c>
    </row>
    <row r="187" spans="1:9" ht="18.75" customHeight="1" x14ac:dyDescent="0.4">
      <c r="A187" s="14" t="s">
        <v>5480</v>
      </c>
      <c r="B187" s="16" t="str">
        <f>TRIM("契約管財局賃貸地（北）")</f>
        <v>契約管財局賃貸地（北）</v>
      </c>
      <c r="C187" s="14" t="s">
        <v>1509</v>
      </c>
      <c r="D187" s="14" t="s">
        <v>217</v>
      </c>
      <c r="E187" s="1">
        <v>68.77</v>
      </c>
      <c r="F187" s="2"/>
      <c r="G187" s="1"/>
      <c r="H187" s="3"/>
      <c r="I187" s="14" t="s">
        <v>5349</v>
      </c>
    </row>
    <row r="188" spans="1:9" ht="18.75" customHeight="1" x14ac:dyDescent="0.4">
      <c r="A188" s="14" t="s">
        <v>1636</v>
      </c>
      <c r="B188" s="16" t="str">
        <f>TRIM("もと中之島阪大周辺用地先行取得事業用地")</f>
        <v>もと中之島阪大周辺用地先行取得事業用地</v>
      </c>
      <c r="C188" s="14" t="s">
        <v>1509</v>
      </c>
      <c r="D188" s="14" t="s">
        <v>13</v>
      </c>
      <c r="E188" s="1">
        <v>157.16</v>
      </c>
      <c r="F188" s="2">
        <v>856</v>
      </c>
      <c r="G188" s="1"/>
      <c r="H188" s="3"/>
      <c r="I188" s="14" t="s">
        <v>1633</v>
      </c>
    </row>
    <row r="189" spans="1:9" ht="18.75" customHeight="1" x14ac:dyDescent="0.4">
      <c r="A189" s="14" t="s">
        <v>5416</v>
      </c>
      <c r="B189" s="16" t="str">
        <f>TRIM("もと中之島女子商業")</f>
        <v>もと中之島女子商業</v>
      </c>
      <c r="C189" s="14" t="s">
        <v>1509</v>
      </c>
      <c r="D189" s="14" t="s">
        <v>13</v>
      </c>
      <c r="E189" s="1">
        <v>1306.6099999999999</v>
      </c>
      <c r="F189" s="2" t="s">
        <v>7311</v>
      </c>
      <c r="G189" s="1"/>
      <c r="H189" s="3"/>
      <c r="I189" s="14" t="s">
        <v>5349</v>
      </c>
    </row>
    <row r="190" spans="1:9" ht="18.75" customHeight="1" x14ac:dyDescent="0.4">
      <c r="A190" s="14" t="s">
        <v>1643</v>
      </c>
      <c r="B190" s="16" t="str">
        <f>TRIM("もと中之島市街地整備事業用地")</f>
        <v>もと中之島市街地整備事業用地</v>
      </c>
      <c r="C190" s="14" t="s">
        <v>1509</v>
      </c>
      <c r="D190" s="14" t="s">
        <v>13</v>
      </c>
      <c r="E190" s="1">
        <v>2262.16</v>
      </c>
      <c r="F190" s="2" t="s">
        <v>7275</v>
      </c>
      <c r="G190" s="1"/>
      <c r="H190" s="3"/>
      <c r="I190" s="14" t="s">
        <v>1633</v>
      </c>
    </row>
    <row r="191" spans="1:9" ht="18.75" customHeight="1" x14ac:dyDescent="0.4">
      <c r="A191" s="14" t="s">
        <v>4074</v>
      </c>
      <c r="B191" s="16" t="str">
        <f>TRIM("中之島抽水所")</f>
        <v>中之島抽水所</v>
      </c>
      <c r="C191" s="14" t="s">
        <v>1509</v>
      </c>
      <c r="D191" s="14" t="s">
        <v>13</v>
      </c>
      <c r="E191" s="1">
        <v>1999.44</v>
      </c>
      <c r="F191" s="2"/>
      <c r="G191" s="1">
        <v>1465.95</v>
      </c>
      <c r="H191" s="3"/>
      <c r="I191" s="14" t="s">
        <v>2177</v>
      </c>
    </row>
    <row r="192" spans="1:9" ht="18.75" customHeight="1" x14ac:dyDescent="0.4">
      <c r="A192" s="14" t="s">
        <v>1652</v>
      </c>
      <c r="B192" s="16" t="str">
        <f>TRIM("未来医療国際拠点事業用地")</f>
        <v>未来医療国際拠点事業用地</v>
      </c>
      <c r="C192" s="14" t="s">
        <v>1509</v>
      </c>
      <c r="D192" s="14" t="s">
        <v>13</v>
      </c>
      <c r="E192" s="1">
        <v>8600</v>
      </c>
      <c r="F192" s="2"/>
      <c r="G192" s="1"/>
      <c r="H192" s="3"/>
      <c r="I192" s="14" t="s">
        <v>1633</v>
      </c>
    </row>
    <row r="193" spans="1:9" ht="18.75" customHeight="1" x14ac:dyDescent="0.4">
      <c r="A193" s="14" t="s">
        <v>7020</v>
      </c>
      <c r="B193" s="16" t="str">
        <f>TRIM("もと科学館")</f>
        <v>もと科学館</v>
      </c>
      <c r="C193" s="14" t="s">
        <v>1509</v>
      </c>
      <c r="D193" s="14" t="s">
        <v>13</v>
      </c>
      <c r="E193" s="1">
        <v>16065.43</v>
      </c>
      <c r="F193" s="2"/>
      <c r="G193" s="1"/>
      <c r="H193" s="3"/>
      <c r="I193" s="14" t="s">
        <v>4115</v>
      </c>
    </row>
    <row r="194" spans="1:9" ht="18.75" customHeight="1" x14ac:dyDescent="0.4">
      <c r="A194" s="14" t="s">
        <v>7031</v>
      </c>
      <c r="B194" s="16" t="str">
        <f>TRIM("もと近代美術館")</f>
        <v>もと近代美術館</v>
      </c>
      <c r="C194" s="14" t="s">
        <v>1509</v>
      </c>
      <c r="D194" s="14" t="s">
        <v>13</v>
      </c>
      <c r="E194" s="1">
        <v>12870.54</v>
      </c>
      <c r="F194" s="2"/>
      <c r="G194" s="1"/>
      <c r="H194" s="3"/>
      <c r="I194" s="14" t="s">
        <v>4115</v>
      </c>
    </row>
    <row r="195" spans="1:9" ht="18.75" customHeight="1" x14ac:dyDescent="0.4">
      <c r="A195" s="14" t="s">
        <v>2243</v>
      </c>
      <c r="B195" s="16" t="str">
        <f>TRIM("大阪伊丹線（北）（管財課）")</f>
        <v>大阪伊丹線（北）（管財課）</v>
      </c>
      <c r="C195" s="14" t="s">
        <v>1509</v>
      </c>
      <c r="D195" s="14" t="s">
        <v>309</v>
      </c>
      <c r="E195" s="1">
        <v>27</v>
      </c>
      <c r="F195" s="2"/>
      <c r="G195" s="1"/>
      <c r="H195" s="3"/>
      <c r="I195" s="14" t="s">
        <v>2177</v>
      </c>
    </row>
    <row r="196" spans="1:9" ht="18.75" customHeight="1" x14ac:dyDescent="0.4">
      <c r="A196" s="14" t="s">
        <v>4701</v>
      </c>
      <c r="B196" s="16" t="str">
        <f>TRIM("もと扇町高等学校")</f>
        <v>もと扇町高等学校</v>
      </c>
      <c r="C196" s="14" t="s">
        <v>1509</v>
      </c>
      <c r="D196" s="14" t="s">
        <v>309</v>
      </c>
      <c r="E196" s="1">
        <v>5795.6</v>
      </c>
      <c r="F196" s="2"/>
      <c r="G196" s="1"/>
      <c r="H196" s="3"/>
      <c r="I196" s="14" t="s">
        <v>4689</v>
      </c>
    </row>
    <row r="197" spans="1:9" ht="18.75" customHeight="1" x14ac:dyDescent="0.4">
      <c r="A197" s="14" t="s">
        <v>5151</v>
      </c>
      <c r="B197" s="16" t="str">
        <f>TRIM("中之島小中一貫校")</f>
        <v>中之島小中一貫校</v>
      </c>
      <c r="C197" s="14" t="s">
        <v>1509</v>
      </c>
      <c r="D197" s="14" t="s">
        <v>947</v>
      </c>
      <c r="E197" s="1">
        <v>6204.39</v>
      </c>
      <c r="F197" s="2"/>
      <c r="G197" s="1">
        <v>15872.01</v>
      </c>
      <c r="H197" s="3"/>
      <c r="I197" s="14" t="s">
        <v>4689</v>
      </c>
    </row>
    <row r="198" spans="1:9" ht="18.75" customHeight="1" x14ac:dyDescent="0.4">
      <c r="A198" s="14" t="s">
        <v>2279</v>
      </c>
      <c r="B198" s="16" t="str">
        <f>TRIM("大阪臨海線（北）（管財課）")</f>
        <v>大阪臨海線（北）（管財課）</v>
      </c>
      <c r="C198" s="14" t="s">
        <v>1509</v>
      </c>
      <c r="D198" s="14" t="s">
        <v>947</v>
      </c>
      <c r="E198" s="1">
        <v>1373.2</v>
      </c>
      <c r="F198" s="2"/>
      <c r="G198" s="1"/>
      <c r="H198" s="3"/>
      <c r="I198" s="14" t="s">
        <v>2177</v>
      </c>
    </row>
    <row r="199" spans="1:9" ht="18.75" customHeight="1" x14ac:dyDescent="0.4">
      <c r="A199" s="14" t="s">
        <v>2484</v>
      </c>
      <c r="B199" s="16" t="str">
        <f>TRIM("共同物揚場（北）")</f>
        <v>共同物揚場（北）</v>
      </c>
      <c r="C199" s="14" t="s">
        <v>1509</v>
      </c>
      <c r="D199" s="14" t="s">
        <v>947</v>
      </c>
      <c r="E199" s="1">
        <v>16.52</v>
      </c>
      <c r="F199" s="2"/>
      <c r="G199" s="1"/>
      <c r="H199" s="3"/>
      <c r="I199" s="14" t="s">
        <v>2177</v>
      </c>
    </row>
    <row r="200" spans="1:9" ht="18.75" customHeight="1" x14ac:dyDescent="0.4">
      <c r="A200" s="14" t="s">
        <v>2519</v>
      </c>
      <c r="B200" s="16" t="str">
        <f>TRIM("　中之島西公園")</f>
        <v>中之島西公園</v>
      </c>
      <c r="C200" s="14" t="s">
        <v>1509</v>
      </c>
      <c r="D200" s="14" t="s">
        <v>947</v>
      </c>
      <c r="E200" s="1">
        <v>5852.19</v>
      </c>
      <c r="F200" s="2"/>
      <c r="G200" s="1"/>
      <c r="H200" s="3"/>
      <c r="I200" s="14" t="s">
        <v>2177</v>
      </c>
    </row>
    <row r="201" spans="1:9" ht="18.75" customHeight="1" x14ac:dyDescent="0.4">
      <c r="A201" s="14" t="s">
        <v>6543</v>
      </c>
      <c r="B201" s="16" t="str">
        <f>TRIM("長柄中住宅")</f>
        <v>長柄中住宅</v>
      </c>
      <c r="C201" s="14" t="s">
        <v>1509</v>
      </c>
      <c r="D201" s="14" t="s">
        <v>386</v>
      </c>
      <c r="E201" s="1">
        <v>7725.15</v>
      </c>
      <c r="F201" s="2"/>
      <c r="G201" s="1">
        <v>12397.35</v>
      </c>
      <c r="H201" s="3"/>
      <c r="I201" s="14" t="s">
        <v>6177</v>
      </c>
    </row>
    <row r="202" spans="1:9" ht="18.75" customHeight="1" x14ac:dyDescent="0.4">
      <c r="A202" s="14" t="s">
        <v>1883</v>
      </c>
      <c r="B202" s="16" t="str">
        <f>TRIM("新豊崎地域在宅サービスステーション")</f>
        <v>新豊崎地域在宅サービスステーション</v>
      </c>
      <c r="C202" s="14" t="s">
        <v>1509</v>
      </c>
      <c r="D202" s="14" t="s">
        <v>386</v>
      </c>
      <c r="E202" s="1">
        <v>229.2</v>
      </c>
      <c r="F202" s="2"/>
      <c r="G202" s="1"/>
      <c r="H202" s="3"/>
      <c r="I202" s="14" t="s">
        <v>1654</v>
      </c>
    </row>
    <row r="203" spans="1:9" ht="18.75" customHeight="1" x14ac:dyDescent="0.4">
      <c r="A203" s="14" t="s">
        <v>5756</v>
      </c>
      <c r="B203" s="16" t="str">
        <f>TRIM("鶴満寺保育所")</f>
        <v>鶴満寺保育所</v>
      </c>
      <c r="C203" s="14" t="s">
        <v>1509</v>
      </c>
      <c r="D203" s="14" t="s">
        <v>386</v>
      </c>
      <c r="E203" s="1">
        <v>542.58000000000004</v>
      </c>
      <c r="F203" s="2"/>
      <c r="G203" s="1"/>
      <c r="H203" s="3"/>
      <c r="I203" s="14" t="s">
        <v>5617</v>
      </c>
    </row>
    <row r="204" spans="1:9" ht="18.75" customHeight="1" x14ac:dyDescent="0.4">
      <c r="A204" s="14" t="s">
        <v>5095</v>
      </c>
      <c r="B204" s="16" t="str">
        <f>TRIM("豊崎東小学校")</f>
        <v>豊崎東小学校</v>
      </c>
      <c r="C204" s="14" t="s">
        <v>1509</v>
      </c>
      <c r="D204" s="14" t="s">
        <v>669</v>
      </c>
      <c r="E204" s="1">
        <v>8710.24</v>
      </c>
      <c r="F204" s="2"/>
      <c r="G204" s="1">
        <v>6841.97</v>
      </c>
      <c r="H204" s="3"/>
      <c r="I204" s="14" t="s">
        <v>4689</v>
      </c>
    </row>
    <row r="205" spans="1:9" ht="18.75" customHeight="1" x14ac:dyDescent="0.4">
      <c r="A205" s="14" t="s">
        <v>6168</v>
      </c>
      <c r="B205" s="16" t="str">
        <f>TRIM("北霊園")</f>
        <v>北霊園</v>
      </c>
      <c r="C205" s="14" t="s">
        <v>1509</v>
      </c>
      <c r="D205" s="14" t="s">
        <v>669</v>
      </c>
      <c r="E205" s="1">
        <v>20236.16</v>
      </c>
      <c r="F205" s="2"/>
      <c r="G205" s="1">
        <v>203.83</v>
      </c>
      <c r="H205" s="3"/>
      <c r="I205" s="14" t="s">
        <v>5977</v>
      </c>
    </row>
    <row r="206" spans="1:9" ht="18.75" customHeight="1" x14ac:dyDescent="0.4">
      <c r="A206" s="14" t="s">
        <v>2140</v>
      </c>
      <c r="B206" s="16" t="str">
        <f>TRIM("豊仁地域集会所（もと豊仁福祉老人憩の家）")</f>
        <v>豊仁地域集会所（もと豊仁福祉老人憩の家）</v>
      </c>
      <c r="C206" s="14" t="s">
        <v>1509</v>
      </c>
      <c r="D206" s="14" t="s">
        <v>878</v>
      </c>
      <c r="E206" s="1">
        <v>370.34</v>
      </c>
      <c r="F206" s="2"/>
      <c r="G206" s="1">
        <v>125</v>
      </c>
      <c r="H206" s="3"/>
      <c r="I206" s="14" t="s">
        <v>2067</v>
      </c>
    </row>
    <row r="207" spans="1:9" ht="18.75" customHeight="1" x14ac:dyDescent="0.4">
      <c r="A207" s="14" t="s">
        <v>4345</v>
      </c>
      <c r="B207" s="16" t="str">
        <f>TRIM("豊仁地域集会所")</f>
        <v>豊仁地域集会所</v>
      </c>
      <c r="C207" s="14" t="s">
        <v>1509</v>
      </c>
      <c r="D207" s="14" t="s">
        <v>878</v>
      </c>
      <c r="E207" s="1"/>
      <c r="F207" s="2"/>
      <c r="G207" s="1">
        <v>125</v>
      </c>
      <c r="H207" s="3"/>
      <c r="I207" s="14" t="s">
        <v>2067</v>
      </c>
    </row>
    <row r="208" spans="1:9" ht="18.75" customHeight="1" x14ac:dyDescent="0.4">
      <c r="A208" s="14" t="s">
        <v>6820</v>
      </c>
      <c r="B208" s="16" t="str">
        <f>TRIM("肩替地（本庄長柄）")</f>
        <v>肩替地（本庄長柄）</v>
      </c>
      <c r="C208" s="14" t="s">
        <v>1509</v>
      </c>
      <c r="D208" s="14" t="s">
        <v>878</v>
      </c>
      <c r="E208" s="1">
        <v>33.56</v>
      </c>
      <c r="F208" s="2"/>
      <c r="G208" s="1"/>
      <c r="H208" s="3"/>
      <c r="I208" s="14" t="s">
        <v>6177</v>
      </c>
    </row>
    <row r="209" spans="1:9" ht="18.75" customHeight="1" x14ac:dyDescent="0.4">
      <c r="A209" s="14" t="s">
        <v>1692</v>
      </c>
      <c r="B209" s="16" t="str">
        <f>TRIM("もと更生相談所一時保護所(もと自立支援センター大淀)")</f>
        <v>もと更生相談所一時保護所(もと自立支援センター大淀)</v>
      </c>
      <c r="C209" s="14" t="s">
        <v>1509</v>
      </c>
      <c r="D209" s="14" t="s">
        <v>336</v>
      </c>
      <c r="E209" s="1">
        <v>504.46</v>
      </c>
      <c r="F209" s="2">
        <v>1749</v>
      </c>
      <c r="G209" s="1"/>
      <c r="H209" s="3"/>
      <c r="I209" s="14" t="s">
        <v>1654</v>
      </c>
    </row>
    <row r="210" spans="1:9" ht="18.75" customHeight="1" x14ac:dyDescent="0.4">
      <c r="A210" s="14" t="s">
        <v>1685</v>
      </c>
      <c r="B210" s="16" t="str">
        <f>TRIM("もと救護・更生施設大淀寮")</f>
        <v>もと救護・更生施設大淀寮</v>
      </c>
      <c r="C210" s="14" t="s">
        <v>1509</v>
      </c>
      <c r="D210" s="14" t="s">
        <v>336</v>
      </c>
      <c r="E210" s="1">
        <v>2827.66</v>
      </c>
      <c r="F210" s="2">
        <v>1750</v>
      </c>
      <c r="G210" s="1">
        <v>4729.5</v>
      </c>
      <c r="H210" s="3"/>
      <c r="I210" s="14" t="s">
        <v>1654</v>
      </c>
    </row>
    <row r="211" spans="1:9" ht="18.75" customHeight="1" x14ac:dyDescent="0.4">
      <c r="A211" s="14" t="s">
        <v>6164</v>
      </c>
      <c r="B211" s="16" t="str">
        <f>TRIM("北斎場")</f>
        <v>北斎場</v>
      </c>
      <c r="C211" s="14" t="s">
        <v>1509</v>
      </c>
      <c r="D211" s="14" t="s">
        <v>336</v>
      </c>
      <c r="E211" s="1">
        <v>7131.98</v>
      </c>
      <c r="F211" s="2"/>
      <c r="G211" s="1">
        <v>12374.93</v>
      </c>
      <c r="H211" s="3"/>
      <c r="I211" s="14" t="s">
        <v>5977</v>
      </c>
    </row>
    <row r="212" spans="1:9" ht="18.75" customHeight="1" x14ac:dyDescent="0.4">
      <c r="A212" s="14" t="s">
        <v>1693</v>
      </c>
      <c r="B212" s="16" t="str">
        <f>TRIM("もと長柄寮(もと自立支援センター大淀)")</f>
        <v>もと長柄寮(もと自立支援センター大淀)</v>
      </c>
      <c r="C212" s="14" t="s">
        <v>1509</v>
      </c>
      <c r="D212" s="14" t="s">
        <v>336</v>
      </c>
      <c r="E212" s="1"/>
      <c r="F212" s="2"/>
      <c r="G212" s="1">
        <v>923.22</v>
      </c>
      <c r="H212" s="3"/>
      <c r="I212" s="14" t="s">
        <v>1654</v>
      </c>
    </row>
    <row r="213" spans="1:9" ht="18.75" customHeight="1" x14ac:dyDescent="0.4">
      <c r="A213" s="14" t="s">
        <v>3072</v>
      </c>
      <c r="B213" s="16" t="str">
        <f>TRIM("　長柄西公園")</f>
        <v>長柄西公園</v>
      </c>
      <c r="C213" s="14" t="s">
        <v>1509</v>
      </c>
      <c r="D213" s="14" t="s">
        <v>336</v>
      </c>
      <c r="E213" s="1">
        <v>1552.31</v>
      </c>
      <c r="F213" s="2"/>
      <c r="G213" s="1"/>
      <c r="H213" s="3"/>
      <c r="I213" s="14" t="s">
        <v>2177</v>
      </c>
    </row>
    <row r="214" spans="1:9" ht="18.75" customHeight="1" x14ac:dyDescent="0.4">
      <c r="A214" s="14" t="s">
        <v>5098</v>
      </c>
      <c r="B214" s="16" t="str">
        <f>TRIM("豊仁小学校")</f>
        <v>豊仁小学校</v>
      </c>
      <c r="C214" s="14" t="s">
        <v>1509</v>
      </c>
      <c r="D214" s="14" t="s">
        <v>1162</v>
      </c>
      <c r="E214" s="1">
        <v>5820.32</v>
      </c>
      <c r="F214" s="2"/>
      <c r="G214" s="1">
        <v>7199.64</v>
      </c>
      <c r="H214" s="3"/>
      <c r="I214" s="14" t="s">
        <v>4689</v>
      </c>
    </row>
    <row r="215" spans="1:9" ht="18.75" customHeight="1" x14ac:dyDescent="0.4">
      <c r="A215" s="14" t="s">
        <v>3071</v>
      </c>
      <c r="B215" s="16" t="str">
        <f>TRIM("　長柄公園")</f>
        <v>長柄公園</v>
      </c>
      <c r="C215" s="14" t="s">
        <v>1509</v>
      </c>
      <c r="D215" s="14" t="s">
        <v>1162</v>
      </c>
      <c r="E215" s="1">
        <v>4174.7700000000004</v>
      </c>
      <c r="F215" s="2"/>
      <c r="G215" s="1"/>
      <c r="H215" s="3"/>
      <c r="I215" s="14" t="s">
        <v>2177</v>
      </c>
    </row>
    <row r="216" spans="1:9" ht="18.75" customHeight="1" x14ac:dyDescent="0.4">
      <c r="A216" s="14" t="s">
        <v>3073</v>
      </c>
      <c r="B216" s="16" t="str">
        <f>TRIM("　長柄東公園")</f>
        <v>長柄東公園</v>
      </c>
      <c r="C216" s="14" t="s">
        <v>1509</v>
      </c>
      <c r="D216" s="14" t="s">
        <v>1163</v>
      </c>
      <c r="E216" s="1">
        <v>12055.55</v>
      </c>
      <c r="F216" s="2"/>
      <c r="G216" s="1"/>
      <c r="H216" s="3"/>
      <c r="I216" s="14" t="s">
        <v>2177</v>
      </c>
    </row>
    <row r="217" spans="1:9" ht="18.75" customHeight="1" x14ac:dyDescent="0.4">
      <c r="A217" s="14" t="s">
        <v>3097</v>
      </c>
      <c r="B217" s="16" t="str">
        <f>TRIM("　鶴満寺公園")</f>
        <v>鶴満寺公園</v>
      </c>
      <c r="C217" s="14" t="s">
        <v>1509</v>
      </c>
      <c r="D217" s="14" t="s">
        <v>1163</v>
      </c>
      <c r="E217" s="1">
        <v>2902.84</v>
      </c>
      <c r="F217" s="2"/>
      <c r="G217" s="1"/>
      <c r="H217" s="3"/>
      <c r="I217" s="14" t="s">
        <v>2177</v>
      </c>
    </row>
    <row r="218" spans="1:9" ht="18.75" customHeight="1" x14ac:dyDescent="0.4">
      <c r="A218" s="14" t="s">
        <v>3626</v>
      </c>
      <c r="B218" s="16" t="str">
        <f>TRIM("　長柄東公園")</f>
        <v>長柄東公園</v>
      </c>
      <c r="C218" s="14" t="s">
        <v>1509</v>
      </c>
      <c r="D218" s="14" t="s">
        <v>1163</v>
      </c>
      <c r="E218" s="1"/>
      <c r="F218" s="2"/>
      <c r="G218" s="1">
        <v>19.2</v>
      </c>
      <c r="H218" s="3"/>
      <c r="I218" s="14" t="s">
        <v>2177</v>
      </c>
    </row>
    <row r="219" spans="1:9" ht="18.75" customHeight="1" x14ac:dyDescent="0.4">
      <c r="A219" s="14" t="s">
        <v>3635</v>
      </c>
      <c r="B219" s="16" t="str">
        <f>TRIM("　鶴満寺公園")</f>
        <v>鶴満寺公園</v>
      </c>
      <c r="C219" s="14" t="s">
        <v>1509</v>
      </c>
      <c r="D219" s="14" t="s">
        <v>1163</v>
      </c>
      <c r="E219" s="1"/>
      <c r="F219" s="2"/>
      <c r="G219" s="1">
        <v>19.2</v>
      </c>
      <c r="H219" s="3"/>
      <c r="I219" s="14" t="s">
        <v>2177</v>
      </c>
    </row>
    <row r="220" spans="1:9" ht="18.75" customHeight="1" x14ac:dyDescent="0.4">
      <c r="A220" s="14" t="s">
        <v>4881</v>
      </c>
      <c r="B220" s="16" t="str">
        <f>TRIM("新豊崎中学校")</f>
        <v>新豊崎中学校</v>
      </c>
      <c r="C220" s="14" t="s">
        <v>1509</v>
      </c>
      <c r="D220" s="14" t="s">
        <v>798</v>
      </c>
      <c r="E220" s="1">
        <v>15902.69</v>
      </c>
      <c r="F220" s="2"/>
      <c r="G220" s="1">
        <v>6755.81</v>
      </c>
      <c r="H220" s="3"/>
      <c r="I220" s="14" t="s">
        <v>4689</v>
      </c>
    </row>
    <row r="221" spans="1:9" ht="18.75" customHeight="1" x14ac:dyDescent="0.4">
      <c r="A221" s="14" t="s">
        <v>6544</v>
      </c>
      <c r="B221" s="16" t="str">
        <f>TRIM("長柄東住宅")</f>
        <v>長柄東住宅</v>
      </c>
      <c r="C221" s="14" t="s">
        <v>1509</v>
      </c>
      <c r="D221" s="14" t="s">
        <v>798</v>
      </c>
      <c r="E221" s="1">
        <v>24291.89</v>
      </c>
      <c r="F221" s="2"/>
      <c r="G221" s="1">
        <v>38263.08</v>
      </c>
      <c r="H221" s="3"/>
      <c r="I221" s="14" t="s">
        <v>6177</v>
      </c>
    </row>
    <row r="222" spans="1:9" ht="18.75" customHeight="1" x14ac:dyDescent="0.4">
      <c r="A222" s="14" t="s">
        <v>6545</v>
      </c>
      <c r="B222" s="16" t="str">
        <f>TRIM("長柄東第2住宅")</f>
        <v>長柄東第2住宅</v>
      </c>
      <c r="C222" s="14" t="s">
        <v>1509</v>
      </c>
      <c r="D222" s="14" t="s">
        <v>798</v>
      </c>
      <c r="E222" s="1">
        <v>3869.53</v>
      </c>
      <c r="F222" s="2"/>
      <c r="G222" s="1">
        <v>9193.27</v>
      </c>
      <c r="H222" s="3"/>
      <c r="I222" s="14" t="s">
        <v>6177</v>
      </c>
    </row>
    <row r="223" spans="1:9" ht="18.75" customHeight="1" x14ac:dyDescent="0.4">
      <c r="A223" s="14" t="s">
        <v>6542</v>
      </c>
      <c r="B223" s="16" t="str">
        <f>TRIM("長柄第2住宅")</f>
        <v>長柄第2住宅</v>
      </c>
      <c r="C223" s="14" t="s">
        <v>1509</v>
      </c>
      <c r="D223" s="14" t="s">
        <v>797</v>
      </c>
      <c r="E223" s="1">
        <v>3377.03</v>
      </c>
      <c r="F223" s="2"/>
      <c r="G223" s="1">
        <v>3856.8</v>
      </c>
      <c r="H223" s="3"/>
      <c r="I223" s="14" t="s">
        <v>6177</v>
      </c>
    </row>
    <row r="224" spans="1:9" ht="18.75" customHeight="1" x14ac:dyDescent="0.4">
      <c r="A224" s="14" t="s">
        <v>5752</v>
      </c>
      <c r="B224" s="16" t="str">
        <f>TRIM("長柄保育園")</f>
        <v>長柄保育園</v>
      </c>
      <c r="C224" s="14" t="s">
        <v>1509</v>
      </c>
      <c r="D224" s="14" t="s">
        <v>797</v>
      </c>
      <c r="E224" s="1"/>
      <c r="F224" s="2"/>
      <c r="G224" s="1">
        <v>488.24</v>
      </c>
      <c r="H224" s="3"/>
      <c r="I224" s="14" t="s">
        <v>5617</v>
      </c>
    </row>
    <row r="225" spans="1:9" ht="18.75" customHeight="1" x14ac:dyDescent="0.4">
      <c r="A225" s="14" t="s">
        <v>4352</v>
      </c>
      <c r="B225" s="16" t="str">
        <f>TRIM("北天満地域防災拠点用地")</f>
        <v>北天満地域防災拠点用地</v>
      </c>
      <c r="C225" s="14" t="s">
        <v>1509</v>
      </c>
      <c r="D225" s="14" t="s">
        <v>1376</v>
      </c>
      <c r="E225" s="1">
        <v>4023.01</v>
      </c>
      <c r="F225" s="2">
        <v>2</v>
      </c>
      <c r="G225" s="1"/>
      <c r="H225" s="3"/>
      <c r="I225" s="14" t="s">
        <v>2067</v>
      </c>
    </row>
    <row r="226" spans="1:9" ht="18.75" customHeight="1" x14ac:dyDescent="0.4">
      <c r="A226" s="14" t="s">
        <v>4353</v>
      </c>
      <c r="B226" s="16" t="str">
        <f>TRIM("北天満地域集会施設整備用地")</f>
        <v>北天満地域集会施設整備用地</v>
      </c>
      <c r="C226" s="14" t="s">
        <v>1509</v>
      </c>
      <c r="D226" s="14" t="s">
        <v>1376</v>
      </c>
      <c r="E226" s="1">
        <v>292.52999999999997</v>
      </c>
      <c r="F226" s="2">
        <v>2</v>
      </c>
      <c r="G226" s="1"/>
      <c r="H226" s="3"/>
      <c r="I226" s="14" t="s">
        <v>2067</v>
      </c>
    </row>
    <row r="227" spans="1:9" ht="18.75" customHeight="1" x14ac:dyDescent="0.4">
      <c r="A227" s="14" t="s">
        <v>3909</v>
      </c>
      <c r="B227" s="16" t="str">
        <f>TRIM("天神橋六丁目駅自転車駐車場管理事務所")</f>
        <v>天神橋六丁目駅自転車駐車場管理事務所</v>
      </c>
      <c r="C227" s="14" t="s">
        <v>1509</v>
      </c>
      <c r="D227" s="14" t="s">
        <v>1376</v>
      </c>
      <c r="E227" s="1"/>
      <c r="F227" s="2"/>
      <c r="G227" s="1">
        <v>11.56</v>
      </c>
      <c r="H227" s="3"/>
      <c r="I227" s="14" t="s">
        <v>2177</v>
      </c>
    </row>
    <row r="228" spans="1:9" ht="18.75" customHeight="1" x14ac:dyDescent="0.4">
      <c r="A228" s="14" t="s">
        <v>4693</v>
      </c>
      <c r="B228" s="16" t="str">
        <f>TRIM("もと北天満小学校")</f>
        <v>もと北天満小学校</v>
      </c>
      <c r="C228" s="14" t="s">
        <v>1509</v>
      </c>
      <c r="D228" s="14" t="s">
        <v>1376</v>
      </c>
      <c r="E228" s="1"/>
      <c r="F228" s="2"/>
      <c r="G228" s="1">
        <v>1727.64</v>
      </c>
      <c r="H228" s="3"/>
      <c r="I228" s="14" t="s">
        <v>4689</v>
      </c>
    </row>
    <row r="229" spans="1:9" ht="18.75" customHeight="1" x14ac:dyDescent="0.4">
      <c r="A229" s="14" t="s">
        <v>4086</v>
      </c>
      <c r="B229" s="16" t="str">
        <f>TRIM("天満堀川抽水所")</f>
        <v>天満堀川抽水所</v>
      </c>
      <c r="C229" s="14" t="s">
        <v>1509</v>
      </c>
      <c r="D229" s="14" t="s">
        <v>239</v>
      </c>
      <c r="E229" s="1">
        <v>1378.47</v>
      </c>
      <c r="F229" s="2"/>
      <c r="G229" s="1">
        <v>1157.8800000000001</v>
      </c>
      <c r="H229" s="3"/>
      <c r="I229" s="14" t="s">
        <v>2177</v>
      </c>
    </row>
    <row r="230" spans="1:9" ht="18.75" customHeight="1" x14ac:dyDescent="0.4">
      <c r="A230" s="14" t="s">
        <v>5510</v>
      </c>
      <c r="B230" s="16" t="str">
        <f>TRIM("天満警察署")</f>
        <v>天満警察署</v>
      </c>
      <c r="C230" s="14" t="s">
        <v>1509</v>
      </c>
      <c r="D230" s="14" t="s">
        <v>239</v>
      </c>
      <c r="E230" s="1">
        <v>1790.18</v>
      </c>
      <c r="F230" s="2"/>
      <c r="G230" s="1"/>
      <c r="H230" s="3"/>
      <c r="I230" s="14" t="s">
        <v>5349</v>
      </c>
    </row>
    <row r="231" spans="1:9" ht="18.75" customHeight="1" x14ac:dyDescent="0.4">
      <c r="A231" s="14" t="s">
        <v>5511</v>
      </c>
      <c r="B231" s="16" t="str">
        <f>TRIM("天満署大江橋交番")</f>
        <v>天満署大江橋交番</v>
      </c>
      <c r="C231" s="14" t="s">
        <v>1509</v>
      </c>
      <c r="D231" s="14" t="s">
        <v>240</v>
      </c>
      <c r="E231" s="1">
        <v>15.69</v>
      </c>
      <c r="F231" s="2"/>
      <c r="G231" s="1"/>
      <c r="H231" s="3"/>
      <c r="I231" s="14" t="s">
        <v>5349</v>
      </c>
    </row>
    <row r="232" spans="1:9" ht="18.75" customHeight="1" x14ac:dyDescent="0.4">
      <c r="A232" s="14" t="s">
        <v>5526</v>
      </c>
      <c r="B232" s="16" t="str">
        <f>TRIM("道路買収残地（北）")</f>
        <v>道路買収残地（北）</v>
      </c>
      <c r="C232" s="14" t="s">
        <v>1509</v>
      </c>
      <c r="D232" s="14" t="s">
        <v>240</v>
      </c>
      <c r="E232" s="1">
        <v>15.27</v>
      </c>
      <c r="F232" s="2"/>
      <c r="G232" s="1"/>
      <c r="H232" s="3"/>
      <c r="I232" s="14" t="s">
        <v>5349</v>
      </c>
    </row>
    <row r="233" spans="1:9" ht="18.75" customHeight="1" x14ac:dyDescent="0.4">
      <c r="A233" s="14" t="s">
        <v>4916</v>
      </c>
      <c r="B233" s="16" t="str">
        <f>TRIM("西天満小学校")</f>
        <v>西天満小学校</v>
      </c>
      <c r="C233" s="14" t="s">
        <v>1509</v>
      </c>
      <c r="D233" s="14" t="s">
        <v>1284</v>
      </c>
      <c r="E233" s="1">
        <v>6204.16</v>
      </c>
      <c r="F233" s="2"/>
      <c r="G233" s="1">
        <v>8340.5</v>
      </c>
      <c r="H233" s="3"/>
      <c r="I233" s="14" t="s">
        <v>4689</v>
      </c>
    </row>
    <row r="234" spans="1:9" ht="18.75" customHeight="1" x14ac:dyDescent="0.4">
      <c r="A234" s="14" t="s">
        <v>2066</v>
      </c>
      <c r="B234" s="16" t="str">
        <f>TRIM("西天満地域福祉センター")</f>
        <v>西天満地域福祉センター</v>
      </c>
      <c r="C234" s="14" t="s">
        <v>1509</v>
      </c>
      <c r="D234" s="14" t="s">
        <v>1284</v>
      </c>
      <c r="E234" s="1">
        <v>150</v>
      </c>
      <c r="F234" s="2"/>
      <c r="G234" s="1"/>
      <c r="H234" s="3"/>
      <c r="I234" s="14" t="s">
        <v>2067</v>
      </c>
    </row>
    <row r="235" spans="1:9" ht="18.75" customHeight="1" x14ac:dyDescent="0.4">
      <c r="A235" s="14" t="s">
        <v>3450</v>
      </c>
      <c r="B235" s="16" t="str">
        <f>TRIM("西天満どんぐり公園")</f>
        <v>西天満どんぐり公園</v>
      </c>
      <c r="C235" s="14" t="s">
        <v>1509</v>
      </c>
      <c r="D235" s="14" t="s">
        <v>1284</v>
      </c>
      <c r="E235" s="1">
        <v>948.9</v>
      </c>
      <c r="F235" s="2"/>
      <c r="G235" s="1"/>
      <c r="H235" s="3"/>
      <c r="I235" s="14" t="s">
        <v>2177</v>
      </c>
    </row>
    <row r="236" spans="1:9" ht="18.75" customHeight="1" x14ac:dyDescent="0.4">
      <c r="A236" s="14" t="s">
        <v>2935</v>
      </c>
      <c r="B236" s="16" t="str">
        <f>TRIM("　西天満公園")</f>
        <v>西天満公園</v>
      </c>
      <c r="C236" s="14" t="s">
        <v>1509</v>
      </c>
      <c r="D236" s="14" t="s">
        <v>1116</v>
      </c>
      <c r="E236" s="1">
        <v>2482.7600000000002</v>
      </c>
      <c r="F236" s="2"/>
      <c r="G236" s="1"/>
      <c r="H236" s="3"/>
      <c r="I236" s="14" t="s">
        <v>2177</v>
      </c>
    </row>
    <row r="237" spans="1:9" ht="18.75" customHeight="1" x14ac:dyDescent="0.4">
      <c r="A237" s="14" t="s">
        <v>3342</v>
      </c>
      <c r="B237" s="16" t="str">
        <f>TRIM("　野崎公園")</f>
        <v>野崎公園</v>
      </c>
      <c r="C237" s="14" t="s">
        <v>1509</v>
      </c>
      <c r="D237" s="14" t="s">
        <v>1255</v>
      </c>
      <c r="E237" s="1">
        <v>5572.69</v>
      </c>
      <c r="F237" s="2"/>
      <c r="G237" s="1"/>
      <c r="H237" s="3"/>
      <c r="I237" s="14" t="s">
        <v>2177</v>
      </c>
    </row>
    <row r="238" spans="1:9" ht="18.75" customHeight="1" x14ac:dyDescent="0.4">
      <c r="A238" s="14" t="s">
        <v>5114</v>
      </c>
      <c r="B238" s="16" t="str">
        <f>TRIM("堀川小学校")</f>
        <v>堀川小学校</v>
      </c>
      <c r="C238" s="14" t="s">
        <v>1509</v>
      </c>
      <c r="D238" s="14" t="s">
        <v>1438</v>
      </c>
      <c r="E238" s="1">
        <v>6736.01</v>
      </c>
      <c r="F238" s="2"/>
      <c r="G238" s="1">
        <v>8021.1</v>
      </c>
      <c r="H238" s="3"/>
      <c r="I238" s="14" t="s">
        <v>4689</v>
      </c>
    </row>
    <row r="239" spans="1:9" ht="18.75" customHeight="1" x14ac:dyDescent="0.4">
      <c r="A239" s="14" t="s">
        <v>3325</v>
      </c>
      <c r="B239" s="16" t="str">
        <f>TRIM("　本庄公園")</f>
        <v>本庄公園</v>
      </c>
      <c r="C239" s="14" t="s">
        <v>1509</v>
      </c>
      <c r="D239" s="14" t="s">
        <v>1248</v>
      </c>
      <c r="E239" s="1">
        <v>14134.74</v>
      </c>
      <c r="F239" s="2"/>
      <c r="G239" s="1"/>
      <c r="H239" s="3"/>
      <c r="I239" s="14" t="s">
        <v>2177</v>
      </c>
    </row>
    <row r="240" spans="1:9" ht="18.75" customHeight="1" x14ac:dyDescent="0.4">
      <c r="A240" s="14" t="s">
        <v>3679</v>
      </c>
      <c r="B240" s="16" t="str">
        <f>TRIM("　本庄公園")</f>
        <v>本庄公園</v>
      </c>
      <c r="C240" s="14" t="s">
        <v>1509</v>
      </c>
      <c r="D240" s="14" t="s">
        <v>1248</v>
      </c>
      <c r="E240" s="1"/>
      <c r="F240" s="2"/>
      <c r="G240" s="1">
        <v>19.2</v>
      </c>
      <c r="H240" s="3"/>
      <c r="I240" s="14" t="s">
        <v>2177</v>
      </c>
    </row>
    <row r="241" spans="1:9" ht="18.75" customHeight="1" x14ac:dyDescent="0.4">
      <c r="A241" s="14" t="s">
        <v>3329</v>
      </c>
      <c r="B241" s="16" t="str">
        <f>TRIM("　本庄南公園")</f>
        <v>本庄南公園</v>
      </c>
      <c r="C241" s="14" t="s">
        <v>1509</v>
      </c>
      <c r="D241" s="14" t="s">
        <v>1250</v>
      </c>
      <c r="E241" s="1">
        <v>807.35</v>
      </c>
      <c r="F241" s="2"/>
      <c r="G241" s="1"/>
      <c r="H241" s="3"/>
      <c r="I241" s="14" t="s">
        <v>2177</v>
      </c>
    </row>
    <row r="242" spans="1:9" ht="18.75" customHeight="1" x14ac:dyDescent="0.4">
      <c r="A242" s="14" t="s">
        <v>5096</v>
      </c>
      <c r="B242" s="16" t="str">
        <f>TRIM("豊崎本庄小学校")</f>
        <v>豊崎本庄小学校</v>
      </c>
      <c r="C242" s="14" t="s">
        <v>1509</v>
      </c>
      <c r="D242" s="14" t="s">
        <v>426</v>
      </c>
      <c r="E242" s="1">
        <v>5460.74</v>
      </c>
      <c r="F242" s="2"/>
      <c r="G242" s="1">
        <v>5234.2</v>
      </c>
      <c r="H242" s="3"/>
      <c r="I242" s="14" t="s">
        <v>4689</v>
      </c>
    </row>
    <row r="243" spans="1:9" ht="18.75" customHeight="1" x14ac:dyDescent="0.4">
      <c r="A243" s="14" t="s">
        <v>5324</v>
      </c>
      <c r="B243" s="16" t="str">
        <f>TRIM("北消防署本庄出張所")</f>
        <v>北消防署本庄出張所</v>
      </c>
      <c r="C243" s="14" t="s">
        <v>1509</v>
      </c>
      <c r="D243" s="14" t="s">
        <v>426</v>
      </c>
      <c r="E243" s="1">
        <v>99.86</v>
      </c>
      <c r="F243" s="2"/>
      <c r="G243" s="1">
        <v>178.97</v>
      </c>
      <c r="H243" s="3"/>
      <c r="I243" s="14" t="s">
        <v>5219</v>
      </c>
    </row>
    <row r="244" spans="1:9" ht="18.75" customHeight="1" x14ac:dyDescent="0.4">
      <c r="A244" s="14" t="s">
        <v>1959</v>
      </c>
      <c r="B244" s="16" t="str">
        <f>TRIM("特別養護老人ホーム藤ミレニアム・豊崎地域在宅サービスステーション")</f>
        <v>特別養護老人ホーム藤ミレニアム・豊崎地域在宅サービスステーション</v>
      </c>
      <c r="C244" s="14" t="s">
        <v>1509</v>
      </c>
      <c r="D244" s="14" t="s">
        <v>426</v>
      </c>
      <c r="E244" s="1">
        <v>1083.78</v>
      </c>
      <c r="F244" s="2"/>
      <c r="G244" s="1"/>
      <c r="H244" s="3"/>
      <c r="I244" s="14" t="s">
        <v>1654</v>
      </c>
    </row>
    <row r="245" spans="1:9" ht="18.75" customHeight="1" x14ac:dyDescent="0.4">
      <c r="A245" s="14" t="s">
        <v>2457</v>
      </c>
      <c r="B245" s="16" t="str">
        <f>TRIM("淀川南岸線")</f>
        <v>淀川南岸線</v>
      </c>
      <c r="C245" s="14" t="s">
        <v>1509</v>
      </c>
      <c r="D245" s="14" t="s">
        <v>1545</v>
      </c>
      <c r="E245" s="1">
        <v>19.05</v>
      </c>
      <c r="F245" s="2"/>
      <c r="G245" s="1"/>
      <c r="H245" s="3"/>
      <c r="I245" s="14" t="s">
        <v>2177</v>
      </c>
    </row>
    <row r="246" spans="1:9" ht="18.75" customHeight="1" x14ac:dyDescent="0.4">
      <c r="A246" s="14" t="s">
        <v>1837</v>
      </c>
      <c r="B246" s="16" t="str">
        <f>TRIM("北区大淀老人福祉センター")</f>
        <v>北区大淀老人福祉センター</v>
      </c>
      <c r="C246" s="14" t="s">
        <v>1509</v>
      </c>
      <c r="D246" s="14" t="s">
        <v>465</v>
      </c>
      <c r="E246" s="1">
        <v>1298.9100000000001</v>
      </c>
      <c r="F246" s="2"/>
      <c r="G246" s="1">
        <v>504.9</v>
      </c>
      <c r="H246" s="3"/>
      <c r="I246" s="14" t="s">
        <v>1654</v>
      </c>
    </row>
    <row r="247" spans="1:9" ht="18.75" customHeight="1" x14ac:dyDescent="0.4">
      <c r="A247" s="14" t="s">
        <v>5677</v>
      </c>
      <c r="B247" s="16" t="str">
        <f>TRIM("もと大淀勤労青少年ホーム")</f>
        <v>もと大淀勤労青少年ホーム</v>
      </c>
      <c r="C247" s="14" t="s">
        <v>1509</v>
      </c>
      <c r="D247" s="14" t="s">
        <v>465</v>
      </c>
      <c r="E247" s="1"/>
      <c r="F247" s="2"/>
      <c r="G247" s="1">
        <v>616.05999999999995</v>
      </c>
      <c r="H247" s="3" t="s">
        <v>7353</v>
      </c>
      <c r="I247" s="14" t="s">
        <v>5617</v>
      </c>
    </row>
    <row r="248" spans="1:9" ht="18.75" customHeight="1" x14ac:dyDescent="0.4">
      <c r="A248" s="14" t="s">
        <v>2151</v>
      </c>
      <c r="B248" s="16" t="str">
        <f>TRIM("本庄地域集会所（もと本庄福祉老人憩の家）")</f>
        <v>本庄地域集会所（もと本庄福祉老人憩の家）</v>
      </c>
      <c r="C248" s="14" t="s">
        <v>1509</v>
      </c>
      <c r="D248" s="14" t="s">
        <v>1249</v>
      </c>
      <c r="E248" s="1"/>
      <c r="F248" s="2"/>
      <c r="G248" s="1">
        <v>156.47999999999999</v>
      </c>
      <c r="H248" s="3"/>
      <c r="I248" s="14" t="s">
        <v>2067</v>
      </c>
    </row>
    <row r="249" spans="1:9" ht="18.75" customHeight="1" x14ac:dyDescent="0.4">
      <c r="A249" s="14" t="s">
        <v>3327</v>
      </c>
      <c r="B249" s="16" t="str">
        <f>TRIM("　本庄川崎公園")</f>
        <v>本庄川崎公園</v>
      </c>
      <c r="C249" s="14" t="s">
        <v>1509</v>
      </c>
      <c r="D249" s="14" t="s">
        <v>1249</v>
      </c>
      <c r="E249" s="1">
        <v>1290.28</v>
      </c>
      <c r="F249" s="2"/>
      <c r="G249" s="1"/>
      <c r="H249" s="3"/>
      <c r="I249" s="14" t="s">
        <v>2177</v>
      </c>
    </row>
    <row r="250" spans="1:9" ht="18.75" customHeight="1" x14ac:dyDescent="0.4">
      <c r="A250" s="14" t="s">
        <v>3328</v>
      </c>
      <c r="B250" s="16" t="str">
        <f>TRIM("　本庄川崎町開発公園")</f>
        <v>本庄川崎町開発公園</v>
      </c>
      <c r="C250" s="14" t="s">
        <v>1509</v>
      </c>
      <c r="D250" s="14" t="s">
        <v>1249</v>
      </c>
      <c r="E250" s="1">
        <v>376.65</v>
      </c>
      <c r="F250" s="2"/>
      <c r="G250" s="1"/>
      <c r="H250" s="3"/>
      <c r="I250" s="14" t="s">
        <v>2177</v>
      </c>
    </row>
    <row r="251" spans="1:9" ht="18.75" customHeight="1" x14ac:dyDescent="0.4">
      <c r="A251" s="14" t="s">
        <v>4349</v>
      </c>
      <c r="B251" s="16" t="str">
        <f>TRIM("本庄地域集会所")</f>
        <v>本庄地域集会所</v>
      </c>
      <c r="C251" s="14" t="s">
        <v>1509</v>
      </c>
      <c r="D251" s="14" t="s">
        <v>1249</v>
      </c>
      <c r="E251" s="1"/>
      <c r="F251" s="2"/>
      <c r="G251" s="1">
        <v>156.47999999999999</v>
      </c>
      <c r="H251" s="3"/>
      <c r="I251" s="14" t="s">
        <v>2067</v>
      </c>
    </row>
    <row r="252" spans="1:9" ht="18.75" customHeight="1" x14ac:dyDescent="0.4">
      <c r="A252" s="14" t="s">
        <v>5094</v>
      </c>
      <c r="B252" s="16" t="str">
        <f>TRIM("豊崎中学校")</f>
        <v>豊崎中学校</v>
      </c>
      <c r="C252" s="14" t="s">
        <v>1509</v>
      </c>
      <c r="D252" s="14" t="s">
        <v>868</v>
      </c>
      <c r="E252" s="1">
        <v>15131.38</v>
      </c>
      <c r="F252" s="2"/>
      <c r="G252" s="1">
        <v>6431.51</v>
      </c>
      <c r="H252" s="3"/>
      <c r="I252" s="14" t="s">
        <v>4689</v>
      </c>
    </row>
    <row r="253" spans="1:9" ht="18.75" customHeight="1" x14ac:dyDescent="0.4">
      <c r="A253" s="14" t="s">
        <v>5204</v>
      </c>
      <c r="B253" s="16" t="str">
        <f>TRIM("北図書館")</f>
        <v>北図書館</v>
      </c>
      <c r="C253" s="14" t="s">
        <v>1509</v>
      </c>
      <c r="D253" s="14" t="s">
        <v>868</v>
      </c>
      <c r="E253" s="1">
        <v>2165.4</v>
      </c>
      <c r="F253" s="2"/>
      <c r="G253" s="1">
        <v>610.66</v>
      </c>
      <c r="H253" s="3"/>
      <c r="I253" s="14" t="s">
        <v>4689</v>
      </c>
    </row>
    <row r="254" spans="1:9" ht="18.75" customHeight="1" x14ac:dyDescent="0.4">
      <c r="A254" s="14" t="s">
        <v>6769</v>
      </c>
      <c r="B254" s="16" t="str">
        <f>TRIM("大淀住宅")</f>
        <v>大淀住宅</v>
      </c>
      <c r="C254" s="14" t="s">
        <v>1509</v>
      </c>
      <c r="D254" s="14" t="s">
        <v>868</v>
      </c>
      <c r="E254" s="1">
        <v>3398.16</v>
      </c>
      <c r="F254" s="2"/>
      <c r="G254" s="1">
        <v>6642.75</v>
      </c>
      <c r="H254" s="3"/>
      <c r="I254" s="14" t="s">
        <v>6177</v>
      </c>
    </row>
    <row r="255" spans="1:9" ht="18.75" customHeight="1" x14ac:dyDescent="0.4">
      <c r="A255" s="14" t="s">
        <v>2459</v>
      </c>
      <c r="B255" s="16" t="str">
        <f>TRIM("淀川南岸線（基金）")</f>
        <v>淀川南岸線（基金）</v>
      </c>
      <c r="C255" s="14" t="s">
        <v>1509</v>
      </c>
      <c r="D255" s="14" t="s">
        <v>868</v>
      </c>
      <c r="E255" s="1">
        <v>230.35</v>
      </c>
      <c r="F255" s="2"/>
      <c r="G255" s="1"/>
      <c r="H255" s="3"/>
      <c r="I255" s="14" t="s">
        <v>2177</v>
      </c>
    </row>
    <row r="256" spans="1:9" ht="18.75" customHeight="1" x14ac:dyDescent="0.4">
      <c r="A256" s="14" t="s">
        <v>3326</v>
      </c>
      <c r="B256" s="16" t="str">
        <f>TRIM("　本庄小公園")</f>
        <v>本庄小公園</v>
      </c>
      <c r="C256" s="14" t="s">
        <v>1509</v>
      </c>
      <c r="D256" s="14" t="s">
        <v>868</v>
      </c>
      <c r="E256" s="1">
        <v>2490.88</v>
      </c>
      <c r="F256" s="2"/>
      <c r="G256" s="1"/>
      <c r="H256" s="3"/>
      <c r="I256" s="14" t="s">
        <v>2177</v>
      </c>
    </row>
    <row r="257" spans="1:9" ht="18.75" customHeight="1" x14ac:dyDescent="0.4">
      <c r="A257" s="14" t="s">
        <v>4340</v>
      </c>
      <c r="B257" s="16" t="str">
        <f>TRIM("大淀コミュニティセンター")</f>
        <v>大淀コミュニティセンター</v>
      </c>
      <c r="C257" s="14" t="s">
        <v>1509</v>
      </c>
      <c r="D257" s="14" t="s">
        <v>868</v>
      </c>
      <c r="E257" s="1"/>
      <c r="F257" s="2"/>
      <c r="G257" s="1">
        <v>1699.89</v>
      </c>
      <c r="H257" s="3"/>
      <c r="I257" s="14" t="s">
        <v>2067</v>
      </c>
    </row>
    <row r="258" spans="1:9" ht="18.75" customHeight="1" x14ac:dyDescent="0.4">
      <c r="A258" s="14" t="s">
        <v>5321</v>
      </c>
      <c r="B258" s="16" t="str">
        <f>TRIM("北消防署南森町出張所")</f>
        <v>北消防署南森町出張所</v>
      </c>
      <c r="C258" s="14" t="s">
        <v>1509</v>
      </c>
      <c r="D258" s="14" t="s">
        <v>1374</v>
      </c>
      <c r="E258" s="1">
        <v>389.33</v>
      </c>
      <c r="F258" s="2"/>
      <c r="G258" s="1">
        <v>950.92</v>
      </c>
      <c r="H258" s="3"/>
      <c r="I258" s="14" t="s">
        <v>5219</v>
      </c>
    </row>
    <row r="259" spans="1:9" ht="18.75" customHeight="1" x14ac:dyDescent="0.4">
      <c r="A259" s="14" t="s">
        <v>3885</v>
      </c>
      <c r="B259" s="16" t="str">
        <f>TRIM("大阪天満宮駅・南森町駅自転車駐車場管理事務所")</f>
        <v>大阪天満宮駅・南森町駅自転車駐車場管理事務所</v>
      </c>
      <c r="C259" s="14" t="s">
        <v>1509</v>
      </c>
      <c r="D259" s="14" t="s">
        <v>1374</v>
      </c>
      <c r="E259" s="1"/>
      <c r="F259" s="2"/>
      <c r="G259" s="1">
        <v>8.1</v>
      </c>
      <c r="H259" s="3"/>
      <c r="I259" s="14" t="s">
        <v>2177</v>
      </c>
    </row>
    <row r="260" spans="1:9" ht="18.75" customHeight="1" x14ac:dyDescent="0.4">
      <c r="A260" s="14" t="s">
        <v>2417</v>
      </c>
      <c r="B260" s="16" t="str">
        <f>TRIM("堀川橋ポンプ場")</f>
        <v>堀川橋ポンプ場</v>
      </c>
      <c r="C260" s="14" t="s">
        <v>1509</v>
      </c>
      <c r="D260" s="14" t="s">
        <v>1482</v>
      </c>
      <c r="E260" s="1"/>
      <c r="F260" s="2"/>
      <c r="G260" s="1">
        <v>100.24</v>
      </c>
      <c r="H260" s="3"/>
      <c r="I260" s="14" t="s">
        <v>2177</v>
      </c>
    </row>
    <row r="261" spans="1:9" ht="18.75" customHeight="1" x14ac:dyDescent="0.4">
      <c r="A261" s="14" t="s">
        <v>2073</v>
      </c>
      <c r="B261" s="16" t="str">
        <f>TRIM("扇町老人憩の家")</f>
        <v>扇町老人憩の家</v>
      </c>
      <c r="C261" s="14" t="s">
        <v>1509</v>
      </c>
      <c r="D261" s="14" t="s">
        <v>126</v>
      </c>
      <c r="E261" s="1">
        <v>215.11</v>
      </c>
      <c r="F261" s="2"/>
      <c r="G261" s="1">
        <v>103.51</v>
      </c>
      <c r="H261" s="3"/>
      <c r="I261" s="14" t="s">
        <v>2067</v>
      </c>
    </row>
    <row r="262" spans="1:9" ht="18.75" customHeight="1" x14ac:dyDescent="0.4">
      <c r="A262" s="14" t="s">
        <v>4347</v>
      </c>
      <c r="B262" s="16" t="str">
        <f>TRIM("北天満地域集会所")</f>
        <v>北天満地域集会所</v>
      </c>
      <c r="C262" s="14" t="s">
        <v>1509</v>
      </c>
      <c r="D262" s="14" t="s">
        <v>126</v>
      </c>
      <c r="E262" s="1">
        <v>215.62</v>
      </c>
      <c r="F262" s="2"/>
      <c r="G262" s="1"/>
      <c r="H262" s="3"/>
      <c r="I262" s="14" t="s">
        <v>2067</v>
      </c>
    </row>
    <row r="263" spans="1:9" ht="18.75" customHeight="1" x14ac:dyDescent="0.4">
      <c r="A263" s="14" t="s">
        <v>5361</v>
      </c>
      <c r="B263" s="16" t="str">
        <f>TRIM("もとその他の施設（コミュニティ用地等）")</f>
        <v>もとその他の施設（コミュニティ用地等）</v>
      </c>
      <c r="C263" s="14" t="s">
        <v>1509</v>
      </c>
      <c r="D263" s="14" t="s">
        <v>126</v>
      </c>
      <c r="E263" s="1">
        <v>227.28</v>
      </c>
      <c r="F263" s="2"/>
      <c r="G263" s="1"/>
      <c r="H263" s="3"/>
      <c r="I263" s="14" t="s">
        <v>5349</v>
      </c>
    </row>
    <row r="264" spans="1:9" ht="18.75" customHeight="1" x14ac:dyDescent="0.4">
      <c r="A264" s="14" t="s">
        <v>5364</v>
      </c>
      <c r="B264" s="16" t="str">
        <f>TRIM("もと衛生研究所車庫跡地")</f>
        <v>もと衛生研究所車庫跡地</v>
      </c>
      <c r="C264" s="14" t="s">
        <v>1509</v>
      </c>
      <c r="D264" s="14" t="s">
        <v>126</v>
      </c>
      <c r="E264" s="1">
        <v>41.44</v>
      </c>
      <c r="F264" s="2"/>
      <c r="G264" s="1"/>
      <c r="H264" s="3"/>
      <c r="I264" s="14" t="s">
        <v>5349</v>
      </c>
    </row>
    <row r="265" spans="1:9" ht="18.75" customHeight="1" x14ac:dyDescent="0.4">
      <c r="A265" s="14" t="s">
        <v>3367</v>
      </c>
      <c r="B265" s="16" t="str">
        <f>TRIM("　与力町公園")</f>
        <v>与力町公園</v>
      </c>
      <c r="C265" s="14" t="s">
        <v>1509</v>
      </c>
      <c r="D265" s="14" t="s">
        <v>1264</v>
      </c>
      <c r="E265" s="1">
        <v>8608.31</v>
      </c>
      <c r="F265" s="2"/>
      <c r="G265" s="1"/>
      <c r="H265" s="3"/>
      <c r="I265" s="14" t="s">
        <v>2177</v>
      </c>
    </row>
    <row r="266" spans="1:9" ht="18.75" customHeight="1" x14ac:dyDescent="0.4">
      <c r="A266" s="14" t="s">
        <v>3688</v>
      </c>
      <c r="B266" s="16" t="str">
        <f>TRIM("　与力町公園")</f>
        <v>与力町公園</v>
      </c>
      <c r="C266" s="14" t="s">
        <v>1509</v>
      </c>
      <c r="D266" s="14" t="s">
        <v>1264</v>
      </c>
      <c r="E266" s="1"/>
      <c r="F266" s="2"/>
      <c r="G266" s="1">
        <v>19.2</v>
      </c>
      <c r="H266" s="3"/>
      <c r="I266" s="14" t="s">
        <v>2177</v>
      </c>
    </row>
    <row r="267" spans="1:9" ht="18.75" customHeight="1" x14ac:dyDescent="0.4">
      <c r="A267" s="14" t="s">
        <v>5282</v>
      </c>
      <c r="B267" s="16" t="str">
        <f>TRIM("都島消防署東野田出張所")</f>
        <v>都島消防署東野田出張所</v>
      </c>
      <c r="C267" s="14" t="s">
        <v>1519</v>
      </c>
      <c r="D267" s="14" t="s">
        <v>12</v>
      </c>
      <c r="E267" s="1">
        <v>374.68</v>
      </c>
      <c r="F267" s="2"/>
      <c r="G267" s="1">
        <v>395.04</v>
      </c>
      <c r="H267" s="3"/>
      <c r="I267" s="14" t="s">
        <v>5219</v>
      </c>
    </row>
    <row r="268" spans="1:9" ht="18.75" customHeight="1" x14ac:dyDescent="0.4">
      <c r="A268" s="14" t="s">
        <v>7019</v>
      </c>
      <c r="B268" s="16" t="str">
        <f>TRIM("都市魅力向上事業施設（もと大阪市公館）")</f>
        <v>都市魅力向上事業施設（もと大阪市公館）</v>
      </c>
      <c r="C268" s="14" t="s">
        <v>1519</v>
      </c>
      <c r="D268" s="14" t="s">
        <v>12</v>
      </c>
      <c r="E268" s="1">
        <v>16879.3</v>
      </c>
      <c r="F268" s="2"/>
      <c r="G268" s="1">
        <v>1902.32</v>
      </c>
      <c r="H268" s="3"/>
      <c r="I268" s="14" t="s">
        <v>4115</v>
      </c>
    </row>
    <row r="269" spans="1:9" ht="18.75" customHeight="1" x14ac:dyDescent="0.4">
      <c r="A269" s="14" t="s">
        <v>2491</v>
      </c>
      <c r="B269" s="16" t="str">
        <f>TRIM("堤塘（都島）")</f>
        <v>堤塘（都島）</v>
      </c>
      <c r="C269" s="14" t="s">
        <v>1519</v>
      </c>
      <c r="D269" s="14" t="s">
        <v>1309</v>
      </c>
      <c r="E269" s="1">
        <v>9.91</v>
      </c>
      <c r="F269" s="2"/>
      <c r="G269" s="1"/>
      <c r="H269" s="3"/>
      <c r="I269" s="14" t="s">
        <v>2177</v>
      </c>
    </row>
    <row r="270" spans="1:9" ht="18.75" customHeight="1" x14ac:dyDescent="0.4">
      <c r="A270" s="14" t="s">
        <v>3949</v>
      </c>
      <c r="B270" s="16" t="str">
        <f>TRIM("野江内代駅自転車駐車場管理事務所")</f>
        <v>野江内代駅自転車駐車場管理事務所</v>
      </c>
      <c r="C270" s="14" t="s">
        <v>1519</v>
      </c>
      <c r="D270" s="14" t="s">
        <v>1309</v>
      </c>
      <c r="E270" s="1"/>
      <c r="F270" s="2"/>
      <c r="G270" s="1">
        <v>12.56</v>
      </c>
      <c r="H270" s="3"/>
      <c r="I270" s="14" t="s">
        <v>2177</v>
      </c>
    </row>
    <row r="271" spans="1:9" ht="18.75" customHeight="1" x14ac:dyDescent="0.4">
      <c r="A271" s="14" t="s">
        <v>3951</v>
      </c>
      <c r="B271" s="16" t="str">
        <f>TRIM("野江内代駅自転車駐車場北側管理ボックス")</f>
        <v>野江内代駅自転車駐車場北側管理ボックス</v>
      </c>
      <c r="C271" s="14" t="s">
        <v>1519</v>
      </c>
      <c r="D271" s="14" t="s">
        <v>1309</v>
      </c>
      <c r="E271" s="1"/>
      <c r="F271" s="2"/>
      <c r="G271" s="1">
        <v>1.44</v>
      </c>
      <c r="H271" s="3"/>
      <c r="I271" s="14" t="s">
        <v>2177</v>
      </c>
    </row>
    <row r="272" spans="1:9" ht="18.75" customHeight="1" x14ac:dyDescent="0.4">
      <c r="A272" s="14" t="s">
        <v>6755</v>
      </c>
      <c r="B272" s="16" t="str">
        <f>TRIM("内代第2住宅")</f>
        <v>内代第2住宅</v>
      </c>
      <c r="C272" s="14" t="s">
        <v>1519</v>
      </c>
      <c r="D272" s="14" t="s">
        <v>863</v>
      </c>
      <c r="E272" s="1">
        <v>3305.85</v>
      </c>
      <c r="F272" s="2"/>
      <c r="G272" s="1">
        <v>3748.66</v>
      </c>
      <c r="H272" s="3"/>
      <c r="I272" s="14" t="s">
        <v>6177</v>
      </c>
    </row>
    <row r="273" spans="1:9" ht="18.75" customHeight="1" x14ac:dyDescent="0.4">
      <c r="A273" s="14" t="s">
        <v>5037</v>
      </c>
      <c r="B273" s="16" t="str">
        <f>TRIM("内代小学校")</f>
        <v>内代小学校</v>
      </c>
      <c r="C273" s="14" t="s">
        <v>1519</v>
      </c>
      <c r="D273" s="14" t="s">
        <v>920</v>
      </c>
      <c r="E273" s="1">
        <v>8486.4699999999993</v>
      </c>
      <c r="F273" s="2"/>
      <c r="G273" s="1">
        <v>6643.38</v>
      </c>
      <c r="H273" s="3"/>
      <c r="I273" s="14" t="s">
        <v>4689</v>
      </c>
    </row>
    <row r="274" spans="1:9" ht="18.75" customHeight="1" x14ac:dyDescent="0.4">
      <c r="A274" s="14" t="s">
        <v>2233</v>
      </c>
      <c r="B274" s="16" t="str">
        <f>TRIM("上新庄生野線（都島）（管財課）")</f>
        <v>上新庄生野線（都島）（管財課）</v>
      </c>
      <c r="C274" s="14" t="s">
        <v>1519</v>
      </c>
      <c r="D274" s="14" t="s">
        <v>920</v>
      </c>
      <c r="E274" s="1">
        <v>10516.63</v>
      </c>
      <c r="F274" s="2"/>
      <c r="G274" s="1"/>
      <c r="H274" s="3"/>
      <c r="I274" s="14" t="s">
        <v>2177</v>
      </c>
    </row>
    <row r="275" spans="1:9" ht="18.75" customHeight="1" x14ac:dyDescent="0.4">
      <c r="A275" s="14" t="s">
        <v>3174</v>
      </c>
      <c r="B275" s="16" t="str">
        <f>TRIM("　内代公園")</f>
        <v>内代公園</v>
      </c>
      <c r="C275" s="14" t="s">
        <v>1519</v>
      </c>
      <c r="D275" s="14" t="s">
        <v>920</v>
      </c>
      <c r="E275" s="1">
        <v>6228.09</v>
      </c>
      <c r="F275" s="2"/>
      <c r="G275" s="1"/>
      <c r="H275" s="3"/>
      <c r="I275" s="14" t="s">
        <v>2177</v>
      </c>
    </row>
    <row r="276" spans="1:9" ht="18.75" customHeight="1" x14ac:dyDescent="0.4">
      <c r="A276" s="14" t="s">
        <v>3651</v>
      </c>
      <c r="B276" s="16" t="str">
        <f>TRIM("　内代公園")</f>
        <v>内代公園</v>
      </c>
      <c r="C276" s="14" t="s">
        <v>1519</v>
      </c>
      <c r="D276" s="14" t="s">
        <v>920</v>
      </c>
      <c r="E276" s="1"/>
      <c r="F276" s="2"/>
      <c r="G276" s="1">
        <v>10.8</v>
      </c>
      <c r="H276" s="3"/>
      <c r="I276" s="14" t="s">
        <v>2177</v>
      </c>
    </row>
    <row r="277" spans="1:9" ht="18.75" customHeight="1" x14ac:dyDescent="0.4">
      <c r="A277" s="14" t="s">
        <v>6588</v>
      </c>
      <c r="B277" s="16" t="str">
        <f>TRIM("内代住宅")</f>
        <v>内代住宅</v>
      </c>
      <c r="C277" s="14" t="s">
        <v>1519</v>
      </c>
      <c r="D277" s="14" t="s">
        <v>814</v>
      </c>
      <c r="E277" s="1">
        <v>1515.03</v>
      </c>
      <c r="F277" s="2"/>
      <c r="G277" s="1">
        <v>1000.86</v>
      </c>
      <c r="H277" s="3"/>
      <c r="I277" s="14" t="s">
        <v>6177</v>
      </c>
    </row>
    <row r="278" spans="1:9" ht="18.75" customHeight="1" x14ac:dyDescent="0.4">
      <c r="A278" s="14" t="s">
        <v>3730</v>
      </c>
      <c r="B278" s="16" t="str">
        <f>TRIM(" 大阪城駅北詰自転車駐車場")</f>
        <v>大阪城駅北詰自転車駐車場</v>
      </c>
      <c r="C278" s="14" t="s">
        <v>1519</v>
      </c>
      <c r="D278" s="14" t="s">
        <v>265</v>
      </c>
      <c r="E278" s="1">
        <v>99.84</v>
      </c>
      <c r="F278" s="2"/>
      <c r="G278" s="1"/>
      <c r="H278" s="3"/>
      <c r="I278" s="14" t="s">
        <v>2177</v>
      </c>
    </row>
    <row r="279" spans="1:9" ht="18.75" customHeight="1" x14ac:dyDescent="0.4">
      <c r="A279" s="14" t="s">
        <v>3884</v>
      </c>
      <c r="B279" s="16" t="str">
        <f>TRIM("大阪城北詰駅自転車駐車場管理事務所")</f>
        <v>大阪城北詰駅自転車駐車場管理事務所</v>
      </c>
      <c r="C279" s="14" t="s">
        <v>1519</v>
      </c>
      <c r="D279" s="14" t="s">
        <v>265</v>
      </c>
      <c r="E279" s="1"/>
      <c r="F279" s="2"/>
      <c r="G279" s="1">
        <v>10.76</v>
      </c>
      <c r="H279" s="3"/>
      <c r="I279" s="14" t="s">
        <v>2177</v>
      </c>
    </row>
    <row r="280" spans="1:9" ht="18.75" customHeight="1" x14ac:dyDescent="0.4">
      <c r="A280" s="14" t="s">
        <v>5546</v>
      </c>
      <c r="B280" s="16" t="str">
        <f>TRIM("廃道（都島）")</f>
        <v>廃道（都島）</v>
      </c>
      <c r="C280" s="14" t="s">
        <v>1519</v>
      </c>
      <c r="D280" s="14" t="s">
        <v>265</v>
      </c>
      <c r="E280" s="1">
        <v>124.19</v>
      </c>
      <c r="F280" s="2"/>
      <c r="G280" s="1"/>
      <c r="H280" s="3"/>
      <c r="I280" s="14" t="s">
        <v>5349</v>
      </c>
    </row>
    <row r="281" spans="1:9" ht="18.75" customHeight="1" x14ac:dyDescent="0.4">
      <c r="A281" s="14" t="s">
        <v>5573</v>
      </c>
      <c r="B281" s="16" t="str">
        <f>TRIM("鯰江川埋立地（児童遊園）")</f>
        <v>鯰江川埋立地（児童遊園）</v>
      </c>
      <c r="C281" s="14" t="s">
        <v>1519</v>
      </c>
      <c r="D281" s="14" t="s">
        <v>265</v>
      </c>
      <c r="E281" s="1">
        <v>249.18</v>
      </c>
      <c r="F281" s="2"/>
      <c r="G281" s="1"/>
      <c r="H281" s="3"/>
      <c r="I281" s="14" t="s">
        <v>5349</v>
      </c>
    </row>
    <row r="282" spans="1:9" ht="18.75" customHeight="1" x14ac:dyDescent="0.4">
      <c r="A282" s="14" t="s">
        <v>1637</v>
      </c>
      <c r="B282" s="16" t="str">
        <f>TRIM("もと京橋地区開発事業用地")</f>
        <v>もと京橋地区開発事業用地</v>
      </c>
      <c r="C282" s="14" t="s">
        <v>1519</v>
      </c>
      <c r="D282" s="14" t="s">
        <v>205</v>
      </c>
      <c r="E282" s="1">
        <v>5941.65</v>
      </c>
      <c r="F282" s="2">
        <v>2052</v>
      </c>
      <c r="G282" s="1"/>
      <c r="H282" s="3"/>
      <c r="I282" s="14" t="s">
        <v>1633</v>
      </c>
    </row>
    <row r="283" spans="1:9" ht="18.75" customHeight="1" x14ac:dyDescent="0.4">
      <c r="A283" s="14" t="s">
        <v>2309</v>
      </c>
      <c r="B283" s="16" t="str">
        <f>TRIM("道路（都島）（管財課）")</f>
        <v>道路（都島）（管財課）</v>
      </c>
      <c r="C283" s="14" t="s">
        <v>1519</v>
      </c>
      <c r="D283" s="14" t="s">
        <v>205</v>
      </c>
      <c r="E283" s="1">
        <v>403910.36</v>
      </c>
      <c r="F283" s="2"/>
      <c r="G283" s="1"/>
      <c r="H283" s="3"/>
      <c r="I283" s="14" t="s">
        <v>2177</v>
      </c>
    </row>
    <row r="284" spans="1:9" ht="18.75" customHeight="1" x14ac:dyDescent="0.4">
      <c r="A284" s="14" t="s">
        <v>2405</v>
      </c>
      <c r="B284" s="16" t="str">
        <f>TRIM("京橋ポンプ場")</f>
        <v>京橋ポンプ場</v>
      </c>
      <c r="C284" s="14" t="s">
        <v>1519</v>
      </c>
      <c r="D284" s="14" t="s">
        <v>205</v>
      </c>
      <c r="E284" s="1"/>
      <c r="F284" s="2"/>
      <c r="G284" s="1">
        <v>17.28</v>
      </c>
      <c r="H284" s="3"/>
      <c r="I284" s="14" t="s">
        <v>2177</v>
      </c>
    </row>
    <row r="285" spans="1:9" ht="18.75" customHeight="1" x14ac:dyDescent="0.4">
      <c r="A285" s="14" t="s">
        <v>2498</v>
      </c>
      <c r="B285" s="16" t="str">
        <f>TRIM("鯰江川埋立地（都島）")</f>
        <v>鯰江川埋立地（都島）</v>
      </c>
      <c r="C285" s="14" t="s">
        <v>1519</v>
      </c>
      <c r="D285" s="14" t="s">
        <v>205</v>
      </c>
      <c r="E285" s="1">
        <v>17.829999999999998</v>
      </c>
      <c r="F285" s="2"/>
      <c r="G285" s="1"/>
      <c r="H285" s="3"/>
      <c r="I285" s="14" t="s">
        <v>2177</v>
      </c>
    </row>
    <row r="286" spans="1:9" ht="18.75" customHeight="1" x14ac:dyDescent="0.4">
      <c r="A286" s="14" t="s">
        <v>3798</v>
      </c>
      <c r="B286" s="16" t="str">
        <f>TRIM("京橋駅自転車駐車場Ｇブロック管理ボックス")</f>
        <v>京橋駅自転車駐車場Ｇブロック管理ボックス</v>
      </c>
      <c r="C286" s="14" t="s">
        <v>1519</v>
      </c>
      <c r="D286" s="14" t="s">
        <v>205</v>
      </c>
      <c r="E286" s="1"/>
      <c r="F286" s="2"/>
      <c r="G286" s="1">
        <v>2.92</v>
      </c>
      <c r="H286" s="3"/>
      <c r="I286" s="14" t="s">
        <v>2177</v>
      </c>
    </row>
    <row r="287" spans="1:9" ht="18.75" customHeight="1" x14ac:dyDescent="0.4">
      <c r="A287" s="14" t="s">
        <v>5462</v>
      </c>
      <c r="B287" s="16" t="str">
        <f>TRIM("過小地（買収残地）")</f>
        <v>過小地（買収残地）</v>
      </c>
      <c r="C287" s="14" t="s">
        <v>1519</v>
      </c>
      <c r="D287" s="14" t="s">
        <v>205</v>
      </c>
      <c r="E287" s="1">
        <v>2049.0300000000002</v>
      </c>
      <c r="F287" s="2"/>
      <c r="G287" s="1"/>
      <c r="H287" s="3"/>
      <c r="I287" s="14" t="s">
        <v>5349</v>
      </c>
    </row>
    <row r="288" spans="1:9" ht="18.75" customHeight="1" x14ac:dyDescent="0.4">
      <c r="A288" s="14" t="s">
        <v>4056</v>
      </c>
      <c r="B288" s="16" t="str">
        <f>TRIM("城北抽水所")</f>
        <v>城北抽水所</v>
      </c>
      <c r="C288" s="14" t="s">
        <v>1519</v>
      </c>
      <c r="D288" s="14" t="s">
        <v>843</v>
      </c>
      <c r="E288" s="1">
        <v>2543.8200000000002</v>
      </c>
      <c r="F288" s="2"/>
      <c r="G288" s="1">
        <v>890.09</v>
      </c>
      <c r="H288" s="3"/>
      <c r="I288" s="14" t="s">
        <v>2177</v>
      </c>
    </row>
    <row r="289" spans="1:9" ht="18.75" customHeight="1" x14ac:dyDescent="0.4">
      <c r="A289" s="14" t="s">
        <v>6668</v>
      </c>
      <c r="B289" s="16" t="str">
        <f>TRIM("毛馬南住宅")</f>
        <v>毛馬南住宅</v>
      </c>
      <c r="C289" s="14" t="s">
        <v>1519</v>
      </c>
      <c r="D289" s="14" t="s">
        <v>843</v>
      </c>
      <c r="E289" s="1">
        <v>2320.37</v>
      </c>
      <c r="F289" s="2"/>
      <c r="G289" s="1">
        <v>2348</v>
      </c>
      <c r="H289" s="3"/>
      <c r="I289" s="14" t="s">
        <v>6177</v>
      </c>
    </row>
    <row r="290" spans="1:9" ht="18.75" customHeight="1" x14ac:dyDescent="0.4">
      <c r="A290" s="14" t="s">
        <v>3706</v>
      </c>
      <c r="B290" s="16" t="str">
        <f>TRIM("蕪村公園")</f>
        <v>蕪村公園</v>
      </c>
      <c r="C290" s="14" t="s">
        <v>1519</v>
      </c>
      <c r="D290" s="14" t="s">
        <v>843</v>
      </c>
      <c r="E290" s="1"/>
      <c r="F290" s="2"/>
      <c r="G290" s="1">
        <v>21.12</v>
      </c>
      <c r="H290" s="3"/>
      <c r="I290" s="14" t="s">
        <v>2177</v>
      </c>
    </row>
    <row r="291" spans="1:9" ht="18.75" customHeight="1" x14ac:dyDescent="0.4">
      <c r="A291" s="14" t="s">
        <v>2159</v>
      </c>
      <c r="B291" s="16" t="str">
        <f>TRIM("淀川地域老人憩の家")</f>
        <v>淀川地域老人憩の家</v>
      </c>
      <c r="C291" s="14" t="s">
        <v>1519</v>
      </c>
      <c r="D291" s="14" t="s">
        <v>601</v>
      </c>
      <c r="E291" s="1">
        <v>242.88</v>
      </c>
      <c r="F291" s="2"/>
      <c r="G291" s="1">
        <v>102.24</v>
      </c>
      <c r="H291" s="3"/>
      <c r="I291" s="14" t="s">
        <v>2030</v>
      </c>
    </row>
    <row r="292" spans="1:9" ht="18.75" customHeight="1" x14ac:dyDescent="0.4">
      <c r="A292" s="14" t="s">
        <v>4943</v>
      </c>
      <c r="B292" s="16" t="str">
        <f>TRIM("大東小学校")</f>
        <v>大東小学校</v>
      </c>
      <c r="C292" s="14" t="s">
        <v>1519</v>
      </c>
      <c r="D292" s="14" t="s">
        <v>601</v>
      </c>
      <c r="E292" s="1">
        <v>10374.4</v>
      </c>
      <c r="F292" s="2"/>
      <c r="G292" s="1">
        <v>5667.42</v>
      </c>
      <c r="H292" s="3"/>
      <c r="I292" s="14" t="s">
        <v>4689</v>
      </c>
    </row>
    <row r="293" spans="1:9" ht="18.75" customHeight="1" x14ac:dyDescent="0.4">
      <c r="A293" s="14" t="s">
        <v>5931</v>
      </c>
      <c r="B293" s="16" t="str">
        <f>TRIM("毛馬保育所")</f>
        <v>毛馬保育所</v>
      </c>
      <c r="C293" s="14" t="s">
        <v>1519</v>
      </c>
      <c r="D293" s="14" t="s">
        <v>601</v>
      </c>
      <c r="E293" s="1">
        <v>1142.74</v>
      </c>
      <c r="F293" s="2"/>
      <c r="G293" s="1">
        <v>421.6</v>
      </c>
      <c r="H293" s="3"/>
      <c r="I293" s="14" t="s">
        <v>5617</v>
      </c>
    </row>
    <row r="294" spans="1:9" ht="18.75" customHeight="1" x14ac:dyDescent="0.4">
      <c r="A294" s="14" t="s">
        <v>6666</v>
      </c>
      <c r="B294" s="16" t="str">
        <f>TRIM("毛馬住宅")</f>
        <v>毛馬住宅</v>
      </c>
      <c r="C294" s="14" t="s">
        <v>1519</v>
      </c>
      <c r="D294" s="14" t="s">
        <v>601</v>
      </c>
      <c r="E294" s="1">
        <v>31443.43</v>
      </c>
      <c r="F294" s="2"/>
      <c r="G294" s="1">
        <v>35785.449999999997</v>
      </c>
      <c r="H294" s="3"/>
      <c r="I294" s="14" t="s">
        <v>6177</v>
      </c>
    </row>
    <row r="295" spans="1:9" ht="18.75" customHeight="1" x14ac:dyDescent="0.4">
      <c r="A295" s="14" t="s">
        <v>3159</v>
      </c>
      <c r="B295" s="16" t="str">
        <f>TRIM("　東毛馬公園")</f>
        <v>東毛馬公園</v>
      </c>
      <c r="C295" s="14" t="s">
        <v>1519</v>
      </c>
      <c r="D295" s="14" t="s">
        <v>601</v>
      </c>
      <c r="E295" s="1">
        <v>777.51</v>
      </c>
      <c r="F295" s="2"/>
      <c r="G295" s="1"/>
      <c r="H295" s="3"/>
      <c r="I295" s="14" t="s">
        <v>2177</v>
      </c>
    </row>
    <row r="296" spans="1:9" ht="18.75" customHeight="1" x14ac:dyDescent="0.4">
      <c r="A296" s="14" t="s">
        <v>3336</v>
      </c>
      <c r="B296" s="16" t="str">
        <f>TRIM("　毛馬南公園")</f>
        <v>毛馬南公園</v>
      </c>
      <c r="C296" s="14" t="s">
        <v>1519</v>
      </c>
      <c r="D296" s="14" t="s">
        <v>601</v>
      </c>
      <c r="E296" s="1">
        <v>3000.38</v>
      </c>
      <c r="F296" s="2"/>
      <c r="G296" s="1"/>
      <c r="H296" s="3"/>
      <c r="I296" s="14" t="s">
        <v>2177</v>
      </c>
    </row>
    <row r="297" spans="1:9" ht="18.75" customHeight="1" x14ac:dyDescent="0.4">
      <c r="A297" s="14" t="s">
        <v>5138</v>
      </c>
      <c r="B297" s="16" t="str">
        <f>TRIM("淀川小学校")</f>
        <v>淀川小学校</v>
      </c>
      <c r="C297" s="14" t="s">
        <v>1519</v>
      </c>
      <c r="D297" s="14" t="s">
        <v>1252</v>
      </c>
      <c r="E297" s="1">
        <v>11681.87</v>
      </c>
      <c r="F297" s="2"/>
      <c r="G297" s="1">
        <v>6390.09</v>
      </c>
      <c r="H297" s="3"/>
      <c r="I297" s="14" t="s">
        <v>4689</v>
      </c>
    </row>
    <row r="298" spans="1:9" ht="18.75" customHeight="1" x14ac:dyDescent="0.4">
      <c r="A298" s="14" t="s">
        <v>5139</v>
      </c>
      <c r="B298" s="16" t="str">
        <f>TRIM("淀川中学校")</f>
        <v>淀川中学校</v>
      </c>
      <c r="C298" s="14" t="s">
        <v>1519</v>
      </c>
      <c r="D298" s="14" t="s">
        <v>1252</v>
      </c>
      <c r="E298" s="1">
        <v>16523.98</v>
      </c>
      <c r="F298" s="2"/>
      <c r="G298" s="1">
        <v>7934.72</v>
      </c>
      <c r="H298" s="3"/>
      <c r="I298" s="14" t="s">
        <v>4689</v>
      </c>
    </row>
    <row r="299" spans="1:9" ht="18.75" customHeight="1" x14ac:dyDescent="0.4">
      <c r="A299" s="14" t="s">
        <v>3333</v>
      </c>
      <c r="B299" s="16" t="str">
        <f>TRIM("　毛馬西公園")</f>
        <v>毛馬西公園</v>
      </c>
      <c r="C299" s="14" t="s">
        <v>1519</v>
      </c>
      <c r="D299" s="14" t="s">
        <v>1252</v>
      </c>
      <c r="E299" s="1">
        <v>2308.1999999999998</v>
      </c>
      <c r="F299" s="2"/>
      <c r="G299" s="1"/>
      <c r="H299" s="3"/>
      <c r="I299" s="14" t="s">
        <v>2177</v>
      </c>
    </row>
    <row r="300" spans="1:9" ht="18.75" customHeight="1" x14ac:dyDescent="0.4">
      <c r="A300" s="14" t="s">
        <v>6763</v>
      </c>
      <c r="B300" s="16" t="str">
        <f>TRIM("毛馬西住宅")</f>
        <v>毛馬西住宅</v>
      </c>
      <c r="C300" s="14" t="s">
        <v>1519</v>
      </c>
      <c r="D300" s="14" t="s">
        <v>437</v>
      </c>
      <c r="E300" s="1">
        <v>7762</v>
      </c>
      <c r="F300" s="2"/>
      <c r="G300" s="1">
        <v>7698.89</v>
      </c>
      <c r="H300" s="3"/>
      <c r="I300" s="14" t="s">
        <v>6177</v>
      </c>
    </row>
    <row r="301" spans="1:9" ht="18.75" customHeight="1" x14ac:dyDescent="0.4">
      <c r="A301" s="14" t="s">
        <v>1775</v>
      </c>
      <c r="B301" s="16" t="str">
        <f>TRIM("もと淀川老人憩の家")</f>
        <v>もと淀川老人憩の家</v>
      </c>
      <c r="C301" s="14" t="s">
        <v>1519</v>
      </c>
      <c r="D301" s="14" t="s">
        <v>437</v>
      </c>
      <c r="E301" s="1">
        <v>159.94</v>
      </c>
      <c r="F301" s="2"/>
      <c r="G301" s="1"/>
      <c r="H301" s="3"/>
      <c r="I301" s="14" t="s">
        <v>1654</v>
      </c>
    </row>
    <row r="302" spans="1:9" ht="18.75" customHeight="1" x14ac:dyDescent="0.4">
      <c r="A302" s="14" t="s">
        <v>3334</v>
      </c>
      <c r="B302" s="16" t="str">
        <f>TRIM("　毛馬中央公園")</f>
        <v>毛馬中央公園</v>
      </c>
      <c r="C302" s="14" t="s">
        <v>1519</v>
      </c>
      <c r="D302" s="14" t="s">
        <v>437</v>
      </c>
      <c r="E302" s="1">
        <v>7338.84</v>
      </c>
      <c r="F302" s="2"/>
      <c r="G302" s="1"/>
      <c r="H302" s="3"/>
      <c r="I302" s="14" t="s">
        <v>2177</v>
      </c>
    </row>
    <row r="303" spans="1:9" ht="18.75" customHeight="1" x14ac:dyDescent="0.4">
      <c r="A303" s="14" t="s">
        <v>3337</v>
      </c>
      <c r="B303" s="16" t="str">
        <f>TRIM("　毛馬北公園")</f>
        <v>毛馬北公園</v>
      </c>
      <c r="C303" s="14" t="s">
        <v>1519</v>
      </c>
      <c r="D303" s="14" t="s">
        <v>437</v>
      </c>
      <c r="E303" s="1">
        <v>1292.99</v>
      </c>
      <c r="F303" s="2"/>
      <c r="G303" s="1"/>
      <c r="H303" s="3"/>
      <c r="I303" s="14" t="s">
        <v>2177</v>
      </c>
    </row>
    <row r="304" spans="1:9" ht="18.75" customHeight="1" x14ac:dyDescent="0.4">
      <c r="A304" s="14" t="s">
        <v>3704</v>
      </c>
      <c r="B304" s="16" t="str">
        <f>TRIM("毛馬中央公園")</f>
        <v>毛馬中央公園</v>
      </c>
      <c r="C304" s="14" t="s">
        <v>1519</v>
      </c>
      <c r="D304" s="14" t="s">
        <v>437</v>
      </c>
      <c r="E304" s="1"/>
      <c r="F304" s="2"/>
      <c r="G304" s="1">
        <v>19.2</v>
      </c>
      <c r="H304" s="3"/>
      <c r="I304" s="14" t="s">
        <v>2177</v>
      </c>
    </row>
    <row r="305" spans="1:9" ht="18.75" customHeight="1" x14ac:dyDescent="0.4">
      <c r="A305" s="14" t="s">
        <v>6667</v>
      </c>
      <c r="B305" s="16" t="str">
        <f>TRIM("毛馬第2住宅")</f>
        <v>毛馬第2住宅</v>
      </c>
      <c r="C305" s="14" t="s">
        <v>1519</v>
      </c>
      <c r="D305" s="14" t="s">
        <v>435</v>
      </c>
      <c r="E305" s="1">
        <v>4697.49</v>
      </c>
      <c r="F305" s="2"/>
      <c r="G305" s="1">
        <v>4426.26</v>
      </c>
      <c r="H305" s="3"/>
      <c r="I305" s="14" t="s">
        <v>6177</v>
      </c>
    </row>
    <row r="306" spans="1:9" ht="18.75" customHeight="1" x14ac:dyDescent="0.4">
      <c r="A306" s="14" t="s">
        <v>6764</v>
      </c>
      <c r="B306" s="16" t="str">
        <f>TRIM("毛馬東住宅")</f>
        <v>毛馬東住宅</v>
      </c>
      <c r="C306" s="14" t="s">
        <v>1519</v>
      </c>
      <c r="D306" s="14" t="s">
        <v>435</v>
      </c>
      <c r="E306" s="1">
        <v>14394.63</v>
      </c>
      <c r="F306" s="2"/>
      <c r="G306" s="1">
        <v>11747.95</v>
      </c>
      <c r="H306" s="3"/>
      <c r="I306" s="14" t="s">
        <v>6177</v>
      </c>
    </row>
    <row r="307" spans="1:9" ht="18.75" customHeight="1" x14ac:dyDescent="0.4">
      <c r="A307" s="14" t="s">
        <v>1975</v>
      </c>
      <c r="B307" s="16" t="str">
        <f>TRIM("淀川地域在宅サービスステーション")</f>
        <v>淀川地域在宅サービスステーション</v>
      </c>
      <c r="C307" s="14" t="s">
        <v>1519</v>
      </c>
      <c r="D307" s="14" t="s">
        <v>435</v>
      </c>
      <c r="E307" s="1">
        <v>469.14</v>
      </c>
      <c r="F307" s="2"/>
      <c r="G307" s="1"/>
      <c r="H307" s="3"/>
      <c r="I307" s="14" t="s">
        <v>1654</v>
      </c>
    </row>
    <row r="308" spans="1:9" ht="18.75" customHeight="1" x14ac:dyDescent="0.4">
      <c r="A308" s="14" t="s">
        <v>2831</v>
      </c>
      <c r="B308" s="16" t="str">
        <f>TRIM("　城北緑道")</f>
        <v>城北緑道</v>
      </c>
      <c r="C308" s="14" t="s">
        <v>1519</v>
      </c>
      <c r="D308" s="14" t="s">
        <v>435</v>
      </c>
      <c r="E308" s="1">
        <v>7382.36</v>
      </c>
      <c r="F308" s="2"/>
      <c r="G308" s="1"/>
      <c r="H308" s="3"/>
      <c r="I308" s="14" t="s">
        <v>2177</v>
      </c>
    </row>
    <row r="309" spans="1:9" ht="18.75" customHeight="1" x14ac:dyDescent="0.4">
      <c r="A309" s="14" t="s">
        <v>3335</v>
      </c>
      <c r="B309" s="16" t="str">
        <f>TRIM("　毛馬東公園")</f>
        <v>毛馬東公園</v>
      </c>
      <c r="C309" s="14" t="s">
        <v>1519</v>
      </c>
      <c r="D309" s="14" t="s">
        <v>435</v>
      </c>
      <c r="E309" s="1">
        <v>1036.19</v>
      </c>
      <c r="F309" s="2"/>
      <c r="G309" s="1"/>
      <c r="H309" s="3"/>
      <c r="I309" s="14" t="s">
        <v>2177</v>
      </c>
    </row>
    <row r="310" spans="1:9" ht="18.75" customHeight="1" x14ac:dyDescent="0.4">
      <c r="A310" s="14" t="s">
        <v>4825</v>
      </c>
      <c r="B310" s="16" t="str">
        <f>TRIM("もと桜宮高等学校")</f>
        <v>もと桜宮高等学校</v>
      </c>
      <c r="C310" s="14" t="s">
        <v>1519</v>
      </c>
      <c r="D310" s="14" t="s">
        <v>435</v>
      </c>
      <c r="E310" s="1">
        <v>7685.29</v>
      </c>
      <c r="F310" s="2"/>
      <c r="G310" s="1"/>
      <c r="H310" s="3"/>
      <c r="I310" s="14" t="s">
        <v>4689</v>
      </c>
    </row>
    <row r="311" spans="1:9" ht="18.75" customHeight="1" x14ac:dyDescent="0.4">
      <c r="A311" s="14" t="s">
        <v>2971</v>
      </c>
      <c r="B311" s="16" t="str">
        <f>TRIM("　善源寺公園")</f>
        <v>善源寺公園</v>
      </c>
      <c r="C311" s="14" t="s">
        <v>1519</v>
      </c>
      <c r="D311" s="14" t="s">
        <v>1125</v>
      </c>
      <c r="E311" s="1">
        <v>1264.03</v>
      </c>
      <c r="F311" s="2"/>
      <c r="G311" s="1"/>
      <c r="H311" s="3"/>
      <c r="I311" s="14" t="s">
        <v>2177</v>
      </c>
    </row>
    <row r="312" spans="1:9" ht="18.75" customHeight="1" x14ac:dyDescent="0.4">
      <c r="A312" s="14" t="s">
        <v>2972</v>
      </c>
      <c r="B312" s="16" t="str">
        <f>TRIM("　善源寺楠公園")</f>
        <v>善源寺楠公園</v>
      </c>
      <c r="C312" s="14" t="s">
        <v>1519</v>
      </c>
      <c r="D312" s="14" t="s">
        <v>1125</v>
      </c>
      <c r="E312" s="1">
        <v>2910.63</v>
      </c>
      <c r="F312" s="2"/>
      <c r="G312" s="1"/>
      <c r="H312" s="3"/>
      <c r="I312" s="14" t="s">
        <v>2177</v>
      </c>
    </row>
    <row r="313" spans="1:9" ht="18.75" customHeight="1" x14ac:dyDescent="0.4">
      <c r="A313" s="14" t="s">
        <v>5011</v>
      </c>
      <c r="B313" s="16" t="str">
        <f>TRIM("もと都島工業高等学校")</f>
        <v>もと都島工業高等学校</v>
      </c>
      <c r="C313" s="14" t="s">
        <v>1519</v>
      </c>
      <c r="D313" s="14" t="s">
        <v>1125</v>
      </c>
      <c r="E313" s="1">
        <v>23.14</v>
      </c>
      <c r="F313" s="2"/>
      <c r="G313" s="1"/>
      <c r="H313" s="3"/>
      <c r="I313" s="14" t="s">
        <v>4689</v>
      </c>
    </row>
    <row r="314" spans="1:9" ht="18.75" customHeight="1" x14ac:dyDescent="0.4">
      <c r="A314" s="14" t="s">
        <v>6140</v>
      </c>
      <c r="B314" s="16" t="str">
        <f>TRIM("善源寺霊園")</f>
        <v>善源寺霊園</v>
      </c>
      <c r="C314" s="14" t="s">
        <v>1519</v>
      </c>
      <c r="D314" s="14" t="s">
        <v>653</v>
      </c>
      <c r="E314" s="1">
        <v>286.61</v>
      </c>
      <c r="F314" s="2"/>
      <c r="G314" s="1"/>
      <c r="H314" s="3"/>
      <c r="I314" s="14" t="s">
        <v>5977</v>
      </c>
    </row>
    <row r="315" spans="1:9" ht="18.75" customHeight="1" x14ac:dyDescent="0.4">
      <c r="A315" s="14" t="s">
        <v>5747</v>
      </c>
      <c r="B315" s="16" t="str">
        <f>TRIM("大東保育園")</f>
        <v>大東保育園</v>
      </c>
      <c r="C315" s="14" t="s">
        <v>1519</v>
      </c>
      <c r="D315" s="14" t="s">
        <v>548</v>
      </c>
      <c r="E315" s="1">
        <v>1035.6099999999999</v>
      </c>
      <c r="F315" s="2"/>
      <c r="G315" s="1">
        <v>477.67</v>
      </c>
      <c r="H315" s="3"/>
      <c r="I315" s="14" t="s">
        <v>5617</v>
      </c>
    </row>
    <row r="316" spans="1:9" ht="18.75" customHeight="1" x14ac:dyDescent="0.4">
      <c r="A316" s="14" t="s">
        <v>2078</v>
      </c>
      <c r="B316" s="16" t="str">
        <f>TRIM("大東老人憩の家")</f>
        <v>大東老人憩の家</v>
      </c>
      <c r="C316" s="14" t="s">
        <v>1519</v>
      </c>
      <c r="D316" s="14" t="s">
        <v>548</v>
      </c>
      <c r="E316" s="1"/>
      <c r="F316" s="2"/>
      <c r="G316" s="1">
        <v>103.41</v>
      </c>
      <c r="H316" s="3"/>
      <c r="I316" s="14" t="s">
        <v>2030</v>
      </c>
    </row>
    <row r="317" spans="1:9" ht="18.75" customHeight="1" x14ac:dyDescent="0.4">
      <c r="A317" s="14" t="s">
        <v>2290</v>
      </c>
      <c r="B317" s="16" t="str">
        <f>TRIM("中津太子橋線（都島）（管財課）")</f>
        <v>中津太子橋線（都島）（管財課）</v>
      </c>
      <c r="C317" s="14" t="s">
        <v>1519</v>
      </c>
      <c r="D317" s="14" t="s">
        <v>548</v>
      </c>
      <c r="E317" s="1">
        <v>15799.93</v>
      </c>
      <c r="F317" s="2"/>
      <c r="G317" s="1"/>
      <c r="H317" s="3"/>
      <c r="I317" s="14" t="s">
        <v>2177</v>
      </c>
    </row>
    <row r="318" spans="1:9" ht="18.75" customHeight="1" x14ac:dyDescent="0.4">
      <c r="A318" s="14" t="s">
        <v>4362</v>
      </c>
      <c r="B318" s="16" t="str">
        <f>TRIM("大東会館")</f>
        <v>大東会館</v>
      </c>
      <c r="C318" s="14" t="s">
        <v>1519</v>
      </c>
      <c r="D318" s="14" t="s">
        <v>548</v>
      </c>
      <c r="E318" s="1"/>
      <c r="F318" s="2"/>
      <c r="G318" s="1">
        <v>128.97</v>
      </c>
      <c r="H318" s="3"/>
      <c r="I318" s="14" t="s">
        <v>2030</v>
      </c>
    </row>
    <row r="319" spans="1:9" ht="18.75" customHeight="1" x14ac:dyDescent="0.4">
      <c r="A319" s="14" t="s">
        <v>4366</v>
      </c>
      <c r="B319" s="16" t="str">
        <f>TRIM("大東福祉会館老人憩の家")</f>
        <v>大東福祉会館老人憩の家</v>
      </c>
      <c r="C319" s="14" t="s">
        <v>1519</v>
      </c>
      <c r="D319" s="14" t="s">
        <v>548</v>
      </c>
      <c r="E319" s="1">
        <v>509.04</v>
      </c>
      <c r="F319" s="2"/>
      <c r="G319" s="1"/>
      <c r="H319" s="3"/>
      <c r="I319" s="14" t="s">
        <v>2030</v>
      </c>
    </row>
    <row r="320" spans="1:9" ht="18.75" customHeight="1" x14ac:dyDescent="0.4">
      <c r="A320" s="14" t="s">
        <v>6136</v>
      </c>
      <c r="B320" s="16" t="str">
        <f>TRIM("赤川霊園")</f>
        <v>赤川霊園</v>
      </c>
      <c r="C320" s="14" t="s">
        <v>1519</v>
      </c>
      <c r="D320" s="14" t="s">
        <v>548</v>
      </c>
      <c r="E320" s="1">
        <v>582.29999999999995</v>
      </c>
      <c r="F320" s="2"/>
      <c r="G320" s="1"/>
      <c r="H320" s="3"/>
      <c r="I320" s="14" t="s">
        <v>5977</v>
      </c>
    </row>
    <row r="321" spans="1:9" ht="18.75" customHeight="1" x14ac:dyDescent="0.4">
      <c r="A321" s="14" t="s">
        <v>6222</v>
      </c>
      <c r="B321" s="16" t="str">
        <f>TRIM("毛馬住宅内公園")</f>
        <v>毛馬住宅内公園</v>
      </c>
      <c r="C321" s="14" t="s">
        <v>1519</v>
      </c>
      <c r="D321" s="14" t="s">
        <v>548</v>
      </c>
      <c r="E321" s="1">
        <v>2460.5</v>
      </c>
      <c r="F321" s="2"/>
      <c r="G321" s="1"/>
      <c r="H321" s="3"/>
      <c r="I321" s="14" t="s">
        <v>6177</v>
      </c>
    </row>
    <row r="322" spans="1:9" ht="18.75" customHeight="1" x14ac:dyDescent="0.4">
      <c r="A322" s="14" t="s">
        <v>4806</v>
      </c>
      <c r="B322" s="16" t="str">
        <f>TRIM("高倉小学校")</f>
        <v>高倉小学校</v>
      </c>
      <c r="C322" s="14" t="s">
        <v>1519</v>
      </c>
      <c r="D322" s="14" t="s">
        <v>1276</v>
      </c>
      <c r="E322" s="1">
        <v>13933.5</v>
      </c>
      <c r="F322" s="2"/>
      <c r="G322" s="1">
        <v>6313.92</v>
      </c>
      <c r="H322" s="3"/>
      <c r="I322" s="14" t="s">
        <v>4689</v>
      </c>
    </row>
    <row r="323" spans="1:9" ht="18.75" customHeight="1" x14ac:dyDescent="0.4">
      <c r="A323" s="14" t="s">
        <v>3424</v>
      </c>
      <c r="B323" s="16" t="str">
        <f>TRIM("高倉三公園")</f>
        <v>高倉三公園</v>
      </c>
      <c r="C323" s="14" t="s">
        <v>1519</v>
      </c>
      <c r="D323" s="14" t="s">
        <v>1276</v>
      </c>
      <c r="E323" s="1">
        <v>786.97</v>
      </c>
      <c r="F323" s="2"/>
      <c r="G323" s="1"/>
      <c r="H323" s="3"/>
      <c r="I323" s="14" t="s">
        <v>2177</v>
      </c>
    </row>
    <row r="324" spans="1:9" ht="18.75" customHeight="1" x14ac:dyDescent="0.4">
      <c r="A324" s="14" t="s">
        <v>3332</v>
      </c>
      <c r="B324" s="16" t="str">
        <f>TRIM("　毛馬桜之宮公園")</f>
        <v>毛馬桜之宮公園</v>
      </c>
      <c r="C324" s="14" t="s">
        <v>1519</v>
      </c>
      <c r="D324" s="14" t="s">
        <v>433</v>
      </c>
      <c r="E324" s="1">
        <v>77456.87</v>
      </c>
      <c r="F324" s="2">
        <v>19</v>
      </c>
      <c r="G324" s="1"/>
      <c r="H324" s="3"/>
      <c r="I324" s="14" t="s">
        <v>2177</v>
      </c>
    </row>
    <row r="325" spans="1:9" ht="18.75" customHeight="1" x14ac:dyDescent="0.4">
      <c r="A325" s="14" t="s">
        <v>5134</v>
      </c>
      <c r="B325" s="16" t="str">
        <f>TRIM("友渕小学校")</f>
        <v>友渕小学校</v>
      </c>
      <c r="C325" s="14" t="s">
        <v>1519</v>
      </c>
      <c r="D325" s="14" t="s">
        <v>433</v>
      </c>
      <c r="E325" s="1">
        <v>11400.07</v>
      </c>
      <c r="F325" s="2"/>
      <c r="G325" s="1">
        <v>8951.81</v>
      </c>
      <c r="H325" s="3"/>
      <c r="I325" s="14" t="s">
        <v>4689</v>
      </c>
    </row>
    <row r="326" spans="1:9" ht="18.75" customHeight="1" x14ac:dyDescent="0.4">
      <c r="A326" s="14" t="s">
        <v>5135</v>
      </c>
      <c r="B326" s="16" t="str">
        <f>TRIM("友渕小学校分校")</f>
        <v>友渕小学校分校</v>
      </c>
      <c r="C326" s="14" t="s">
        <v>1519</v>
      </c>
      <c r="D326" s="14" t="s">
        <v>433</v>
      </c>
      <c r="E326" s="1">
        <v>6385.51</v>
      </c>
      <c r="F326" s="2"/>
      <c r="G326" s="1">
        <v>5720.89</v>
      </c>
      <c r="H326" s="3"/>
      <c r="I326" s="14" t="s">
        <v>4689</v>
      </c>
    </row>
    <row r="327" spans="1:9" ht="18.75" customHeight="1" x14ac:dyDescent="0.4">
      <c r="A327" s="14" t="s">
        <v>5136</v>
      </c>
      <c r="B327" s="16" t="str">
        <f>TRIM("友渕中学校")</f>
        <v>友渕中学校</v>
      </c>
      <c r="C327" s="14" t="s">
        <v>1519</v>
      </c>
      <c r="D327" s="14" t="s">
        <v>433</v>
      </c>
      <c r="E327" s="1">
        <v>15096.87</v>
      </c>
      <c r="F327" s="2"/>
      <c r="G327" s="1">
        <v>7570.89</v>
      </c>
      <c r="H327" s="3"/>
      <c r="I327" s="14" t="s">
        <v>4689</v>
      </c>
    </row>
    <row r="328" spans="1:9" ht="18.75" customHeight="1" x14ac:dyDescent="0.4">
      <c r="A328" s="14" t="s">
        <v>1972</v>
      </c>
      <c r="B328" s="16" t="str">
        <f>TRIM("友渕地域在宅サービスステーション・友渕福祉会館老人憩の家")</f>
        <v>友渕地域在宅サービスステーション・友渕福祉会館老人憩の家</v>
      </c>
      <c r="C328" s="14" t="s">
        <v>1519</v>
      </c>
      <c r="D328" s="14" t="s">
        <v>433</v>
      </c>
      <c r="E328" s="1">
        <v>366.13</v>
      </c>
      <c r="F328" s="2"/>
      <c r="G328" s="1"/>
      <c r="H328" s="3"/>
      <c r="I328" s="14" t="s">
        <v>1654</v>
      </c>
    </row>
    <row r="329" spans="1:9" ht="18.75" customHeight="1" x14ac:dyDescent="0.4">
      <c r="A329" s="14" t="s">
        <v>2470</v>
      </c>
      <c r="B329" s="16" t="str">
        <f>TRIM("運河（都島）")</f>
        <v>運河（都島）</v>
      </c>
      <c r="C329" s="14" t="s">
        <v>1519</v>
      </c>
      <c r="D329" s="14" t="s">
        <v>433</v>
      </c>
      <c r="E329" s="1">
        <v>47007.89</v>
      </c>
      <c r="F329" s="2"/>
      <c r="G329" s="1"/>
      <c r="H329" s="3"/>
      <c r="I329" s="14" t="s">
        <v>2177</v>
      </c>
    </row>
    <row r="330" spans="1:9" ht="18.75" customHeight="1" x14ac:dyDescent="0.4">
      <c r="A330" s="14" t="s">
        <v>3364</v>
      </c>
      <c r="B330" s="16" t="str">
        <f>TRIM("　友渕中央公園")</f>
        <v>友渕中央公園</v>
      </c>
      <c r="C330" s="14" t="s">
        <v>1519</v>
      </c>
      <c r="D330" s="14" t="s">
        <v>433</v>
      </c>
      <c r="E330" s="1">
        <v>10000.01</v>
      </c>
      <c r="F330" s="2"/>
      <c r="G330" s="1"/>
      <c r="H330" s="3"/>
      <c r="I330" s="14" t="s">
        <v>2177</v>
      </c>
    </row>
    <row r="331" spans="1:9" ht="18.75" customHeight="1" x14ac:dyDescent="0.4">
      <c r="A331" s="14" t="s">
        <v>3681</v>
      </c>
      <c r="B331" s="16" t="str">
        <f>TRIM("　毛馬桜之宮公園")</f>
        <v>毛馬桜之宮公園</v>
      </c>
      <c r="C331" s="14" t="s">
        <v>1519</v>
      </c>
      <c r="D331" s="14" t="s">
        <v>433</v>
      </c>
      <c r="E331" s="1"/>
      <c r="F331" s="2"/>
      <c r="G331" s="1">
        <v>57.38</v>
      </c>
      <c r="H331" s="3"/>
      <c r="I331" s="14" t="s">
        <v>2177</v>
      </c>
    </row>
    <row r="332" spans="1:9" ht="18.75" customHeight="1" x14ac:dyDescent="0.4">
      <c r="A332" s="14" t="s">
        <v>4367</v>
      </c>
      <c r="B332" s="16" t="str">
        <f>TRIM("友渕福祉会館老人憩の家")</f>
        <v>友渕福祉会館老人憩の家</v>
      </c>
      <c r="C332" s="14" t="s">
        <v>1519</v>
      </c>
      <c r="D332" s="14" t="s">
        <v>433</v>
      </c>
      <c r="E332" s="1">
        <v>295.12</v>
      </c>
      <c r="F332" s="2"/>
      <c r="G332" s="1"/>
      <c r="H332" s="3"/>
      <c r="I332" s="14" t="s">
        <v>2030</v>
      </c>
    </row>
    <row r="333" spans="1:9" ht="18.75" customHeight="1" x14ac:dyDescent="0.4">
      <c r="A333" s="14" t="s">
        <v>6693</v>
      </c>
      <c r="B333" s="16" t="str">
        <f>TRIM("友渕住宅")</f>
        <v>友渕住宅</v>
      </c>
      <c r="C333" s="14" t="s">
        <v>1519</v>
      </c>
      <c r="D333" s="14" t="s">
        <v>433</v>
      </c>
      <c r="E333" s="1">
        <v>11988.18</v>
      </c>
      <c r="F333" s="2"/>
      <c r="G333" s="1">
        <v>21649.77</v>
      </c>
      <c r="H333" s="3"/>
      <c r="I333" s="14" t="s">
        <v>6177</v>
      </c>
    </row>
    <row r="334" spans="1:9" ht="18.75" customHeight="1" x14ac:dyDescent="0.4">
      <c r="A334" s="14" t="s">
        <v>5312</v>
      </c>
      <c r="B334" s="16" t="str">
        <f>TRIM("防火水槽用地（都島）")</f>
        <v>防火水槽用地（都島）</v>
      </c>
      <c r="C334" s="14" t="s">
        <v>1519</v>
      </c>
      <c r="D334" s="14" t="s">
        <v>433</v>
      </c>
      <c r="E334" s="1">
        <v>687.01</v>
      </c>
      <c r="F334" s="2"/>
      <c r="G334" s="1"/>
      <c r="H334" s="3"/>
      <c r="I334" s="14" t="s">
        <v>5219</v>
      </c>
    </row>
    <row r="335" spans="1:9" ht="18.75" customHeight="1" x14ac:dyDescent="0.4">
      <c r="A335" s="14" t="s">
        <v>6004</v>
      </c>
      <c r="B335" s="16" t="str">
        <f>TRIM("水質観測局（大川）")</f>
        <v>水質観測局（大川）</v>
      </c>
      <c r="C335" s="14" t="s">
        <v>1519</v>
      </c>
      <c r="D335" s="14" t="s">
        <v>433</v>
      </c>
      <c r="E335" s="1"/>
      <c r="F335" s="2"/>
      <c r="G335" s="1">
        <v>27.4</v>
      </c>
      <c r="H335" s="3"/>
      <c r="I335" s="14" t="s">
        <v>5977</v>
      </c>
    </row>
    <row r="336" spans="1:9" ht="18.75" customHeight="1" x14ac:dyDescent="0.4">
      <c r="A336" s="14" t="s">
        <v>5280</v>
      </c>
      <c r="B336" s="16" t="str">
        <f>TRIM("都島消防署高倉出張所")</f>
        <v>都島消防署高倉出張所</v>
      </c>
      <c r="C336" s="14" t="s">
        <v>1519</v>
      </c>
      <c r="D336" s="14" t="s">
        <v>1369</v>
      </c>
      <c r="E336" s="1">
        <v>185.12</v>
      </c>
      <c r="F336" s="2"/>
      <c r="G336" s="1">
        <v>243.82</v>
      </c>
      <c r="H336" s="3"/>
      <c r="I336" s="14" t="s">
        <v>5219</v>
      </c>
    </row>
    <row r="337" spans="1:9" ht="18.75" customHeight="1" x14ac:dyDescent="0.4">
      <c r="A337" s="14" t="s">
        <v>4360</v>
      </c>
      <c r="B337" s="16" t="str">
        <f>TRIM("地域集会所（都島区友渕町）")</f>
        <v>地域集会所（都島区友渕町）</v>
      </c>
      <c r="C337" s="14" t="s">
        <v>1519</v>
      </c>
      <c r="D337" s="14" t="s">
        <v>1369</v>
      </c>
      <c r="E337" s="1">
        <v>119.4</v>
      </c>
      <c r="F337" s="2"/>
      <c r="G337" s="1"/>
      <c r="H337" s="3"/>
      <c r="I337" s="14" t="s">
        <v>2030</v>
      </c>
    </row>
    <row r="338" spans="1:9" ht="18.75" customHeight="1" x14ac:dyDescent="0.4">
      <c r="A338" s="14" t="s">
        <v>3363</v>
      </c>
      <c r="B338" s="16" t="str">
        <f>TRIM("　友渕公園")</f>
        <v>友渕公園</v>
      </c>
      <c r="C338" s="14" t="s">
        <v>1519</v>
      </c>
      <c r="D338" s="14" t="s">
        <v>1262</v>
      </c>
      <c r="E338" s="1">
        <v>2097.27</v>
      </c>
      <c r="F338" s="2"/>
      <c r="G338" s="1"/>
      <c r="H338" s="3"/>
      <c r="I338" s="14" t="s">
        <v>2177</v>
      </c>
    </row>
    <row r="339" spans="1:9" ht="18.75" customHeight="1" x14ac:dyDescent="0.4">
      <c r="A339" s="14" t="s">
        <v>2743</v>
      </c>
      <c r="B339" s="16" t="str">
        <f>TRIM("　桜之宮公園")</f>
        <v>桜之宮公園</v>
      </c>
      <c r="C339" s="14" t="s">
        <v>1519</v>
      </c>
      <c r="D339" s="14" t="s">
        <v>1057</v>
      </c>
      <c r="E339" s="1">
        <v>4981.04</v>
      </c>
      <c r="F339" s="2"/>
      <c r="G339" s="1"/>
      <c r="H339" s="3"/>
      <c r="I339" s="14" t="s">
        <v>2177</v>
      </c>
    </row>
    <row r="340" spans="1:9" ht="18.75" customHeight="1" x14ac:dyDescent="0.4">
      <c r="A340" s="14" t="s">
        <v>3561</v>
      </c>
      <c r="B340" s="16" t="str">
        <f>TRIM("　桜之宮公園")</f>
        <v>桜之宮公園</v>
      </c>
      <c r="C340" s="14" t="s">
        <v>1519</v>
      </c>
      <c r="D340" s="14" t="s">
        <v>1057</v>
      </c>
      <c r="E340" s="1"/>
      <c r="F340" s="2"/>
      <c r="G340" s="1">
        <v>1551.44</v>
      </c>
      <c r="H340" s="3"/>
      <c r="I340" s="14" t="s">
        <v>2177</v>
      </c>
    </row>
    <row r="341" spans="1:9" ht="18.75" customHeight="1" x14ac:dyDescent="0.4">
      <c r="A341" s="14" t="s">
        <v>5338</v>
      </c>
      <c r="B341" s="16" t="str">
        <f>TRIM("都島消防署艇庫")</f>
        <v>都島消防署艇庫</v>
      </c>
      <c r="C341" s="14" t="s">
        <v>1519</v>
      </c>
      <c r="D341" s="14" t="s">
        <v>1057</v>
      </c>
      <c r="E341" s="1"/>
      <c r="F341" s="2"/>
      <c r="G341" s="1">
        <v>68.22</v>
      </c>
      <c r="H341" s="3"/>
      <c r="I341" s="14" t="s">
        <v>5219</v>
      </c>
    </row>
    <row r="342" spans="1:9" ht="18.75" customHeight="1" x14ac:dyDescent="0.4">
      <c r="A342" s="14" t="s">
        <v>4355</v>
      </c>
      <c r="B342" s="16" t="str">
        <f>TRIM("都島区役所")</f>
        <v>都島区役所</v>
      </c>
      <c r="C342" s="14" t="s">
        <v>1519</v>
      </c>
      <c r="D342" s="14" t="s">
        <v>1448</v>
      </c>
      <c r="E342" s="1">
        <v>5355.95</v>
      </c>
      <c r="F342" s="2"/>
      <c r="G342" s="1">
        <v>4723.16</v>
      </c>
      <c r="H342" s="3"/>
      <c r="I342" s="14" t="s">
        <v>2030</v>
      </c>
    </row>
    <row r="343" spans="1:9" ht="18.75" customHeight="1" x14ac:dyDescent="0.4">
      <c r="A343" s="14" t="s">
        <v>4363</v>
      </c>
      <c r="B343" s="16" t="str">
        <f>TRIM("都島区民センター")</f>
        <v>都島区民センター</v>
      </c>
      <c r="C343" s="14" t="s">
        <v>1519</v>
      </c>
      <c r="D343" s="14" t="s">
        <v>1448</v>
      </c>
      <c r="E343" s="1"/>
      <c r="F343" s="2"/>
      <c r="G343" s="1">
        <v>1632.73</v>
      </c>
      <c r="H343" s="3"/>
      <c r="I343" s="14" t="s">
        <v>2030</v>
      </c>
    </row>
    <row r="344" spans="1:9" ht="18.75" customHeight="1" x14ac:dyDescent="0.4">
      <c r="A344" s="14" t="s">
        <v>5199</v>
      </c>
      <c r="B344" s="16" t="str">
        <f>TRIM("都島図書館")</f>
        <v>都島図書館</v>
      </c>
      <c r="C344" s="14" t="s">
        <v>1519</v>
      </c>
      <c r="D344" s="14" t="s">
        <v>1448</v>
      </c>
      <c r="E344" s="1"/>
      <c r="F344" s="2"/>
      <c r="G344" s="1">
        <v>662.01</v>
      </c>
      <c r="H344" s="3"/>
      <c r="I344" s="14" t="s">
        <v>4689</v>
      </c>
    </row>
    <row r="345" spans="1:9" ht="18.75" customHeight="1" x14ac:dyDescent="0.4">
      <c r="A345" s="14" t="s">
        <v>4971</v>
      </c>
      <c r="B345" s="16" t="str">
        <f>TRIM("中野小学校")</f>
        <v>中野小学校</v>
      </c>
      <c r="C345" s="14" t="s">
        <v>1519</v>
      </c>
      <c r="D345" s="14" t="s">
        <v>1160</v>
      </c>
      <c r="E345" s="1">
        <v>9847.2199999999993</v>
      </c>
      <c r="F345" s="2"/>
      <c r="G345" s="1">
        <v>6320.13</v>
      </c>
      <c r="H345" s="3"/>
      <c r="I345" s="14" t="s">
        <v>4689</v>
      </c>
    </row>
    <row r="346" spans="1:9" ht="18.75" customHeight="1" x14ac:dyDescent="0.4">
      <c r="A346" s="14" t="s">
        <v>5013</v>
      </c>
      <c r="B346" s="16" t="str">
        <f>TRIM("都島中学校")</f>
        <v>都島中学校</v>
      </c>
      <c r="C346" s="14" t="s">
        <v>1519</v>
      </c>
      <c r="D346" s="14" t="s">
        <v>1160</v>
      </c>
      <c r="E346" s="1">
        <v>14009.14</v>
      </c>
      <c r="F346" s="2"/>
      <c r="G346" s="1">
        <v>7468.05</v>
      </c>
      <c r="H346" s="3"/>
      <c r="I346" s="14" t="s">
        <v>4689</v>
      </c>
    </row>
    <row r="347" spans="1:9" ht="18.75" customHeight="1" x14ac:dyDescent="0.4">
      <c r="A347" s="14" t="s">
        <v>2093</v>
      </c>
      <c r="B347" s="16" t="str">
        <f>TRIM("中野老人憩の家")</f>
        <v>中野老人憩の家</v>
      </c>
      <c r="C347" s="14" t="s">
        <v>1519</v>
      </c>
      <c r="D347" s="14" t="s">
        <v>1160</v>
      </c>
      <c r="E347" s="1">
        <v>358.93</v>
      </c>
      <c r="F347" s="2"/>
      <c r="G347" s="1"/>
      <c r="H347" s="3"/>
      <c r="I347" s="14" t="s">
        <v>2030</v>
      </c>
    </row>
    <row r="348" spans="1:9" ht="18.75" customHeight="1" x14ac:dyDescent="0.4">
      <c r="A348" s="14" t="s">
        <v>3060</v>
      </c>
      <c r="B348" s="16" t="str">
        <f>TRIM("　中野南公園")</f>
        <v>中野南公園</v>
      </c>
      <c r="C348" s="14" t="s">
        <v>1519</v>
      </c>
      <c r="D348" s="14" t="s">
        <v>1160</v>
      </c>
      <c r="E348" s="1">
        <v>1451.09</v>
      </c>
      <c r="F348" s="2"/>
      <c r="G348" s="1"/>
      <c r="H348" s="3"/>
      <c r="I348" s="14" t="s">
        <v>2177</v>
      </c>
    </row>
    <row r="349" spans="1:9" ht="18.75" customHeight="1" x14ac:dyDescent="0.4">
      <c r="A349" s="14" t="s">
        <v>6381</v>
      </c>
      <c r="B349" s="16" t="str">
        <f>TRIM("桜宮住宅")</f>
        <v>桜宮住宅</v>
      </c>
      <c r="C349" s="14" t="s">
        <v>1519</v>
      </c>
      <c r="D349" s="14" t="s">
        <v>750</v>
      </c>
      <c r="E349" s="1">
        <v>3409.28</v>
      </c>
      <c r="F349" s="2"/>
      <c r="G349" s="1">
        <v>5779.93</v>
      </c>
      <c r="H349" s="3"/>
      <c r="I349" s="14" t="s">
        <v>6177</v>
      </c>
    </row>
    <row r="350" spans="1:9" ht="18.75" customHeight="1" x14ac:dyDescent="0.4">
      <c r="A350" s="14" t="s">
        <v>1822</v>
      </c>
      <c r="B350" s="16" t="str">
        <f>TRIM("都島区老人福祉センター")</f>
        <v>都島区老人福祉センター</v>
      </c>
      <c r="C350" s="14" t="s">
        <v>1519</v>
      </c>
      <c r="D350" s="14" t="s">
        <v>750</v>
      </c>
      <c r="E350" s="1"/>
      <c r="F350" s="2"/>
      <c r="G350" s="1">
        <v>661.48</v>
      </c>
      <c r="H350" s="3"/>
      <c r="I350" s="14" t="s">
        <v>1654</v>
      </c>
    </row>
    <row r="351" spans="1:9" ht="18.75" customHeight="1" x14ac:dyDescent="0.4">
      <c r="A351" s="14" t="s">
        <v>3721</v>
      </c>
      <c r="B351" s="16" t="str">
        <f>TRIM(" 桜ノ宮駅自転車駐車場")</f>
        <v>桜ノ宮駅自転車駐車場</v>
      </c>
      <c r="C351" s="14" t="s">
        <v>1519</v>
      </c>
      <c r="D351" s="14" t="s">
        <v>750</v>
      </c>
      <c r="E351" s="1">
        <v>661.46</v>
      </c>
      <c r="F351" s="2"/>
      <c r="G351" s="1"/>
      <c r="H351" s="3"/>
      <c r="I351" s="14" t="s">
        <v>2177</v>
      </c>
    </row>
    <row r="352" spans="1:9" ht="18.75" customHeight="1" x14ac:dyDescent="0.4">
      <c r="A352" s="14" t="s">
        <v>3816</v>
      </c>
      <c r="B352" s="16" t="str">
        <f>TRIM("桜ノ宮駅自転車駐車場西側管理ボックス")</f>
        <v>桜ノ宮駅自転車駐車場西側管理ボックス</v>
      </c>
      <c r="C352" s="14" t="s">
        <v>1519</v>
      </c>
      <c r="D352" s="14" t="s">
        <v>750</v>
      </c>
      <c r="E352" s="1"/>
      <c r="F352" s="2"/>
      <c r="G352" s="1">
        <v>3.89</v>
      </c>
      <c r="H352" s="3"/>
      <c r="I352" s="14" t="s">
        <v>2177</v>
      </c>
    </row>
    <row r="353" spans="1:9" ht="18.75" customHeight="1" x14ac:dyDescent="0.4">
      <c r="A353" s="14" t="s">
        <v>3817</v>
      </c>
      <c r="B353" s="16" t="str">
        <f>TRIM("桜ノ宮駅自転車駐車場南側管理ボックス")</f>
        <v>桜ノ宮駅自転車駐車場南側管理ボックス</v>
      </c>
      <c r="C353" s="14" t="s">
        <v>1519</v>
      </c>
      <c r="D353" s="14" t="s">
        <v>750</v>
      </c>
      <c r="E353" s="1"/>
      <c r="F353" s="2"/>
      <c r="G353" s="1">
        <v>6.05</v>
      </c>
      <c r="H353" s="3"/>
      <c r="I353" s="14" t="s">
        <v>2177</v>
      </c>
    </row>
    <row r="354" spans="1:9" ht="18.75" customHeight="1" x14ac:dyDescent="0.4">
      <c r="A354" s="14" t="s">
        <v>4354</v>
      </c>
      <c r="B354" s="16" t="str">
        <f>TRIM("都島区保健福祉センター")</f>
        <v>都島区保健福祉センター</v>
      </c>
      <c r="C354" s="14" t="s">
        <v>1519</v>
      </c>
      <c r="D354" s="14" t="s">
        <v>79</v>
      </c>
      <c r="E354" s="1">
        <v>272.20999999999998</v>
      </c>
      <c r="F354" s="2"/>
      <c r="G354" s="1">
        <v>1467.59</v>
      </c>
      <c r="H354" s="3"/>
      <c r="I354" s="14" t="s">
        <v>2030</v>
      </c>
    </row>
    <row r="355" spans="1:9" ht="18.75" customHeight="1" x14ac:dyDescent="0.4">
      <c r="A355" s="14" t="s">
        <v>5680</v>
      </c>
      <c r="B355" s="16" t="str">
        <f>TRIM("もと都島勤労青少年ホーム")</f>
        <v>もと都島勤労青少年ホーム</v>
      </c>
      <c r="C355" s="14" t="s">
        <v>1519</v>
      </c>
      <c r="D355" s="14" t="s">
        <v>79</v>
      </c>
      <c r="E355" s="1">
        <v>145.5</v>
      </c>
      <c r="F355" s="2"/>
      <c r="G355" s="1">
        <v>688.47</v>
      </c>
      <c r="H355" s="3" t="s">
        <v>7353</v>
      </c>
      <c r="I355" s="14" t="s">
        <v>5617</v>
      </c>
    </row>
    <row r="356" spans="1:9" ht="18.75" customHeight="1" x14ac:dyDescent="0.4">
      <c r="A356" s="14" t="s">
        <v>6994</v>
      </c>
      <c r="B356" s="16" t="str">
        <f>TRIM("こころの健康センター")</f>
        <v>こころの健康センター</v>
      </c>
      <c r="C356" s="14" t="s">
        <v>1519</v>
      </c>
      <c r="D356" s="14" t="s">
        <v>79</v>
      </c>
      <c r="E356" s="1">
        <v>133.47</v>
      </c>
      <c r="F356" s="2"/>
      <c r="G356" s="1">
        <v>987.71</v>
      </c>
      <c r="H356" s="3"/>
      <c r="I356" s="14" t="s">
        <v>2402</v>
      </c>
    </row>
    <row r="357" spans="1:9" ht="18.75" customHeight="1" x14ac:dyDescent="0.4">
      <c r="A357" s="14" t="s">
        <v>1870</v>
      </c>
      <c r="B357" s="16" t="str">
        <f>TRIM("軽費老人ホームラフォーレからまつ")</f>
        <v>軽費老人ホームラフォーレからまつ</v>
      </c>
      <c r="C357" s="14" t="s">
        <v>1519</v>
      </c>
      <c r="D357" s="14" t="s">
        <v>79</v>
      </c>
      <c r="E357" s="1">
        <v>1460.32</v>
      </c>
      <c r="F357" s="2"/>
      <c r="G357" s="1"/>
      <c r="H357" s="3"/>
      <c r="I357" s="14" t="s">
        <v>1654</v>
      </c>
    </row>
    <row r="358" spans="1:9" ht="18.75" customHeight="1" x14ac:dyDescent="0.4">
      <c r="A358" s="14" t="s">
        <v>1922</v>
      </c>
      <c r="B358" s="16" t="str">
        <f>TRIM("特別養護老人ホームからまつ苑・中野地域在宅サービスステーション")</f>
        <v>特別養護老人ホームからまつ苑・中野地域在宅サービスステーション</v>
      </c>
      <c r="C358" s="14" t="s">
        <v>1519</v>
      </c>
      <c r="D358" s="14" t="s">
        <v>79</v>
      </c>
      <c r="E358" s="1">
        <v>2109.2399999999998</v>
      </c>
      <c r="F358" s="2"/>
      <c r="G358" s="1"/>
      <c r="H358" s="3"/>
      <c r="I358" s="14" t="s">
        <v>1654</v>
      </c>
    </row>
    <row r="359" spans="1:9" ht="18.75" customHeight="1" x14ac:dyDescent="0.4">
      <c r="A359" s="14" t="s">
        <v>2339</v>
      </c>
      <c r="B359" s="16" t="str">
        <f>TRIM("廃道（都島）")</f>
        <v>廃道（都島）</v>
      </c>
      <c r="C359" s="14" t="s">
        <v>1519</v>
      </c>
      <c r="D359" s="14" t="s">
        <v>79</v>
      </c>
      <c r="E359" s="1">
        <v>54.27</v>
      </c>
      <c r="F359" s="2"/>
      <c r="G359" s="1"/>
      <c r="H359" s="3"/>
      <c r="I359" s="14" t="s">
        <v>2177</v>
      </c>
    </row>
    <row r="360" spans="1:9" ht="18.75" customHeight="1" x14ac:dyDescent="0.4">
      <c r="A360" s="14" t="s">
        <v>3058</v>
      </c>
      <c r="B360" s="16" t="str">
        <f>TRIM("　中野公園")</f>
        <v>中野公園</v>
      </c>
      <c r="C360" s="14" t="s">
        <v>1519</v>
      </c>
      <c r="D360" s="14" t="s">
        <v>79</v>
      </c>
      <c r="E360" s="1">
        <v>1118.3</v>
      </c>
      <c r="F360" s="2"/>
      <c r="G360" s="1"/>
      <c r="H360" s="3"/>
      <c r="I360" s="14" t="s">
        <v>2177</v>
      </c>
    </row>
    <row r="361" spans="1:9" ht="18.75" customHeight="1" x14ac:dyDescent="0.4">
      <c r="A361" s="14" t="s">
        <v>3125</v>
      </c>
      <c r="B361" s="16" t="str">
        <f>TRIM("　都島中央公園")</f>
        <v>都島中央公園</v>
      </c>
      <c r="C361" s="14" t="s">
        <v>1519</v>
      </c>
      <c r="D361" s="14" t="s">
        <v>79</v>
      </c>
      <c r="E361" s="1">
        <v>10000.23</v>
      </c>
      <c r="F361" s="2"/>
      <c r="G361" s="1"/>
      <c r="H361" s="3"/>
      <c r="I361" s="14" t="s">
        <v>2177</v>
      </c>
    </row>
    <row r="362" spans="1:9" ht="18.75" customHeight="1" x14ac:dyDescent="0.4">
      <c r="A362" s="14" t="s">
        <v>3641</v>
      </c>
      <c r="B362" s="16" t="str">
        <f>TRIM("　都島中央公園")</f>
        <v>都島中央公園</v>
      </c>
      <c r="C362" s="14" t="s">
        <v>1519</v>
      </c>
      <c r="D362" s="14" t="s">
        <v>79</v>
      </c>
      <c r="E362" s="1"/>
      <c r="F362" s="2"/>
      <c r="G362" s="1">
        <v>18</v>
      </c>
      <c r="H362" s="3"/>
      <c r="I362" s="14" t="s">
        <v>2177</v>
      </c>
    </row>
    <row r="363" spans="1:9" ht="18.75" customHeight="1" x14ac:dyDescent="0.4">
      <c r="A363" s="14" t="s">
        <v>3815</v>
      </c>
      <c r="B363" s="16" t="str">
        <f>TRIM("桜ノ宮駅自転車駐車場管理事務所")</f>
        <v>桜ノ宮駅自転車駐車場管理事務所</v>
      </c>
      <c r="C363" s="14" t="s">
        <v>1519</v>
      </c>
      <c r="D363" s="14" t="s">
        <v>79</v>
      </c>
      <c r="E363" s="1"/>
      <c r="F363" s="2"/>
      <c r="G363" s="1">
        <v>12.15</v>
      </c>
      <c r="H363" s="3"/>
      <c r="I363" s="14" t="s">
        <v>2177</v>
      </c>
    </row>
    <row r="364" spans="1:9" ht="18.75" customHeight="1" x14ac:dyDescent="0.4">
      <c r="A364" s="14" t="s">
        <v>5386</v>
      </c>
      <c r="B364" s="16" t="str">
        <f>TRIM("もと桜宮住宅（コミュニティ用地等）")</f>
        <v>もと桜宮住宅（コミュニティ用地等）</v>
      </c>
      <c r="C364" s="14" t="s">
        <v>1519</v>
      </c>
      <c r="D364" s="14" t="s">
        <v>79</v>
      </c>
      <c r="E364" s="1">
        <v>303.86</v>
      </c>
      <c r="F364" s="2"/>
      <c r="G364" s="1"/>
      <c r="H364" s="3"/>
      <c r="I364" s="14" t="s">
        <v>5349</v>
      </c>
    </row>
    <row r="365" spans="1:9" ht="18.75" customHeight="1" x14ac:dyDescent="0.4">
      <c r="A365" s="14" t="s">
        <v>5758</v>
      </c>
      <c r="B365" s="16" t="str">
        <f>TRIM("都島桜宮保育園")</f>
        <v>都島桜宮保育園</v>
      </c>
      <c r="C365" s="14" t="s">
        <v>1519</v>
      </c>
      <c r="D365" s="14" t="s">
        <v>79</v>
      </c>
      <c r="E365" s="1">
        <v>981.35</v>
      </c>
      <c r="F365" s="2"/>
      <c r="G365" s="1"/>
      <c r="H365" s="3"/>
      <c r="I365" s="14" t="s">
        <v>5617</v>
      </c>
    </row>
    <row r="366" spans="1:9" ht="18.75" customHeight="1" x14ac:dyDescent="0.4">
      <c r="A366" s="14" t="s">
        <v>6842</v>
      </c>
      <c r="B366" s="16" t="str">
        <f>TRIM("もと建築物移転先用地（都島本通工区地区外）")</f>
        <v>もと建築物移転先用地（都島本通工区地区外）</v>
      </c>
      <c r="C366" s="14" t="s">
        <v>1519</v>
      </c>
      <c r="D366" s="14" t="s">
        <v>79</v>
      </c>
      <c r="E366" s="1">
        <v>564.29999999999995</v>
      </c>
      <c r="F366" s="2"/>
      <c r="G366" s="1"/>
      <c r="H366" s="3"/>
      <c r="I366" s="14" t="s">
        <v>6177</v>
      </c>
    </row>
    <row r="367" spans="1:9" ht="18.75" customHeight="1" x14ac:dyDescent="0.4">
      <c r="A367" s="14" t="s">
        <v>7122</v>
      </c>
      <c r="B367" s="16" t="str">
        <f>TRIM("都島スポーツセンター")</f>
        <v>都島スポーツセンター</v>
      </c>
      <c r="C367" s="14" t="s">
        <v>1519</v>
      </c>
      <c r="D367" s="14" t="s">
        <v>79</v>
      </c>
      <c r="E367" s="1"/>
      <c r="F367" s="2"/>
      <c r="G367" s="1">
        <v>2518.48</v>
      </c>
      <c r="H367" s="3"/>
      <c r="I367" s="14" t="s">
        <v>4115</v>
      </c>
    </row>
    <row r="368" spans="1:9" ht="18.75" customHeight="1" x14ac:dyDescent="0.4">
      <c r="A368" s="14" t="s">
        <v>7123</v>
      </c>
      <c r="B368" s="16" t="str">
        <f>TRIM("都島スポーツセンター等複合施設")</f>
        <v>都島スポーツセンター等複合施設</v>
      </c>
      <c r="C368" s="14" t="s">
        <v>1519</v>
      </c>
      <c r="D368" s="14" t="s">
        <v>79</v>
      </c>
      <c r="E368" s="1">
        <v>1053.5999999999999</v>
      </c>
      <c r="F368" s="2"/>
      <c r="G368" s="1"/>
      <c r="H368" s="3"/>
      <c r="I368" s="14" t="s">
        <v>4115</v>
      </c>
    </row>
    <row r="369" spans="1:9" ht="18.75" customHeight="1" x14ac:dyDescent="0.4">
      <c r="A369" s="18"/>
      <c r="B369" s="14" t="s">
        <v>7166</v>
      </c>
      <c r="C369" s="14" t="s">
        <v>1519</v>
      </c>
      <c r="D369" s="1" t="s">
        <v>79</v>
      </c>
      <c r="E369" s="2"/>
      <c r="F369" s="11"/>
      <c r="G369" s="1">
        <v>146.74</v>
      </c>
      <c r="H369" s="1"/>
      <c r="I369" s="1" t="s">
        <v>2177</v>
      </c>
    </row>
    <row r="370" spans="1:9" ht="18.75" customHeight="1" x14ac:dyDescent="0.4">
      <c r="A370" s="14" t="s">
        <v>4826</v>
      </c>
      <c r="B370" s="16" t="str">
        <f>TRIM("桜宮小学校")</f>
        <v>桜宮小学校</v>
      </c>
      <c r="C370" s="14" t="s">
        <v>1519</v>
      </c>
      <c r="D370" s="14" t="s">
        <v>500</v>
      </c>
      <c r="E370" s="1">
        <v>9609.18</v>
      </c>
      <c r="F370" s="2"/>
      <c r="G370" s="1">
        <v>6677.75</v>
      </c>
      <c r="H370" s="3"/>
      <c r="I370" s="14" t="s">
        <v>4689</v>
      </c>
    </row>
    <row r="371" spans="1:9" ht="18.75" customHeight="1" x14ac:dyDescent="0.4">
      <c r="A371" s="14" t="s">
        <v>5787</v>
      </c>
      <c r="B371" s="16" t="str">
        <f>TRIM("桜宮幼稚園")</f>
        <v>桜宮幼稚園</v>
      </c>
      <c r="C371" s="14" t="s">
        <v>1519</v>
      </c>
      <c r="D371" s="14" t="s">
        <v>500</v>
      </c>
      <c r="E371" s="1">
        <v>1567</v>
      </c>
      <c r="F371" s="2"/>
      <c r="G371" s="1">
        <v>1196.57</v>
      </c>
      <c r="H371" s="3"/>
      <c r="I371" s="14" t="s">
        <v>5617</v>
      </c>
    </row>
    <row r="372" spans="1:9" ht="18.75" customHeight="1" x14ac:dyDescent="0.4">
      <c r="A372" s="14" t="s">
        <v>2029</v>
      </c>
      <c r="B372" s="16" t="str">
        <f>TRIM("桜宮老人憩の家")</f>
        <v>桜宮老人憩の家</v>
      </c>
      <c r="C372" s="14" t="s">
        <v>1519</v>
      </c>
      <c r="D372" s="14" t="s">
        <v>500</v>
      </c>
      <c r="E372" s="1">
        <v>174.82</v>
      </c>
      <c r="F372" s="2"/>
      <c r="G372" s="1"/>
      <c r="H372" s="3"/>
      <c r="I372" s="14" t="s">
        <v>2030</v>
      </c>
    </row>
    <row r="373" spans="1:9" ht="18.75" customHeight="1" x14ac:dyDescent="0.4">
      <c r="A373" s="14" t="s">
        <v>3160</v>
      </c>
      <c r="B373" s="16" t="str">
        <f>TRIM("　東野田公園")</f>
        <v>東野田公園</v>
      </c>
      <c r="C373" s="14" t="s">
        <v>1519</v>
      </c>
      <c r="D373" s="14" t="s">
        <v>500</v>
      </c>
      <c r="E373" s="1">
        <v>3418</v>
      </c>
      <c r="F373" s="2"/>
      <c r="G373" s="1"/>
      <c r="H373" s="3"/>
      <c r="I373" s="14" t="s">
        <v>2177</v>
      </c>
    </row>
    <row r="374" spans="1:9" ht="18.75" customHeight="1" x14ac:dyDescent="0.4">
      <c r="A374" s="14" t="s">
        <v>3748</v>
      </c>
      <c r="B374" s="16" t="str">
        <f>TRIM("（地）京橋駅自転車駐車場")</f>
        <v>（地）京橋駅自転車駐車場</v>
      </c>
      <c r="C374" s="14" t="s">
        <v>1519</v>
      </c>
      <c r="D374" s="14" t="s">
        <v>500</v>
      </c>
      <c r="E374" s="1"/>
      <c r="F374" s="2"/>
      <c r="G374" s="1">
        <v>782.4</v>
      </c>
      <c r="H374" s="3"/>
      <c r="I374" s="14" t="s">
        <v>2177</v>
      </c>
    </row>
    <row r="375" spans="1:9" ht="18.75" customHeight="1" x14ac:dyDescent="0.4">
      <c r="A375" s="14" t="s">
        <v>2649</v>
      </c>
      <c r="B375" s="16" t="str">
        <f>TRIM("　京橋公園")</f>
        <v>京橋公園</v>
      </c>
      <c r="C375" s="14" t="s">
        <v>1519</v>
      </c>
      <c r="D375" s="14" t="s">
        <v>1027</v>
      </c>
      <c r="E375" s="1">
        <v>6662</v>
      </c>
      <c r="F375" s="2"/>
      <c r="G375" s="1"/>
      <c r="H375" s="3"/>
      <c r="I375" s="14" t="s">
        <v>2177</v>
      </c>
    </row>
    <row r="376" spans="1:9" ht="18.75" customHeight="1" x14ac:dyDescent="0.4">
      <c r="A376" s="14" t="s">
        <v>3754</v>
      </c>
      <c r="B376" s="16" t="str">
        <f>TRIM("ＪR京橋駅自転車駐車場")</f>
        <v>ＪR京橋駅自転車駐車場</v>
      </c>
      <c r="C376" s="14" t="s">
        <v>1519</v>
      </c>
      <c r="D376" s="14" t="s">
        <v>1027</v>
      </c>
      <c r="E376" s="1"/>
      <c r="F376" s="2"/>
      <c r="G376" s="1">
        <v>2031.75</v>
      </c>
      <c r="H376" s="3"/>
      <c r="I376" s="14" t="s">
        <v>2177</v>
      </c>
    </row>
    <row r="377" spans="1:9" ht="18.75" customHeight="1" x14ac:dyDescent="0.4">
      <c r="A377" s="14" t="s">
        <v>4088</v>
      </c>
      <c r="B377" s="16" t="str">
        <f>TRIM("東野田抽水所")</f>
        <v>東野田抽水所</v>
      </c>
      <c r="C377" s="14" t="s">
        <v>1519</v>
      </c>
      <c r="D377" s="14" t="s">
        <v>1331</v>
      </c>
      <c r="E377" s="1">
        <v>6467.92</v>
      </c>
      <c r="F377" s="2"/>
      <c r="G377" s="1">
        <v>1625.16</v>
      </c>
      <c r="H377" s="3"/>
      <c r="I377" s="14" t="s">
        <v>2177</v>
      </c>
    </row>
    <row r="378" spans="1:9" ht="18.75" customHeight="1" x14ac:dyDescent="0.4">
      <c r="A378" s="14" t="s">
        <v>4359</v>
      </c>
      <c r="B378" s="16" t="str">
        <f>TRIM("京橋東コミュニティ広場")</f>
        <v>京橋東コミュニティ広場</v>
      </c>
      <c r="C378" s="14" t="s">
        <v>1519</v>
      </c>
      <c r="D378" s="14" t="s">
        <v>1331</v>
      </c>
      <c r="E378" s="1">
        <v>19.63</v>
      </c>
      <c r="F378" s="2"/>
      <c r="G378" s="1"/>
      <c r="H378" s="3"/>
      <c r="I378" s="14" t="s">
        <v>2030</v>
      </c>
    </row>
    <row r="379" spans="1:9" ht="18.75" customHeight="1" x14ac:dyDescent="0.4">
      <c r="A379" s="14" t="s">
        <v>2362</v>
      </c>
      <c r="B379" s="16" t="str">
        <f>TRIM("もと軌道敷(天満橋善源寺町線)")</f>
        <v>もと軌道敷(天満橋善源寺町線)</v>
      </c>
      <c r="C379" s="14" t="s">
        <v>1519</v>
      </c>
      <c r="D379" s="14" t="s">
        <v>66</v>
      </c>
      <c r="E379" s="1">
        <v>19645.490000000002</v>
      </c>
      <c r="F379" s="2"/>
      <c r="G379" s="1"/>
      <c r="H379" s="3"/>
      <c r="I379" s="14" t="s">
        <v>2177</v>
      </c>
    </row>
    <row r="380" spans="1:9" ht="18.75" customHeight="1" x14ac:dyDescent="0.4">
      <c r="A380" s="14" t="s">
        <v>3997</v>
      </c>
      <c r="B380" s="16" t="str">
        <f>TRIM("もと下水道用地（都島）")</f>
        <v>もと下水道用地（都島）</v>
      </c>
      <c r="C380" s="14" t="s">
        <v>1519</v>
      </c>
      <c r="D380" s="14" t="s">
        <v>66</v>
      </c>
      <c r="E380" s="1">
        <v>14.72</v>
      </c>
      <c r="F380" s="2"/>
      <c r="G380" s="1"/>
      <c r="H380" s="3"/>
      <c r="I380" s="14" t="s">
        <v>2177</v>
      </c>
    </row>
    <row r="381" spans="1:9" ht="18.75" customHeight="1" x14ac:dyDescent="0.4">
      <c r="A381" s="14" t="s">
        <v>5714</v>
      </c>
      <c r="B381" s="16" t="str">
        <f>TRIM("　東野田ちどり保育園")</f>
        <v>東野田ちどり保育園</v>
      </c>
      <c r="C381" s="14" t="s">
        <v>1519</v>
      </c>
      <c r="D381" s="14" t="s">
        <v>66</v>
      </c>
      <c r="E381" s="1">
        <v>623.04999999999995</v>
      </c>
      <c r="F381" s="2"/>
      <c r="G381" s="1"/>
      <c r="H381" s="3"/>
      <c r="I381" s="14" t="s">
        <v>5617</v>
      </c>
    </row>
    <row r="382" spans="1:9" ht="18.75" customHeight="1" x14ac:dyDescent="0.4">
      <c r="A382" s="14" t="s">
        <v>7083</v>
      </c>
      <c r="B382" s="16" t="str">
        <f>TRIM("網島小売市場民営活性化事業施設")</f>
        <v>網島小売市場民営活性化事業施設</v>
      </c>
      <c r="C382" s="14" t="s">
        <v>1519</v>
      </c>
      <c r="D382" s="14" t="s">
        <v>66</v>
      </c>
      <c r="E382" s="1">
        <v>1202.99</v>
      </c>
      <c r="F382" s="2"/>
      <c r="G382" s="1"/>
      <c r="H382" s="3"/>
      <c r="I382" s="14" t="s">
        <v>4115</v>
      </c>
    </row>
    <row r="383" spans="1:9" ht="18.75" customHeight="1" x14ac:dyDescent="0.4">
      <c r="A383" s="14" t="s">
        <v>4827</v>
      </c>
      <c r="B383" s="16" t="str">
        <f>TRIM("桜宮中学校")</f>
        <v>桜宮中学校</v>
      </c>
      <c r="C383" s="14" t="s">
        <v>1519</v>
      </c>
      <c r="D383" s="14" t="s">
        <v>1058</v>
      </c>
      <c r="E383" s="1">
        <v>9325.5400000000009</v>
      </c>
      <c r="F383" s="2"/>
      <c r="G383" s="1">
        <v>6745.74</v>
      </c>
      <c r="H383" s="3"/>
      <c r="I383" s="14" t="s">
        <v>4689</v>
      </c>
    </row>
    <row r="384" spans="1:9" ht="18.75" customHeight="1" x14ac:dyDescent="0.4">
      <c r="A384" s="14" t="s">
        <v>2744</v>
      </c>
      <c r="B384" s="16" t="str">
        <f>TRIM("　桜之宮東公園")</f>
        <v>桜之宮東公園</v>
      </c>
      <c r="C384" s="14" t="s">
        <v>1519</v>
      </c>
      <c r="D384" s="14" t="s">
        <v>1058</v>
      </c>
      <c r="E384" s="1">
        <v>8317.98</v>
      </c>
      <c r="F384" s="2"/>
      <c r="G384" s="1"/>
      <c r="H384" s="3"/>
      <c r="I384" s="14" t="s">
        <v>2177</v>
      </c>
    </row>
    <row r="385" spans="1:9" ht="18.75" customHeight="1" x14ac:dyDescent="0.4">
      <c r="A385" s="14" t="s">
        <v>3799</v>
      </c>
      <c r="B385" s="16" t="str">
        <f>TRIM("京橋駅自転車駐車場いブロック管理ボックス")</f>
        <v>京橋駅自転車駐車場いブロック管理ボックス</v>
      </c>
      <c r="C385" s="14" t="s">
        <v>1519</v>
      </c>
      <c r="D385" s="14" t="s">
        <v>1058</v>
      </c>
      <c r="E385" s="1"/>
      <c r="F385" s="2"/>
      <c r="G385" s="1">
        <v>1.44</v>
      </c>
      <c r="H385" s="3"/>
      <c r="I385" s="14" t="s">
        <v>2177</v>
      </c>
    </row>
    <row r="386" spans="1:9" ht="18.75" customHeight="1" x14ac:dyDescent="0.4">
      <c r="A386" s="14" t="s">
        <v>4026</v>
      </c>
      <c r="B386" s="16" t="str">
        <f>TRIM("下水道用地（都島）")</f>
        <v>下水道用地（都島）</v>
      </c>
      <c r="C386" s="14" t="s">
        <v>1519</v>
      </c>
      <c r="D386" s="14" t="s">
        <v>1058</v>
      </c>
      <c r="E386" s="1">
        <v>40254.03</v>
      </c>
      <c r="F386" s="2"/>
      <c r="G386" s="1"/>
      <c r="H386" s="3"/>
      <c r="I386" s="14" t="s">
        <v>2177</v>
      </c>
    </row>
    <row r="387" spans="1:9" ht="18.75" customHeight="1" x14ac:dyDescent="0.4">
      <c r="A387" s="14" t="s">
        <v>3911</v>
      </c>
      <c r="B387" s="16" t="str">
        <f>TRIM("都島駅自転車駐車場管理ボックス")</f>
        <v>都島駅自転車駐車場管理ボックス</v>
      </c>
      <c r="C387" s="14" t="s">
        <v>1519</v>
      </c>
      <c r="D387" s="14" t="s">
        <v>242</v>
      </c>
      <c r="E387" s="1"/>
      <c r="F387" s="2"/>
      <c r="G387" s="1">
        <v>1.44</v>
      </c>
      <c r="H387" s="3"/>
      <c r="I387" s="14" t="s">
        <v>2177</v>
      </c>
    </row>
    <row r="388" spans="1:9" ht="18.75" customHeight="1" x14ac:dyDescent="0.4">
      <c r="A388" s="14" t="s">
        <v>5514</v>
      </c>
      <c r="B388" s="16" t="str">
        <f>TRIM("都島警察署")</f>
        <v>都島警察署</v>
      </c>
      <c r="C388" s="14" t="s">
        <v>1519</v>
      </c>
      <c r="D388" s="14" t="s">
        <v>242</v>
      </c>
      <c r="E388" s="1">
        <v>2125.75</v>
      </c>
      <c r="F388" s="2"/>
      <c r="G388" s="1"/>
      <c r="H388" s="3"/>
      <c r="I388" s="14" t="s">
        <v>5349</v>
      </c>
    </row>
    <row r="389" spans="1:9" ht="18.75" customHeight="1" x14ac:dyDescent="0.4">
      <c r="A389" s="14" t="s">
        <v>3127</v>
      </c>
      <c r="B389" s="16" t="str">
        <f>TRIM("　都島北通公園")</f>
        <v>都島北通公園</v>
      </c>
      <c r="C389" s="14" t="s">
        <v>1519</v>
      </c>
      <c r="D389" s="14" t="s">
        <v>1184</v>
      </c>
      <c r="E389" s="1">
        <v>773.48</v>
      </c>
      <c r="F389" s="2"/>
      <c r="G389" s="1"/>
      <c r="H389" s="3"/>
      <c r="I389" s="14" t="s">
        <v>2177</v>
      </c>
    </row>
    <row r="390" spans="1:9" ht="18.75" customHeight="1" x14ac:dyDescent="0.4">
      <c r="A390" s="14" t="s">
        <v>3124</v>
      </c>
      <c r="B390" s="16" t="str">
        <f>TRIM("　都島公園")</f>
        <v>都島公園</v>
      </c>
      <c r="C390" s="14" t="s">
        <v>1519</v>
      </c>
      <c r="D390" s="14" t="s">
        <v>682</v>
      </c>
      <c r="E390" s="1">
        <v>10417.18</v>
      </c>
      <c r="F390" s="2" t="s">
        <v>7326</v>
      </c>
      <c r="G390" s="1"/>
      <c r="H390" s="3"/>
      <c r="I390" s="14" t="s">
        <v>2177</v>
      </c>
    </row>
    <row r="391" spans="1:9" ht="18.75" customHeight="1" x14ac:dyDescent="0.4">
      <c r="A391" s="14" t="s">
        <v>6569</v>
      </c>
      <c r="B391" s="16" t="str">
        <f>TRIM("都島中通住宅")</f>
        <v>都島中通住宅</v>
      </c>
      <c r="C391" s="14" t="s">
        <v>1519</v>
      </c>
      <c r="D391" s="14" t="s">
        <v>682</v>
      </c>
      <c r="E391" s="1">
        <v>4585.57</v>
      </c>
      <c r="F391" s="2"/>
      <c r="G391" s="1">
        <v>6749.68</v>
      </c>
      <c r="H391" s="3"/>
      <c r="I391" s="14" t="s">
        <v>6177</v>
      </c>
    </row>
    <row r="392" spans="1:9" ht="18.75" customHeight="1" x14ac:dyDescent="0.4">
      <c r="A392" s="14" t="s">
        <v>3640</v>
      </c>
      <c r="B392" s="16" t="str">
        <f>TRIM("　都島公園")</f>
        <v>都島公園</v>
      </c>
      <c r="C392" s="14" t="s">
        <v>1519</v>
      </c>
      <c r="D392" s="14" t="s">
        <v>682</v>
      </c>
      <c r="E392" s="1"/>
      <c r="F392" s="2"/>
      <c r="G392" s="1">
        <v>14.34</v>
      </c>
      <c r="H392" s="3"/>
      <c r="I392" s="14" t="s">
        <v>2177</v>
      </c>
    </row>
    <row r="393" spans="1:9" ht="18.75" customHeight="1" x14ac:dyDescent="0.4">
      <c r="A393" s="14" t="s">
        <v>2249</v>
      </c>
      <c r="B393" s="16" t="str">
        <f>TRIM("大阪環状線（都島）（管財課）")</f>
        <v>大阪環状線（都島）（管財課）</v>
      </c>
      <c r="C393" s="14" t="s">
        <v>1519</v>
      </c>
      <c r="D393" s="14" t="s">
        <v>928</v>
      </c>
      <c r="E393" s="1">
        <v>22632.560000000001</v>
      </c>
      <c r="F393" s="2"/>
      <c r="G393" s="1"/>
      <c r="H393" s="3"/>
      <c r="I393" s="14" t="s">
        <v>2177</v>
      </c>
    </row>
    <row r="394" spans="1:9" ht="18.75" customHeight="1" x14ac:dyDescent="0.4">
      <c r="A394" s="14" t="s">
        <v>2348</v>
      </c>
      <c r="B394" s="16" t="str">
        <f>TRIM("もと軌道敷（梅田善源寺町線）")</f>
        <v>もと軌道敷（梅田善源寺町線）</v>
      </c>
      <c r="C394" s="14" t="s">
        <v>1519</v>
      </c>
      <c r="D394" s="14" t="s">
        <v>928</v>
      </c>
      <c r="E394" s="1">
        <v>51735.4</v>
      </c>
      <c r="F394" s="2"/>
      <c r="G394" s="1"/>
      <c r="H394" s="3"/>
      <c r="I394" s="14" t="s">
        <v>2177</v>
      </c>
    </row>
    <row r="395" spans="1:9" ht="18.75" customHeight="1" x14ac:dyDescent="0.4">
      <c r="A395" s="14" t="s">
        <v>2538</v>
      </c>
      <c r="B395" s="16" t="str">
        <f>TRIM("　かすがえ公園")</f>
        <v>かすがえ公園</v>
      </c>
      <c r="C395" s="14" t="s">
        <v>1519</v>
      </c>
      <c r="D395" s="14" t="s">
        <v>928</v>
      </c>
      <c r="E395" s="1">
        <v>2607.62</v>
      </c>
      <c r="F395" s="2"/>
      <c r="G395" s="1"/>
      <c r="H395" s="3"/>
      <c r="I395" s="14" t="s">
        <v>2177</v>
      </c>
    </row>
    <row r="396" spans="1:9" ht="18.75" customHeight="1" x14ac:dyDescent="0.4">
      <c r="A396" s="14" t="s">
        <v>3912</v>
      </c>
      <c r="B396" s="16" t="str">
        <f>TRIM("都島駅自転車駐車場管理事務所")</f>
        <v>都島駅自転車駐車場管理事務所</v>
      </c>
      <c r="C396" s="14" t="s">
        <v>1519</v>
      </c>
      <c r="D396" s="14" t="s">
        <v>928</v>
      </c>
      <c r="E396" s="1"/>
      <c r="F396" s="2"/>
      <c r="G396" s="1">
        <v>13.39</v>
      </c>
      <c r="H396" s="3"/>
      <c r="I396" s="14" t="s">
        <v>2177</v>
      </c>
    </row>
    <row r="397" spans="1:9" ht="18.75" customHeight="1" x14ac:dyDescent="0.4">
      <c r="A397" s="14" t="s">
        <v>5279</v>
      </c>
      <c r="B397" s="16" t="str">
        <f>TRIM("都島消防署")</f>
        <v>都島消防署</v>
      </c>
      <c r="C397" s="14" t="s">
        <v>1519</v>
      </c>
      <c r="D397" s="14" t="s">
        <v>449</v>
      </c>
      <c r="E397" s="1">
        <v>1950.76</v>
      </c>
      <c r="F397" s="2"/>
      <c r="G397" s="1">
        <v>1918.79</v>
      </c>
      <c r="H397" s="3"/>
      <c r="I397" s="14" t="s">
        <v>5219</v>
      </c>
    </row>
    <row r="398" spans="1:9" ht="18.75" customHeight="1" x14ac:dyDescent="0.4">
      <c r="A398" s="14" t="s">
        <v>1804</v>
      </c>
      <c r="B398" s="16" t="str">
        <f>TRIM("西都島老人憩の家")</f>
        <v>西都島老人憩の家</v>
      </c>
      <c r="C398" s="14" t="s">
        <v>1519</v>
      </c>
      <c r="D398" s="14" t="s">
        <v>449</v>
      </c>
      <c r="E398" s="1">
        <v>364.22</v>
      </c>
      <c r="F398" s="2"/>
      <c r="G398" s="1"/>
      <c r="H398" s="3"/>
      <c r="I398" s="14" t="s">
        <v>1654</v>
      </c>
    </row>
    <row r="399" spans="1:9" ht="18.75" customHeight="1" x14ac:dyDescent="0.4">
      <c r="A399" s="14" t="s">
        <v>4365</v>
      </c>
      <c r="B399" s="16" t="str">
        <f>TRIM("西都島老人憩の家")</f>
        <v>西都島老人憩の家</v>
      </c>
      <c r="C399" s="14" t="s">
        <v>1519</v>
      </c>
      <c r="D399" s="14" t="s">
        <v>449</v>
      </c>
      <c r="E399" s="1">
        <v>339</v>
      </c>
      <c r="F399" s="2"/>
      <c r="G399" s="1"/>
      <c r="H399" s="3"/>
      <c r="I399" s="14" t="s">
        <v>2030</v>
      </c>
    </row>
    <row r="400" spans="1:9" ht="18.75" customHeight="1" x14ac:dyDescent="0.4">
      <c r="A400" s="14" t="s">
        <v>5281</v>
      </c>
      <c r="B400" s="16" t="str">
        <f>TRIM("都島災害待機宿舎")</f>
        <v>都島災害待機宿舎</v>
      </c>
      <c r="C400" s="14" t="s">
        <v>1519</v>
      </c>
      <c r="D400" s="14" t="s">
        <v>449</v>
      </c>
      <c r="E400" s="1"/>
      <c r="F400" s="2"/>
      <c r="G400" s="1">
        <v>99.58</v>
      </c>
      <c r="H400" s="3"/>
      <c r="I400" s="14" t="s">
        <v>5219</v>
      </c>
    </row>
    <row r="401" spans="1:9" ht="18.75" customHeight="1" x14ac:dyDescent="0.4">
      <c r="A401" s="14" t="s">
        <v>5012</v>
      </c>
      <c r="B401" s="16" t="str">
        <f>TRIM("都島小学校")</f>
        <v>都島小学校</v>
      </c>
      <c r="C401" s="14" t="s">
        <v>1519</v>
      </c>
      <c r="D401" s="14" t="s">
        <v>400</v>
      </c>
      <c r="E401" s="1">
        <v>8355.4699999999993</v>
      </c>
      <c r="F401" s="2"/>
      <c r="G401" s="1">
        <v>8928.8799999999992</v>
      </c>
      <c r="H401" s="3"/>
      <c r="I401" s="14" t="s">
        <v>4689</v>
      </c>
    </row>
    <row r="402" spans="1:9" ht="18.75" customHeight="1" x14ac:dyDescent="0.4">
      <c r="A402" s="14" t="s">
        <v>1909</v>
      </c>
      <c r="B402" s="16" t="str">
        <f>TRIM("都島区在宅サービスセンター")</f>
        <v>都島区在宅サービスセンター</v>
      </c>
      <c r="C402" s="14" t="s">
        <v>1519</v>
      </c>
      <c r="D402" s="14" t="s">
        <v>400</v>
      </c>
      <c r="E402" s="1">
        <v>1025.01</v>
      </c>
      <c r="F402" s="2"/>
      <c r="G402" s="1"/>
      <c r="H402" s="3"/>
      <c r="I402" s="14" t="s">
        <v>1654</v>
      </c>
    </row>
    <row r="403" spans="1:9" ht="18.75" customHeight="1" x14ac:dyDescent="0.4">
      <c r="A403" s="14" t="s">
        <v>1980</v>
      </c>
      <c r="B403" s="16" t="str">
        <f>TRIM("もと社会福祉施設用地（都島区都島本通）")</f>
        <v>もと社会福祉施設用地（都島区都島本通）</v>
      </c>
      <c r="C403" s="14" t="s">
        <v>1519</v>
      </c>
      <c r="D403" s="14" t="s">
        <v>400</v>
      </c>
      <c r="E403" s="1">
        <v>343.58</v>
      </c>
      <c r="F403" s="2"/>
      <c r="G403" s="1"/>
      <c r="H403" s="3"/>
      <c r="I403" s="14" t="s">
        <v>1654</v>
      </c>
    </row>
    <row r="404" spans="1:9" ht="18.75" customHeight="1" x14ac:dyDescent="0.4">
      <c r="A404" s="14" t="s">
        <v>3251</v>
      </c>
      <c r="B404" s="16" t="str">
        <f>TRIM("　敷島公園")</f>
        <v>敷島公園</v>
      </c>
      <c r="C404" s="14" t="s">
        <v>1519</v>
      </c>
      <c r="D404" s="14" t="s">
        <v>400</v>
      </c>
      <c r="E404" s="1">
        <v>891.72</v>
      </c>
      <c r="F404" s="2"/>
      <c r="G404" s="1"/>
      <c r="H404" s="3"/>
      <c r="I404" s="14" t="s">
        <v>2177</v>
      </c>
    </row>
    <row r="405" spans="1:9" ht="18.75" customHeight="1" x14ac:dyDescent="0.4">
      <c r="A405" s="14" t="s">
        <v>4364</v>
      </c>
      <c r="B405" s="16" t="str">
        <f>TRIM("地域コミュニティ育成事業用地（都島本通３丁目）")</f>
        <v>地域コミュニティ育成事業用地（都島本通３丁目）</v>
      </c>
      <c r="C405" s="14" t="s">
        <v>1519</v>
      </c>
      <c r="D405" s="14" t="s">
        <v>400</v>
      </c>
      <c r="E405" s="1">
        <v>73.02</v>
      </c>
      <c r="F405" s="2"/>
      <c r="G405" s="1"/>
      <c r="H405" s="3"/>
      <c r="I405" s="14" t="s">
        <v>2030</v>
      </c>
    </row>
    <row r="406" spans="1:9" ht="18.75" customHeight="1" x14ac:dyDescent="0.4">
      <c r="A406" s="14" t="s">
        <v>5029</v>
      </c>
      <c r="B406" s="16" t="str">
        <f>TRIM("東都島小学校")</f>
        <v>東都島小学校</v>
      </c>
      <c r="C406" s="14" t="s">
        <v>1519</v>
      </c>
      <c r="D406" s="14" t="s">
        <v>80</v>
      </c>
      <c r="E406" s="1">
        <v>9096.9500000000007</v>
      </c>
      <c r="F406" s="2"/>
      <c r="G406" s="1">
        <v>6308.11</v>
      </c>
      <c r="H406" s="3"/>
      <c r="I406" s="14" t="s">
        <v>4689</v>
      </c>
    </row>
    <row r="407" spans="1:9" ht="18.75" customHeight="1" x14ac:dyDescent="0.4">
      <c r="A407" s="14" t="s">
        <v>7124</v>
      </c>
      <c r="B407" s="16" t="str">
        <f>TRIM("都島屋内プール")</f>
        <v>都島屋内プール</v>
      </c>
      <c r="C407" s="14" t="s">
        <v>1519</v>
      </c>
      <c r="D407" s="14" t="s">
        <v>80</v>
      </c>
      <c r="E407" s="1">
        <v>2200</v>
      </c>
      <c r="F407" s="2"/>
      <c r="G407" s="1">
        <v>3038.95</v>
      </c>
      <c r="H407" s="3"/>
      <c r="I407" s="14" t="s">
        <v>4115</v>
      </c>
    </row>
    <row r="408" spans="1:9" ht="18.75" customHeight="1" x14ac:dyDescent="0.4">
      <c r="A408" s="14" t="s">
        <v>1753</v>
      </c>
      <c r="B408" s="16" t="str">
        <f>TRIM("都島こども園")</f>
        <v>都島こども園</v>
      </c>
      <c r="C408" s="14" t="s">
        <v>1519</v>
      </c>
      <c r="D408" s="14" t="s">
        <v>80</v>
      </c>
      <c r="E408" s="1">
        <v>530.94000000000005</v>
      </c>
      <c r="F408" s="2"/>
      <c r="G408" s="1"/>
      <c r="H408" s="3"/>
      <c r="I408" s="14" t="s">
        <v>1654</v>
      </c>
    </row>
    <row r="409" spans="1:9" ht="18.75" customHeight="1" x14ac:dyDescent="0.4">
      <c r="A409" s="14" t="s">
        <v>1829</v>
      </c>
      <c r="B409" s="16" t="str">
        <f>TRIM("東都島老人憩の家")</f>
        <v>東都島老人憩の家</v>
      </c>
      <c r="C409" s="14" t="s">
        <v>1519</v>
      </c>
      <c r="D409" s="14" t="s">
        <v>80</v>
      </c>
      <c r="E409" s="1">
        <v>183.84</v>
      </c>
      <c r="F409" s="2"/>
      <c r="G409" s="1"/>
      <c r="H409" s="3"/>
      <c r="I409" s="14" t="s">
        <v>1654</v>
      </c>
    </row>
    <row r="410" spans="1:9" ht="18.75" customHeight="1" x14ac:dyDescent="0.4">
      <c r="A410" s="14" t="s">
        <v>1935</v>
      </c>
      <c r="B410" s="16" t="str">
        <f>TRIM("特別養護老人ホームひまわりの郷")</f>
        <v>特別養護老人ホームひまわりの郷</v>
      </c>
      <c r="C410" s="14" t="s">
        <v>1519</v>
      </c>
      <c r="D410" s="14" t="s">
        <v>80</v>
      </c>
      <c r="E410" s="1">
        <v>1321.72</v>
      </c>
      <c r="F410" s="2"/>
      <c r="G410" s="1"/>
      <c r="H410" s="3"/>
      <c r="I410" s="14" t="s">
        <v>1654</v>
      </c>
    </row>
    <row r="411" spans="1:9" ht="18.75" customHeight="1" x14ac:dyDescent="0.4">
      <c r="A411" s="14" t="s">
        <v>3153</v>
      </c>
      <c r="B411" s="16" t="str">
        <f>TRIM("　東都島公園")</f>
        <v>東都島公園</v>
      </c>
      <c r="C411" s="14" t="s">
        <v>1519</v>
      </c>
      <c r="D411" s="14" t="s">
        <v>80</v>
      </c>
      <c r="E411" s="1">
        <v>1137.73</v>
      </c>
      <c r="F411" s="2"/>
      <c r="G411" s="1"/>
      <c r="H411" s="3"/>
      <c r="I411" s="14" t="s">
        <v>2177</v>
      </c>
    </row>
    <row r="412" spans="1:9" ht="18.75" customHeight="1" x14ac:dyDescent="0.4">
      <c r="A412" s="14" t="s">
        <v>4361</v>
      </c>
      <c r="B412" s="16" t="str">
        <f>TRIM("東都島集会所")</f>
        <v>東都島集会所</v>
      </c>
      <c r="C412" s="14" t="s">
        <v>1519</v>
      </c>
      <c r="D412" s="14" t="s">
        <v>80</v>
      </c>
      <c r="E412" s="1">
        <v>157.30000000000001</v>
      </c>
      <c r="F412" s="2"/>
      <c r="G412" s="1"/>
      <c r="H412" s="3"/>
      <c r="I412" s="14" t="s">
        <v>2030</v>
      </c>
    </row>
    <row r="413" spans="1:9" ht="18.75" customHeight="1" x14ac:dyDescent="0.4">
      <c r="A413" s="14" t="s">
        <v>5759</v>
      </c>
      <c r="B413" s="16" t="str">
        <f>TRIM("都島東保育園")</f>
        <v>都島東保育園</v>
      </c>
      <c r="C413" s="14" t="s">
        <v>1519</v>
      </c>
      <c r="D413" s="14" t="s">
        <v>80</v>
      </c>
      <c r="E413" s="1">
        <v>856.51</v>
      </c>
      <c r="F413" s="2"/>
      <c r="G413" s="1"/>
      <c r="H413" s="3"/>
      <c r="I413" s="14" t="s">
        <v>5617</v>
      </c>
    </row>
    <row r="414" spans="1:9" ht="18.75" customHeight="1" x14ac:dyDescent="0.4">
      <c r="A414" s="14" t="s">
        <v>6568</v>
      </c>
      <c r="B414" s="16" t="str">
        <f>TRIM("都島西住宅")</f>
        <v>都島西住宅</v>
      </c>
      <c r="C414" s="14" t="s">
        <v>1519</v>
      </c>
      <c r="D414" s="14" t="s">
        <v>471</v>
      </c>
      <c r="E414" s="1">
        <v>2897.93</v>
      </c>
      <c r="F414" s="2"/>
      <c r="G414" s="1">
        <v>2583.02</v>
      </c>
      <c r="H414" s="3"/>
      <c r="I414" s="14" t="s">
        <v>6177</v>
      </c>
    </row>
    <row r="415" spans="1:9" ht="18.75" customHeight="1" x14ac:dyDescent="0.4">
      <c r="A415" s="14" t="s">
        <v>6966</v>
      </c>
      <c r="B415" s="16" t="str">
        <f>TRIM("もと交流会館")</f>
        <v>もと交流会館</v>
      </c>
      <c r="C415" s="14" t="s">
        <v>1519</v>
      </c>
      <c r="D415" s="14" t="s">
        <v>471</v>
      </c>
      <c r="E415" s="1">
        <v>510.83</v>
      </c>
      <c r="F415" s="2"/>
      <c r="G415" s="1">
        <v>473.35</v>
      </c>
      <c r="H415" s="3" t="s">
        <v>7353</v>
      </c>
      <c r="I415" s="14" t="s">
        <v>2402</v>
      </c>
    </row>
    <row r="416" spans="1:9" ht="18.75" customHeight="1" x14ac:dyDescent="0.4">
      <c r="A416" s="14" t="s">
        <v>2240</v>
      </c>
      <c r="B416" s="16" t="str">
        <f>TRIM("赤川天王寺線（都島）（管財課）")</f>
        <v>赤川天王寺線（都島）（管財課）</v>
      </c>
      <c r="C416" s="14" t="s">
        <v>1519</v>
      </c>
      <c r="D416" s="14" t="s">
        <v>471</v>
      </c>
      <c r="E416" s="1">
        <v>2846.33</v>
      </c>
      <c r="F416" s="2"/>
      <c r="G416" s="1"/>
      <c r="H416" s="3"/>
      <c r="I416" s="14" t="s">
        <v>2177</v>
      </c>
    </row>
    <row r="417" spans="1:9" ht="18.75" customHeight="1" x14ac:dyDescent="0.4">
      <c r="A417" s="14" t="s">
        <v>2562</v>
      </c>
      <c r="B417" s="16" t="str">
        <f>TRIM("　医療関連施設及広場")</f>
        <v>医療関連施設及広場</v>
      </c>
      <c r="C417" s="14" t="s">
        <v>1519</v>
      </c>
      <c r="D417" s="14" t="s">
        <v>471</v>
      </c>
      <c r="E417" s="1">
        <v>602.73</v>
      </c>
      <c r="F417" s="2"/>
      <c r="G417" s="1"/>
      <c r="H417" s="3"/>
      <c r="I417" s="14" t="s">
        <v>2177</v>
      </c>
    </row>
    <row r="418" spans="1:9" ht="18.75" customHeight="1" x14ac:dyDescent="0.4">
      <c r="A418" s="14" t="s">
        <v>3126</v>
      </c>
      <c r="B418" s="16" t="str">
        <f>TRIM("　都島南通公園")</f>
        <v>都島南通公園</v>
      </c>
      <c r="C418" s="14" t="s">
        <v>1519</v>
      </c>
      <c r="D418" s="14" t="s">
        <v>471</v>
      </c>
      <c r="E418" s="1">
        <v>1614.99</v>
      </c>
      <c r="F418" s="2"/>
      <c r="G418" s="1"/>
      <c r="H418" s="3"/>
      <c r="I418" s="14" t="s">
        <v>2177</v>
      </c>
    </row>
    <row r="419" spans="1:9" ht="18.75" customHeight="1" x14ac:dyDescent="0.4">
      <c r="A419" s="14" t="s">
        <v>4356</v>
      </c>
      <c r="B419" s="16" t="str">
        <f>TRIM("区民広場")</f>
        <v>区民広場</v>
      </c>
      <c r="C419" s="14" t="s">
        <v>1519</v>
      </c>
      <c r="D419" s="14" t="s">
        <v>471</v>
      </c>
      <c r="E419" s="1">
        <v>1276.24</v>
      </c>
      <c r="F419" s="2"/>
      <c r="G419" s="1"/>
      <c r="H419" s="3"/>
      <c r="I419" s="14" t="s">
        <v>2030</v>
      </c>
    </row>
    <row r="420" spans="1:9" ht="18.75" customHeight="1" x14ac:dyDescent="0.4">
      <c r="A420" s="14" t="s">
        <v>5775</v>
      </c>
      <c r="B420" s="16" t="str">
        <f>TRIM("ニチイキッズ都島南通り保育園")</f>
        <v>ニチイキッズ都島南通り保育園</v>
      </c>
      <c r="C420" s="14" t="s">
        <v>1519</v>
      </c>
      <c r="D420" s="14" t="s">
        <v>471</v>
      </c>
      <c r="E420" s="1">
        <v>766.47</v>
      </c>
      <c r="F420" s="2"/>
      <c r="G420" s="1"/>
      <c r="H420" s="3"/>
      <c r="I420" s="14" t="s">
        <v>5617</v>
      </c>
    </row>
    <row r="421" spans="1:9" ht="18.75" customHeight="1" x14ac:dyDescent="0.4">
      <c r="A421" s="14" t="s">
        <v>6972</v>
      </c>
      <c r="B421" s="16" t="str">
        <f>TRIM("  都島休日急病診療所")</f>
        <v>都島休日急病診療所</v>
      </c>
      <c r="C421" s="14" t="s">
        <v>1519</v>
      </c>
      <c r="D421" s="14" t="s">
        <v>471</v>
      </c>
      <c r="E421" s="1"/>
      <c r="F421" s="2"/>
      <c r="G421" s="1">
        <v>242.59</v>
      </c>
      <c r="H421" s="3"/>
      <c r="I421" s="14" t="s">
        <v>2402</v>
      </c>
    </row>
    <row r="422" spans="1:9" ht="18.75" customHeight="1" x14ac:dyDescent="0.4">
      <c r="A422" s="14" t="s">
        <v>6982</v>
      </c>
      <c r="B422" s="16" t="str">
        <f>TRIM("交流会館（都島休日急病診療所）")</f>
        <v>交流会館（都島休日急病診療所）</v>
      </c>
      <c r="C422" s="14" t="s">
        <v>1519</v>
      </c>
      <c r="D422" s="14" t="s">
        <v>471</v>
      </c>
      <c r="E422" s="1">
        <v>364</v>
      </c>
      <c r="F422" s="2"/>
      <c r="G422" s="1"/>
      <c r="H422" s="3"/>
      <c r="I422" s="14" t="s">
        <v>2402</v>
      </c>
    </row>
    <row r="423" spans="1:9" ht="18.75" customHeight="1" x14ac:dyDescent="0.4">
      <c r="A423" s="14" t="s">
        <v>6570</v>
      </c>
      <c r="B423" s="16" t="str">
        <f>TRIM("都島南住宅")</f>
        <v>都島南住宅</v>
      </c>
      <c r="C423" s="14" t="s">
        <v>1519</v>
      </c>
      <c r="D423" s="14" t="s">
        <v>804</v>
      </c>
      <c r="E423" s="1">
        <v>2260.13</v>
      </c>
      <c r="F423" s="2"/>
      <c r="G423" s="1">
        <v>1881.92</v>
      </c>
      <c r="H423" s="3"/>
      <c r="I423" s="14" t="s">
        <v>6177</v>
      </c>
    </row>
    <row r="424" spans="1:9" ht="18.75" customHeight="1" x14ac:dyDescent="0.4">
      <c r="A424" s="14" t="s">
        <v>3736</v>
      </c>
      <c r="B424" s="16" t="str">
        <f>TRIM("もと都島自転車保管所トイレ")</f>
        <v>もと都島自転車保管所トイレ</v>
      </c>
      <c r="C424" s="14" t="s">
        <v>1519</v>
      </c>
      <c r="D424" s="14" t="s">
        <v>804</v>
      </c>
      <c r="E424" s="1"/>
      <c r="F424" s="2"/>
      <c r="G424" s="1">
        <v>2.16</v>
      </c>
      <c r="H424" s="3"/>
      <c r="I424" s="14" t="s">
        <v>2177</v>
      </c>
    </row>
    <row r="425" spans="1:9" ht="18.75" customHeight="1" x14ac:dyDescent="0.4">
      <c r="A425" s="14" t="s">
        <v>3913</v>
      </c>
      <c r="B425" s="16" t="str">
        <f>TRIM("もと都島自転車保管所管理事務所")</f>
        <v>もと都島自転車保管所管理事務所</v>
      </c>
      <c r="C425" s="14" t="s">
        <v>1519</v>
      </c>
      <c r="D425" s="14" t="s">
        <v>804</v>
      </c>
      <c r="E425" s="1"/>
      <c r="F425" s="2"/>
      <c r="G425" s="1">
        <v>3.75</v>
      </c>
      <c r="H425" s="3"/>
      <c r="I425" s="14" t="s">
        <v>2177</v>
      </c>
    </row>
    <row r="426" spans="1:9" ht="18.75" customHeight="1" x14ac:dyDescent="0.4">
      <c r="A426" s="14" t="s">
        <v>6357</v>
      </c>
      <c r="B426" s="16" t="str">
        <f>TRIM("御幸住宅")</f>
        <v>御幸住宅</v>
      </c>
      <c r="C426" s="14" t="s">
        <v>1519</v>
      </c>
      <c r="D426" s="14" t="s">
        <v>737</v>
      </c>
      <c r="E426" s="1">
        <v>31655.13</v>
      </c>
      <c r="F426" s="2">
        <v>30</v>
      </c>
      <c r="G426" s="1">
        <v>27345.95</v>
      </c>
      <c r="H426" s="3"/>
      <c r="I426" s="14" t="s">
        <v>6177</v>
      </c>
    </row>
    <row r="427" spans="1:9" ht="18.75" customHeight="1" x14ac:dyDescent="0.4">
      <c r="A427" s="14" t="s">
        <v>4807</v>
      </c>
      <c r="B427" s="16" t="str">
        <f>TRIM("高倉中学校")</f>
        <v>高倉中学校</v>
      </c>
      <c r="C427" s="14" t="s">
        <v>1519</v>
      </c>
      <c r="D427" s="14" t="s">
        <v>737</v>
      </c>
      <c r="E427" s="1">
        <v>14528.92</v>
      </c>
      <c r="F427" s="2"/>
      <c r="G427" s="1">
        <v>6743.12</v>
      </c>
      <c r="H427" s="3"/>
      <c r="I427" s="14" t="s">
        <v>4689</v>
      </c>
    </row>
    <row r="428" spans="1:9" ht="18.75" customHeight="1" x14ac:dyDescent="0.4">
      <c r="A428" s="14" t="s">
        <v>5852</v>
      </c>
      <c r="B428" s="16" t="str">
        <f>TRIM("御幸保育所")</f>
        <v>御幸保育所</v>
      </c>
      <c r="C428" s="14" t="s">
        <v>1519</v>
      </c>
      <c r="D428" s="14" t="s">
        <v>436</v>
      </c>
      <c r="E428" s="1">
        <v>1206.79</v>
      </c>
      <c r="F428" s="2"/>
      <c r="G428" s="1">
        <v>631.73</v>
      </c>
      <c r="H428" s="3"/>
      <c r="I428" s="14" t="s">
        <v>5617</v>
      </c>
    </row>
    <row r="429" spans="1:9" ht="18.75" customHeight="1" x14ac:dyDescent="0.4">
      <c r="A429" s="14" t="s">
        <v>1978</v>
      </c>
      <c r="B429" s="16" t="str">
        <f>TRIM("高倉地域在宅サービスステーション・生活介護施設あかまつ園")</f>
        <v>高倉地域在宅サービスステーション・生活介護施設あかまつ園</v>
      </c>
      <c r="C429" s="14" t="s">
        <v>1519</v>
      </c>
      <c r="D429" s="14" t="s">
        <v>436</v>
      </c>
      <c r="E429" s="1">
        <v>922.91</v>
      </c>
      <c r="F429" s="2"/>
      <c r="G429" s="1"/>
      <c r="H429" s="3"/>
      <c r="I429" s="14" t="s">
        <v>1654</v>
      </c>
    </row>
    <row r="430" spans="1:9" ht="18.75" customHeight="1" x14ac:dyDescent="0.4">
      <c r="A430" s="14" t="s">
        <v>2710</v>
      </c>
      <c r="B430" s="16" t="str">
        <f>TRIM("　高倉中央公園")</f>
        <v>高倉中央公園</v>
      </c>
      <c r="C430" s="14" t="s">
        <v>1519</v>
      </c>
      <c r="D430" s="14" t="s">
        <v>436</v>
      </c>
      <c r="E430" s="1">
        <v>2133.9</v>
      </c>
      <c r="F430" s="2"/>
      <c r="G430" s="1"/>
      <c r="H430" s="3"/>
      <c r="I430" s="14" t="s">
        <v>2177</v>
      </c>
    </row>
    <row r="431" spans="1:9" ht="18.75" customHeight="1" x14ac:dyDescent="0.4">
      <c r="A431" s="14" t="s">
        <v>4357</v>
      </c>
      <c r="B431" s="16" t="str">
        <f>TRIM("みゆきコミュニティホール")</f>
        <v>みゆきコミュニティホール</v>
      </c>
      <c r="C431" s="14" t="s">
        <v>1519</v>
      </c>
      <c r="D431" s="14" t="s">
        <v>436</v>
      </c>
      <c r="E431" s="1"/>
      <c r="F431" s="2"/>
      <c r="G431" s="1">
        <v>105</v>
      </c>
      <c r="H431" s="3"/>
      <c r="I431" s="14" t="s">
        <v>2030</v>
      </c>
    </row>
    <row r="432" spans="1:9" ht="18.75" customHeight="1" x14ac:dyDescent="0.4">
      <c r="A432" s="14" t="s">
        <v>4358</v>
      </c>
      <c r="B432" s="16" t="str">
        <f>TRIM("高倉地域集会所")</f>
        <v>高倉地域集会所</v>
      </c>
      <c r="C432" s="14" t="s">
        <v>1519</v>
      </c>
      <c r="D432" s="14" t="s">
        <v>436</v>
      </c>
      <c r="E432" s="1">
        <v>496</v>
      </c>
      <c r="F432" s="2"/>
      <c r="G432" s="1"/>
      <c r="H432" s="3"/>
      <c r="I432" s="14" t="s">
        <v>2030</v>
      </c>
    </row>
    <row r="433" spans="1:9" ht="18.75" customHeight="1" x14ac:dyDescent="0.4">
      <c r="A433" s="14" t="s">
        <v>4758</v>
      </c>
      <c r="B433" s="16" t="str">
        <f>TRIM("海老江東小学校")</f>
        <v>海老江東小学校</v>
      </c>
      <c r="C433" s="14" t="s">
        <v>1527</v>
      </c>
      <c r="D433" s="14" t="s">
        <v>326</v>
      </c>
      <c r="E433" s="1">
        <v>7329</v>
      </c>
      <c r="F433" s="2"/>
      <c r="G433" s="1">
        <v>8540.0300000000007</v>
      </c>
      <c r="H433" s="3"/>
      <c r="I433" s="14" t="s">
        <v>4689</v>
      </c>
    </row>
    <row r="434" spans="1:9" ht="18.75" customHeight="1" x14ac:dyDescent="0.4">
      <c r="A434" s="14" t="s">
        <v>1667</v>
      </c>
      <c r="B434" s="16" t="str">
        <f>TRIM("もと社会福祉施設用地（福島区海老江1－29）")</f>
        <v>もと社会福祉施設用地（福島区海老江1－29）</v>
      </c>
      <c r="C434" s="14" t="s">
        <v>1527</v>
      </c>
      <c r="D434" s="14" t="s">
        <v>326</v>
      </c>
      <c r="E434" s="1">
        <v>249</v>
      </c>
      <c r="F434" s="2"/>
      <c r="G434" s="1"/>
      <c r="H434" s="3"/>
      <c r="I434" s="14" t="s">
        <v>1654</v>
      </c>
    </row>
    <row r="435" spans="1:9" ht="18.75" customHeight="1" x14ac:dyDescent="0.4">
      <c r="A435" s="14" t="s">
        <v>1744</v>
      </c>
      <c r="B435" s="16" t="str">
        <f>TRIM("知的障がい者更生施設　福島育成園")</f>
        <v>知的障がい者更生施設　福島育成園</v>
      </c>
      <c r="C435" s="14" t="s">
        <v>1527</v>
      </c>
      <c r="D435" s="14" t="s">
        <v>326</v>
      </c>
      <c r="E435" s="1">
        <v>1959.33</v>
      </c>
      <c r="F435" s="2"/>
      <c r="G435" s="1"/>
      <c r="H435" s="3"/>
      <c r="I435" s="14" t="s">
        <v>1654</v>
      </c>
    </row>
    <row r="436" spans="1:9" ht="18.75" customHeight="1" x14ac:dyDescent="0.4">
      <c r="A436" s="14" t="s">
        <v>2000</v>
      </c>
      <c r="B436" s="16" t="str">
        <f>TRIM("海老江東コミュニティセンター")</f>
        <v>海老江東コミュニティセンター</v>
      </c>
      <c r="C436" s="14" t="s">
        <v>1527</v>
      </c>
      <c r="D436" s="14" t="s">
        <v>326</v>
      </c>
      <c r="E436" s="1">
        <v>173.86</v>
      </c>
      <c r="F436" s="2"/>
      <c r="G436" s="1"/>
      <c r="H436" s="3"/>
      <c r="I436" s="14" t="s">
        <v>2001</v>
      </c>
    </row>
    <row r="437" spans="1:9" ht="18.75" customHeight="1" x14ac:dyDescent="0.4">
      <c r="A437" s="14" t="s">
        <v>3412</v>
      </c>
      <c r="B437" s="16" t="str">
        <f>TRIM("海老江1公園")</f>
        <v>海老江1公園</v>
      </c>
      <c r="C437" s="14" t="s">
        <v>1527</v>
      </c>
      <c r="D437" s="14" t="s">
        <v>326</v>
      </c>
      <c r="E437" s="1">
        <v>2428.73</v>
      </c>
      <c r="F437" s="2"/>
      <c r="G437" s="1"/>
      <c r="H437" s="3"/>
      <c r="I437" s="14" t="s">
        <v>2177</v>
      </c>
    </row>
    <row r="438" spans="1:9" ht="18.75" customHeight="1" x14ac:dyDescent="0.4">
      <c r="A438" s="14" t="s">
        <v>3954</v>
      </c>
      <c r="B438" s="16" t="str">
        <f>TRIM("野田阪神駅自転車駐車場")</f>
        <v>野田阪神駅自転車駐車場</v>
      </c>
      <c r="C438" s="14" t="s">
        <v>1527</v>
      </c>
      <c r="D438" s="14" t="s">
        <v>326</v>
      </c>
      <c r="E438" s="1"/>
      <c r="F438" s="2"/>
      <c r="G438" s="1">
        <v>1054.33</v>
      </c>
      <c r="H438" s="3"/>
      <c r="I438" s="14" t="s">
        <v>2177</v>
      </c>
    </row>
    <row r="439" spans="1:9" ht="18.75" customHeight="1" x14ac:dyDescent="0.4">
      <c r="A439" s="14" t="s">
        <v>4374</v>
      </c>
      <c r="B439" s="16" t="str">
        <f>TRIM("海老江上一児童遊園用地")</f>
        <v>海老江上一児童遊園用地</v>
      </c>
      <c r="C439" s="14" t="s">
        <v>1527</v>
      </c>
      <c r="D439" s="14" t="s">
        <v>326</v>
      </c>
      <c r="E439" s="1">
        <v>604.5</v>
      </c>
      <c r="F439" s="2"/>
      <c r="G439" s="1"/>
      <c r="H439" s="3"/>
      <c r="I439" s="14" t="s">
        <v>2001</v>
      </c>
    </row>
    <row r="440" spans="1:9" ht="18.75" customHeight="1" x14ac:dyDescent="0.4">
      <c r="A440" s="14" t="s">
        <v>7075</v>
      </c>
      <c r="B440" s="16" t="str">
        <f>TRIM("海老江小売市場民営活性化事業施設")</f>
        <v>海老江小売市場民営活性化事業施設</v>
      </c>
      <c r="C440" s="14" t="s">
        <v>1527</v>
      </c>
      <c r="D440" s="14" t="s">
        <v>57</v>
      </c>
      <c r="E440" s="1">
        <v>1292.42</v>
      </c>
      <c r="F440" s="2"/>
      <c r="G440" s="1"/>
      <c r="H440" s="3"/>
      <c r="I440" s="14" t="s">
        <v>4115</v>
      </c>
    </row>
    <row r="441" spans="1:9" ht="18.75" customHeight="1" x14ac:dyDescent="0.4">
      <c r="A441" s="14" t="s">
        <v>2622</v>
      </c>
      <c r="B441" s="16" t="str">
        <f>TRIM("　海老江上公園")</f>
        <v>海老江上公園</v>
      </c>
      <c r="C441" s="14" t="s">
        <v>1527</v>
      </c>
      <c r="D441" s="14" t="s">
        <v>1019</v>
      </c>
      <c r="E441" s="1">
        <v>2383.4699999999998</v>
      </c>
      <c r="F441" s="2"/>
      <c r="G441" s="1"/>
      <c r="H441" s="3"/>
      <c r="I441" s="14" t="s">
        <v>2177</v>
      </c>
    </row>
    <row r="442" spans="1:9" ht="18.75" customHeight="1" x14ac:dyDescent="0.4">
      <c r="A442" s="14" t="s">
        <v>1833</v>
      </c>
      <c r="B442" s="16" t="str">
        <f>TRIM("福島区老人福祉センター")</f>
        <v>福島区老人福祉センター</v>
      </c>
      <c r="C442" s="14" t="s">
        <v>1527</v>
      </c>
      <c r="D442" s="14" t="s">
        <v>430</v>
      </c>
      <c r="E442" s="1">
        <v>1264.8499999999999</v>
      </c>
      <c r="F442" s="2"/>
      <c r="G442" s="1">
        <v>587.91999999999996</v>
      </c>
      <c r="H442" s="3"/>
      <c r="I442" s="14" t="s">
        <v>1654</v>
      </c>
    </row>
    <row r="443" spans="1:9" ht="18.75" customHeight="1" x14ac:dyDescent="0.4">
      <c r="A443" s="14" t="s">
        <v>1967</v>
      </c>
      <c r="B443" s="16" t="str">
        <f>TRIM("福島区在宅サービスセンター")</f>
        <v>福島区在宅サービスセンター</v>
      </c>
      <c r="C443" s="14" t="s">
        <v>1527</v>
      </c>
      <c r="D443" s="14" t="s">
        <v>430</v>
      </c>
      <c r="E443" s="1">
        <v>742.6</v>
      </c>
      <c r="F443" s="2"/>
      <c r="G443" s="1">
        <v>382.06</v>
      </c>
      <c r="H443" s="3"/>
      <c r="I443" s="14" t="s">
        <v>1654</v>
      </c>
    </row>
    <row r="444" spans="1:9" ht="18.75" customHeight="1" x14ac:dyDescent="0.4">
      <c r="A444" s="14" t="s">
        <v>4369</v>
      </c>
      <c r="B444" s="16" t="str">
        <f>TRIM("海老江西コミュニティセンター")</f>
        <v>海老江西コミュニティセンター</v>
      </c>
      <c r="C444" s="14" t="s">
        <v>1527</v>
      </c>
      <c r="D444" s="14" t="s">
        <v>430</v>
      </c>
      <c r="E444" s="1">
        <v>393.38</v>
      </c>
      <c r="F444" s="2"/>
      <c r="G444" s="1">
        <v>478.37</v>
      </c>
      <c r="H444" s="3"/>
      <c r="I444" s="14" t="s">
        <v>2001</v>
      </c>
    </row>
    <row r="445" spans="1:9" ht="18.75" customHeight="1" x14ac:dyDescent="0.4">
      <c r="A445" s="14" t="s">
        <v>5298</v>
      </c>
      <c r="B445" s="16" t="str">
        <f>TRIM("福島消防署海老江出張所")</f>
        <v>福島消防署海老江出張所</v>
      </c>
      <c r="C445" s="14" t="s">
        <v>1527</v>
      </c>
      <c r="D445" s="14" t="s">
        <v>430</v>
      </c>
      <c r="E445" s="1">
        <v>280.56</v>
      </c>
      <c r="F445" s="2"/>
      <c r="G445" s="1">
        <v>594.61</v>
      </c>
      <c r="H445" s="3"/>
      <c r="I445" s="14" t="s">
        <v>5219</v>
      </c>
    </row>
    <row r="446" spans="1:9" ht="18.75" customHeight="1" x14ac:dyDescent="0.4">
      <c r="A446" s="14" t="s">
        <v>2624</v>
      </c>
      <c r="B446" s="16" t="str">
        <f>TRIM("　海老江中公園")</f>
        <v>海老江中公園</v>
      </c>
      <c r="C446" s="14" t="s">
        <v>1527</v>
      </c>
      <c r="D446" s="14" t="s">
        <v>430</v>
      </c>
      <c r="E446" s="1">
        <v>1137.58</v>
      </c>
      <c r="F446" s="2"/>
      <c r="G446" s="1"/>
      <c r="H446" s="3"/>
      <c r="I446" s="14" t="s">
        <v>2177</v>
      </c>
    </row>
    <row r="447" spans="1:9" ht="18.75" customHeight="1" x14ac:dyDescent="0.4">
      <c r="A447" s="14" t="s">
        <v>5659</v>
      </c>
      <c r="B447" s="16" t="str">
        <f>TRIM(" もと福島勤労青少年ホーム")</f>
        <v>もと福島勤労青少年ホーム</v>
      </c>
      <c r="C447" s="14" t="s">
        <v>1527</v>
      </c>
      <c r="D447" s="14" t="s">
        <v>430</v>
      </c>
      <c r="E447" s="1"/>
      <c r="F447" s="2"/>
      <c r="G447" s="1">
        <v>650.59</v>
      </c>
      <c r="H447" s="3" t="s">
        <v>7353</v>
      </c>
      <c r="I447" s="14" t="s">
        <v>5617</v>
      </c>
    </row>
    <row r="448" spans="1:9" ht="18.75" customHeight="1" x14ac:dyDescent="0.4">
      <c r="A448" s="14" t="s">
        <v>5846</v>
      </c>
      <c r="B448" s="16" t="str">
        <f>TRIM("海老江保育所")</f>
        <v>海老江保育所</v>
      </c>
      <c r="C448" s="14" t="s">
        <v>1527</v>
      </c>
      <c r="D448" s="14" t="s">
        <v>430</v>
      </c>
      <c r="E448" s="1"/>
      <c r="F448" s="2"/>
      <c r="G448" s="1">
        <v>506.78</v>
      </c>
      <c r="H448" s="3"/>
      <c r="I448" s="14" t="s">
        <v>5617</v>
      </c>
    </row>
    <row r="449" spans="1:9" ht="18.75" customHeight="1" x14ac:dyDescent="0.4">
      <c r="A449" s="14" t="s">
        <v>2205</v>
      </c>
      <c r="B449" s="16" t="str">
        <f>TRIM("九条梅田線（福島）（管財課）")</f>
        <v>九条梅田線（福島）（管財課）</v>
      </c>
      <c r="C449" s="14" t="s">
        <v>1527</v>
      </c>
      <c r="D449" s="14" t="s">
        <v>909</v>
      </c>
      <c r="E449" s="1">
        <v>271</v>
      </c>
      <c r="F449" s="2"/>
      <c r="G449" s="1"/>
      <c r="H449" s="3"/>
      <c r="I449" s="14" t="s">
        <v>2177</v>
      </c>
    </row>
    <row r="450" spans="1:9" ht="18.75" customHeight="1" x14ac:dyDescent="0.4">
      <c r="A450" s="14" t="s">
        <v>2621</v>
      </c>
      <c r="B450" s="16" t="str">
        <f>TRIM("　海老江公園")</f>
        <v>海老江公園</v>
      </c>
      <c r="C450" s="14" t="s">
        <v>1527</v>
      </c>
      <c r="D450" s="14" t="s">
        <v>909</v>
      </c>
      <c r="E450" s="1">
        <v>2230.71</v>
      </c>
      <c r="F450" s="2"/>
      <c r="G450" s="1"/>
      <c r="H450" s="3"/>
      <c r="I450" s="14" t="s">
        <v>2177</v>
      </c>
    </row>
    <row r="451" spans="1:9" ht="18.75" customHeight="1" x14ac:dyDescent="0.4">
      <c r="A451" s="14" t="s">
        <v>3542</v>
      </c>
      <c r="B451" s="16" t="str">
        <f>TRIM("　海老江公園")</f>
        <v>海老江公園</v>
      </c>
      <c r="C451" s="14" t="s">
        <v>1527</v>
      </c>
      <c r="D451" s="14" t="s">
        <v>909</v>
      </c>
      <c r="E451" s="1"/>
      <c r="F451" s="2"/>
      <c r="G451" s="1">
        <v>19.2</v>
      </c>
      <c r="H451" s="3"/>
      <c r="I451" s="14" t="s">
        <v>2177</v>
      </c>
    </row>
    <row r="452" spans="1:9" ht="18.75" customHeight="1" x14ac:dyDescent="0.4">
      <c r="A452" s="14" t="s">
        <v>4757</v>
      </c>
      <c r="B452" s="16" t="str">
        <f>TRIM("海老江西小学校")</f>
        <v>海老江西小学校</v>
      </c>
      <c r="C452" s="14" t="s">
        <v>1527</v>
      </c>
      <c r="D452" s="14" t="s">
        <v>281</v>
      </c>
      <c r="E452" s="1">
        <v>5624.68</v>
      </c>
      <c r="F452" s="2"/>
      <c r="G452" s="1">
        <v>4747.6099999999997</v>
      </c>
      <c r="H452" s="3"/>
      <c r="I452" s="14" t="s">
        <v>4689</v>
      </c>
    </row>
    <row r="453" spans="1:9" ht="18.75" customHeight="1" x14ac:dyDescent="0.4">
      <c r="A453" s="14" t="s">
        <v>5825</v>
      </c>
      <c r="B453" s="16" t="str">
        <f>TRIM("海老江西幼稚園")</f>
        <v>海老江西幼稚園</v>
      </c>
      <c r="C453" s="14" t="s">
        <v>1527</v>
      </c>
      <c r="D453" s="14" t="s">
        <v>281</v>
      </c>
      <c r="E453" s="1">
        <v>845</v>
      </c>
      <c r="F453" s="2"/>
      <c r="G453" s="1">
        <v>729.95</v>
      </c>
      <c r="H453" s="3"/>
      <c r="I453" s="14" t="s">
        <v>5617</v>
      </c>
    </row>
    <row r="454" spans="1:9" ht="18.75" customHeight="1" x14ac:dyDescent="0.4">
      <c r="A454" s="14" t="s">
        <v>2623</v>
      </c>
      <c r="B454" s="16" t="str">
        <f>TRIM("　海老江西公園")</f>
        <v>海老江西公園</v>
      </c>
      <c r="C454" s="14" t="s">
        <v>1527</v>
      </c>
      <c r="D454" s="14" t="s">
        <v>281</v>
      </c>
      <c r="E454" s="1">
        <v>1552</v>
      </c>
      <c r="F454" s="2"/>
      <c r="G454" s="1"/>
      <c r="H454" s="3"/>
      <c r="I454" s="14" t="s">
        <v>2177</v>
      </c>
    </row>
    <row r="455" spans="1:9" ht="18.75" customHeight="1" x14ac:dyDescent="0.4">
      <c r="A455" s="14" t="s">
        <v>3989</v>
      </c>
      <c r="B455" s="16" t="str">
        <f>TRIM("淀川左岸線（福島）")</f>
        <v>淀川左岸線（福島）</v>
      </c>
      <c r="C455" s="14" t="s">
        <v>1527</v>
      </c>
      <c r="D455" s="14" t="s">
        <v>281</v>
      </c>
      <c r="E455" s="1">
        <v>13091.98</v>
      </c>
      <c r="F455" s="2"/>
      <c r="G455" s="1"/>
      <c r="H455" s="3"/>
      <c r="I455" s="14" t="s">
        <v>2177</v>
      </c>
    </row>
    <row r="456" spans="1:9" ht="18.75" customHeight="1" x14ac:dyDescent="0.4">
      <c r="A456" s="14" t="s">
        <v>5564</v>
      </c>
      <c r="B456" s="16" t="str">
        <f>TRIM("福島署淀川大橋警ら連絡所")</f>
        <v>福島署淀川大橋警ら連絡所</v>
      </c>
      <c r="C456" s="14" t="s">
        <v>1527</v>
      </c>
      <c r="D456" s="14" t="s">
        <v>281</v>
      </c>
      <c r="E456" s="1">
        <v>31.73</v>
      </c>
      <c r="F456" s="2"/>
      <c r="G456" s="1"/>
      <c r="H456" s="3"/>
      <c r="I456" s="14" t="s">
        <v>5349</v>
      </c>
    </row>
    <row r="457" spans="1:9" ht="18.75" customHeight="1" x14ac:dyDescent="0.4">
      <c r="A457" s="14" t="s">
        <v>5728</v>
      </c>
      <c r="B457" s="16" t="str">
        <f>TRIM("海西ひばり保育園")</f>
        <v>海西ひばり保育園</v>
      </c>
      <c r="C457" s="14" t="s">
        <v>1527</v>
      </c>
      <c r="D457" s="14" t="s">
        <v>281</v>
      </c>
      <c r="E457" s="1">
        <v>779.87</v>
      </c>
      <c r="F457" s="2"/>
      <c r="G457" s="1"/>
      <c r="H457" s="3"/>
      <c r="I457" s="14" t="s">
        <v>5617</v>
      </c>
    </row>
    <row r="458" spans="1:9" ht="18.75" customHeight="1" x14ac:dyDescent="0.4">
      <c r="A458" s="14" t="s">
        <v>5979</v>
      </c>
      <c r="B458" s="16" t="str">
        <f>TRIM("大気汚染常時監視測定局（海老江西小学校）")</f>
        <v>大気汚染常時監視測定局（海老江西小学校）</v>
      </c>
      <c r="C458" s="14" t="s">
        <v>1527</v>
      </c>
      <c r="D458" s="14" t="s">
        <v>281</v>
      </c>
      <c r="E458" s="1"/>
      <c r="F458" s="2"/>
      <c r="G458" s="1">
        <v>8.81</v>
      </c>
      <c r="H458" s="3"/>
      <c r="I458" s="14" t="s">
        <v>5977</v>
      </c>
    </row>
    <row r="459" spans="1:9" ht="18.75" customHeight="1" x14ac:dyDescent="0.4">
      <c r="A459" s="14" t="s">
        <v>6904</v>
      </c>
      <c r="B459" s="16" t="str">
        <f>TRIM("えびえにし防災広場（まちかど広場）")</f>
        <v>えびえにし防災広場（まちかど広場）</v>
      </c>
      <c r="C459" s="14" t="s">
        <v>1527</v>
      </c>
      <c r="D459" s="14" t="s">
        <v>281</v>
      </c>
      <c r="E459" s="1">
        <v>300</v>
      </c>
      <c r="F459" s="2"/>
      <c r="G459" s="1"/>
      <c r="H459" s="3"/>
      <c r="I459" s="14" t="s">
        <v>6177</v>
      </c>
    </row>
    <row r="460" spans="1:9" ht="18.75" customHeight="1" x14ac:dyDescent="0.4">
      <c r="A460" s="14" t="s">
        <v>4368</v>
      </c>
      <c r="B460" s="16" t="str">
        <f>TRIM("福島区役所")</f>
        <v>福島区役所</v>
      </c>
      <c r="C460" s="14" t="s">
        <v>1527</v>
      </c>
      <c r="D460" s="14" t="s">
        <v>1127</v>
      </c>
      <c r="E460" s="1">
        <v>3052.17</v>
      </c>
      <c r="F460" s="2"/>
      <c r="G460" s="1">
        <v>8735.69</v>
      </c>
      <c r="H460" s="3"/>
      <c r="I460" s="14" t="s">
        <v>2001</v>
      </c>
    </row>
    <row r="461" spans="1:9" ht="18.75" customHeight="1" x14ac:dyDescent="0.4">
      <c r="A461" s="14" t="s">
        <v>1763</v>
      </c>
      <c r="B461" s="16" t="str">
        <f>TRIM("もと障がい福祉サービス事務所　すずらんの園")</f>
        <v>もと障がい福祉サービス事務所　すずらんの園</v>
      </c>
      <c r="C461" s="14" t="s">
        <v>1527</v>
      </c>
      <c r="D461" s="14" t="s">
        <v>1127</v>
      </c>
      <c r="E461" s="1"/>
      <c r="F461" s="2"/>
      <c r="G461" s="1">
        <v>116.64</v>
      </c>
      <c r="H461" s="3"/>
      <c r="I461" s="14" t="s">
        <v>1654</v>
      </c>
    </row>
    <row r="462" spans="1:9" ht="18.75" customHeight="1" x14ac:dyDescent="0.4">
      <c r="A462" s="14" t="s">
        <v>2978</v>
      </c>
      <c r="B462" s="16" t="str">
        <f>TRIM("　大開公園")</f>
        <v>大開公園</v>
      </c>
      <c r="C462" s="14" t="s">
        <v>1527</v>
      </c>
      <c r="D462" s="14" t="s">
        <v>1127</v>
      </c>
      <c r="E462" s="1">
        <v>636.03</v>
      </c>
      <c r="F462" s="2"/>
      <c r="G462" s="1"/>
      <c r="H462" s="3"/>
      <c r="I462" s="14" t="s">
        <v>2177</v>
      </c>
    </row>
    <row r="463" spans="1:9" ht="18.75" customHeight="1" x14ac:dyDescent="0.4">
      <c r="A463" s="14" t="s">
        <v>3953</v>
      </c>
      <c r="B463" s="16" t="str">
        <f>TRIM("野田阪神駅・阪神野田駅自転車駐車場管理ボックス")</f>
        <v>野田阪神駅・阪神野田駅自転車駐車場管理ボックス</v>
      </c>
      <c r="C463" s="14" t="s">
        <v>1527</v>
      </c>
      <c r="D463" s="14" t="s">
        <v>1127</v>
      </c>
      <c r="E463" s="1"/>
      <c r="F463" s="2"/>
      <c r="G463" s="1">
        <v>3.89</v>
      </c>
      <c r="H463" s="3"/>
      <c r="I463" s="14" t="s">
        <v>2177</v>
      </c>
    </row>
    <row r="464" spans="1:9" ht="18.75" customHeight="1" x14ac:dyDescent="0.4">
      <c r="A464" s="14" t="s">
        <v>4371</v>
      </c>
      <c r="B464" s="16" t="str">
        <f>TRIM("大開集会所")</f>
        <v>大開集会所</v>
      </c>
      <c r="C464" s="14" t="s">
        <v>1527</v>
      </c>
      <c r="D464" s="14" t="s">
        <v>1127</v>
      </c>
      <c r="E464" s="1"/>
      <c r="F464" s="2"/>
      <c r="G464" s="1">
        <v>199.5</v>
      </c>
      <c r="H464" s="3"/>
      <c r="I464" s="14" t="s">
        <v>2001</v>
      </c>
    </row>
    <row r="465" spans="1:9" ht="18.75" customHeight="1" x14ac:dyDescent="0.4">
      <c r="A465" s="14" t="s">
        <v>4927</v>
      </c>
      <c r="B465" s="16" t="str">
        <f>TRIM("大開小学校")</f>
        <v>大開小学校</v>
      </c>
      <c r="C465" s="14" t="s">
        <v>1527</v>
      </c>
      <c r="D465" s="14" t="s">
        <v>1407</v>
      </c>
      <c r="E465" s="1">
        <v>7823.16</v>
      </c>
      <c r="F465" s="2"/>
      <c r="G465" s="1">
        <v>6593.68</v>
      </c>
      <c r="H465" s="3"/>
      <c r="I465" s="14" t="s">
        <v>4689</v>
      </c>
    </row>
    <row r="466" spans="1:9" ht="18.75" customHeight="1" x14ac:dyDescent="0.4">
      <c r="A466" s="14" t="s">
        <v>4036</v>
      </c>
      <c r="B466" s="16" t="str">
        <f>TRIM("海老江下水処理場")</f>
        <v>海老江下水処理場</v>
      </c>
      <c r="C466" s="14" t="s">
        <v>1527</v>
      </c>
      <c r="D466" s="14" t="s">
        <v>677</v>
      </c>
      <c r="E466" s="1">
        <v>101158.56</v>
      </c>
      <c r="F466" s="2"/>
      <c r="G466" s="1">
        <v>40742.639999999999</v>
      </c>
      <c r="H466" s="3"/>
      <c r="I466" s="14" t="s">
        <v>2177</v>
      </c>
    </row>
    <row r="467" spans="1:9" ht="18.75" customHeight="1" x14ac:dyDescent="0.4">
      <c r="A467" s="14" t="s">
        <v>2520</v>
      </c>
      <c r="B467" s="16" t="str">
        <f>TRIM("新家西公園")</f>
        <v>新家西公園</v>
      </c>
      <c r="C467" s="14" t="s">
        <v>1527</v>
      </c>
      <c r="D467" s="14" t="s">
        <v>677</v>
      </c>
      <c r="E467" s="1">
        <v>355.59</v>
      </c>
      <c r="F467" s="2"/>
      <c r="G467" s="1"/>
      <c r="H467" s="3"/>
      <c r="I467" s="14" t="s">
        <v>2177</v>
      </c>
    </row>
    <row r="468" spans="1:9" ht="18.75" customHeight="1" x14ac:dyDescent="0.4">
      <c r="A468" s="14" t="s">
        <v>2705</v>
      </c>
      <c r="B468" s="16" t="str">
        <f>TRIM("　高見公園整備事業")</f>
        <v>高見公園整備事業</v>
      </c>
      <c r="C468" s="14" t="s">
        <v>1527</v>
      </c>
      <c r="D468" s="14" t="s">
        <v>677</v>
      </c>
      <c r="E468" s="1">
        <v>10838.36</v>
      </c>
      <c r="F468" s="2"/>
      <c r="G468" s="1"/>
      <c r="H468" s="3"/>
      <c r="I468" s="14" t="s">
        <v>2177</v>
      </c>
    </row>
    <row r="469" spans="1:9" ht="18.75" customHeight="1" x14ac:dyDescent="0.4">
      <c r="A469" s="14" t="s">
        <v>2894</v>
      </c>
      <c r="B469" s="16" t="str">
        <f>TRIM("　正蓮寺川公園")</f>
        <v>正蓮寺川公園</v>
      </c>
      <c r="C469" s="14" t="s">
        <v>1527</v>
      </c>
      <c r="D469" s="14" t="s">
        <v>677</v>
      </c>
      <c r="E469" s="1">
        <v>695.23</v>
      </c>
      <c r="F469" s="2"/>
      <c r="G469" s="1"/>
      <c r="H469" s="3"/>
      <c r="I469" s="14" t="s">
        <v>2177</v>
      </c>
    </row>
    <row r="470" spans="1:9" ht="18.75" customHeight="1" x14ac:dyDescent="0.4">
      <c r="A470" s="14" t="s">
        <v>3959</v>
      </c>
      <c r="B470" s="16" t="str">
        <f>TRIM("大開自転車保管所")</f>
        <v>大開自転車保管所</v>
      </c>
      <c r="C470" s="14" t="s">
        <v>1527</v>
      </c>
      <c r="D470" s="14" t="s">
        <v>677</v>
      </c>
      <c r="E470" s="1"/>
      <c r="F470" s="2"/>
      <c r="G470" s="1">
        <v>12.91</v>
      </c>
      <c r="H470" s="3"/>
      <c r="I470" s="14" t="s">
        <v>2177</v>
      </c>
    </row>
    <row r="471" spans="1:9" ht="18.75" customHeight="1" x14ac:dyDescent="0.4">
      <c r="A471" s="14" t="s">
        <v>6056</v>
      </c>
      <c r="B471" s="16" t="str">
        <f>TRIM("もと大開出張所")</f>
        <v>もと大開出張所</v>
      </c>
      <c r="C471" s="14" t="s">
        <v>1527</v>
      </c>
      <c r="D471" s="14" t="s">
        <v>677</v>
      </c>
      <c r="E471" s="1">
        <v>1702.33</v>
      </c>
      <c r="F471" s="2"/>
      <c r="G471" s="1"/>
      <c r="H471" s="3"/>
      <c r="I471" s="14" t="s">
        <v>5977</v>
      </c>
    </row>
    <row r="472" spans="1:9" ht="18.75" customHeight="1" x14ac:dyDescent="0.4">
      <c r="A472" s="14" t="s">
        <v>3431</v>
      </c>
      <c r="B472" s="16" t="str">
        <f>TRIM("鷺洲中公園")</f>
        <v>鷺洲中公園</v>
      </c>
      <c r="C472" s="14" t="s">
        <v>1527</v>
      </c>
      <c r="D472" s="14" t="s">
        <v>1278</v>
      </c>
      <c r="E472" s="1">
        <v>5291.07</v>
      </c>
      <c r="F472" s="2"/>
      <c r="G472" s="1"/>
      <c r="H472" s="3"/>
      <c r="I472" s="14" t="s">
        <v>2177</v>
      </c>
    </row>
    <row r="473" spans="1:9" ht="18.75" customHeight="1" x14ac:dyDescent="0.4">
      <c r="A473" s="14" t="s">
        <v>3560</v>
      </c>
      <c r="B473" s="16" t="str">
        <f>TRIM("　鷺州中公園")</f>
        <v>鷺州中公園</v>
      </c>
      <c r="C473" s="14" t="s">
        <v>1527</v>
      </c>
      <c r="D473" s="14" t="s">
        <v>1278</v>
      </c>
      <c r="E473" s="1"/>
      <c r="F473" s="2"/>
      <c r="G473" s="1">
        <v>19.2</v>
      </c>
      <c r="H473" s="3"/>
      <c r="I473" s="14" t="s">
        <v>2177</v>
      </c>
    </row>
    <row r="474" spans="1:9" ht="18.75" customHeight="1" x14ac:dyDescent="0.4">
      <c r="A474" s="14" t="s">
        <v>4824</v>
      </c>
      <c r="B474" s="16" t="str">
        <f>TRIM("鷺洲小学校")</f>
        <v>鷺洲小学校</v>
      </c>
      <c r="C474" s="14" t="s">
        <v>1527</v>
      </c>
      <c r="D474" s="14" t="s">
        <v>495</v>
      </c>
      <c r="E474" s="1">
        <v>9954</v>
      </c>
      <c r="F474" s="2"/>
      <c r="G474" s="1">
        <v>8020.01</v>
      </c>
      <c r="H474" s="3"/>
      <c r="I474" s="14" t="s">
        <v>4689</v>
      </c>
    </row>
    <row r="475" spans="1:9" ht="18.75" customHeight="1" x14ac:dyDescent="0.4">
      <c r="A475" s="14" t="s">
        <v>5781</v>
      </c>
      <c r="B475" s="16" t="str">
        <f>TRIM("貫江田幼稚園")</f>
        <v>貫江田幼稚園</v>
      </c>
      <c r="C475" s="14" t="s">
        <v>1527</v>
      </c>
      <c r="D475" s="14" t="s">
        <v>495</v>
      </c>
      <c r="E475" s="1">
        <v>1872</v>
      </c>
      <c r="F475" s="2"/>
      <c r="G475" s="1">
        <v>1181.18</v>
      </c>
      <c r="H475" s="3"/>
      <c r="I475" s="14" t="s">
        <v>5617</v>
      </c>
    </row>
    <row r="476" spans="1:9" ht="18.75" customHeight="1" x14ac:dyDescent="0.4">
      <c r="A476" s="14" t="s">
        <v>3430</v>
      </c>
      <c r="B476" s="16" t="str">
        <f>TRIM("鷺洲上公園")</f>
        <v>鷺洲上公園</v>
      </c>
      <c r="C476" s="14" t="s">
        <v>1527</v>
      </c>
      <c r="D476" s="14" t="s">
        <v>495</v>
      </c>
      <c r="E476" s="1">
        <v>4963</v>
      </c>
      <c r="F476" s="2"/>
      <c r="G476" s="1"/>
      <c r="H476" s="3"/>
      <c r="I476" s="14" t="s">
        <v>2177</v>
      </c>
    </row>
    <row r="477" spans="1:9" ht="18.75" customHeight="1" x14ac:dyDescent="0.4">
      <c r="A477" s="14" t="s">
        <v>3432</v>
      </c>
      <c r="B477" s="16" t="str">
        <f>TRIM("鷺洲北公園")</f>
        <v>鷺洲北公園</v>
      </c>
      <c r="C477" s="14" t="s">
        <v>1527</v>
      </c>
      <c r="D477" s="14" t="s">
        <v>495</v>
      </c>
      <c r="E477" s="1">
        <v>1418</v>
      </c>
      <c r="F477" s="2"/>
      <c r="G477" s="1"/>
      <c r="H477" s="3"/>
      <c r="I477" s="14" t="s">
        <v>2177</v>
      </c>
    </row>
    <row r="478" spans="1:9" ht="18.75" customHeight="1" x14ac:dyDescent="0.4">
      <c r="A478" s="14" t="s">
        <v>5068</v>
      </c>
      <c r="B478" s="16" t="str">
        <f>TRIM("八阪中学校")</f>
        <v>八阪中学校</v>
      </c>
      <c r="C478" s="14" t="s">
        <v>1527</v>
      </c>
      <c r="D478" s="14" t="s">
        <v>1430</v>
      </c>
      <c r="E478" s="1">
        <v>13823.88</v>
      </c>
      <c r="F478" s="2"/>
      <c r="G478" s="1">
        <v>6330.58</v>
      </c>
      <c r="H478" s="3"/>
      <c r="I478" s="14" t="s">
        <v>4689</v>
      </c>
    </row>
    <row r="479" spans="1:9" ht="18.75" customHeight="1" x14ac:dyDescent="0.4">
      <c r="A479" s="14" t="s">
        <v>2472</v>
      </c>
      <c r="B479" s="16" t="str">
        <f>TRIM("運河（福島）")</f>
        <v>運河（福島）</v>
      </c>
      <c r="C479" s="14" t="s">
        <v>1527</v>
      </c>
      <c r="D479" s="14" t="s">
        <v>1307</v>
      </c>
      <c r="E479" s="1">
        <v>3051.23</v>
      </c>
      <c r="F479" s="2"/>
      <c r="G479" s="1"/>
      <c r="H479" s="3"/>
      <c r="I479" s="14" t="s">
        <v>2177</v>
      </c>
    </row>
    <row r="480" spans="1:9" ht="18.75" customHeight="1" x14ac:dyDescent="0.4">
      <c r="A480" s="14" t="s">
        <v>4741</v>
      </c>
      <c r="B480" s="16" t="str">
        <f>TRIM("下福島中学校")</f>
        <v>下福島中学校</v>
      </c>
      <c r="C480" s="14" t="s">
        <v>1527</v>
      </c>
      <c r="D480" s="14" t="s">
        <v>270</v>
      </c>
      <c r="E480" s="1">
        <v>8692.98</v>
      </c>
      <c r="F480" s="2"/>
      <c r="G480" s="1">
        <v>8636.7199999999993</v>
      </c>
      <c r="H480" s="3"/>
      <c r="I480" s="14" t="s">
        <v>4689</v>
      </c>
    </row>
    <row r="481" spans="1:9" ht="18.75" customHeight="1" x14ac:dyDescent="0.4">
      <c r="A481" s="14" t="s">
        <v>2597</v>
      </c>
      <c r="B481" s="16" t="str">
        <f>TRIM("　下福島公園（玉川１丁目）")</f>
        <v>下福島公園（玉川１丁目）</v>
      </c>
      <c r="C481" s="14" t="s">
        <v>1527</v>
      </c>
      <c r="D481" s="14" t="s">
        <v>270</v>
      </c>
      <c r="E481" s="1">
        <v>3287.43</v>
      </c>
      <c r="F481" s="2"/>
      <c r="G481" s="1"/>
      <c r="H481" s="3"/>
      <c r="I481" s="14" t="s">
        <v>2177</v>
      </c>
    </row>
    <row r="482" spans="1:9" ht="18.75" customHeight="1" x14ac:dyDescent="0.4">
      <c r="A482" s="14" t="s">
        <v>5552</v>
      </c>
      <c r="B482" s="16" t="str">
        <f>TRIM("廃道（福島）")</f>
        <v>廃道（福島）</v>
      </c>
      <c r="C482" s="14" t="s">
        <v>1527</v>
      </c>
      <c r="D482" s="14" t="s">
        <v>270</v>
      </c>
      <c r="E482" s="1">
        <v>97.92</v>
      </c>
      <c r="F482" s="2"/>
      <c r="G482" s="1"/>
      <c r="H482" s="3"/>
      <c r="I482" s="14" t="s">
        <v>5349</v>
      </c>
    </row>
    <row r="483" spans="1:9" ht="18.75" customHeight="1" x14ac:dyDescent="0.4">
      <c r="A483" s="14" t="s">
        <v>4783</v>
      </c>
      <c r="B483" s="16" t="str">
        <f>TRIM("玉川小学校")</f>
        <v>玉川小学校</v>
      </c>
      <c r="C483" s="14" t="s">
        <v>1527</v>
      </c>
      <c r="D483" s="14" t="s">
        <v>304</v>
      </c>
      <c r="E483" s="1">
        <v>8194.5400000000009</v>
      </c>
      <c r="F483" s="2"/>
      <c r="G483" s="1">
        <v>5529.55</v>
      </c>
      <c r="H483" s="3"/>
      <c r="I483" s="14" t="s">
        <v>4689</v>
      </c>
    </row>
    <row r="484" spans="1:9" ht="18.75" customHeight="1" x14ac:dyDescent="0.4">
      <c r="A484" s="14" t="s">
        <v>2009</v>
      </c>
      <c r="B484" s="16" t="str">
        <f>TRIM("玉川コミュニティセンター")</f>
        <v>玉川コミュニティセンター</v>
      </c>
      <c r="C484" s="14" t="s">
        <v>1527</v>
      </c>
      <c r="D484" s="14" t="s">
        <v>304</v>
      </c>
      <c r="E484" s="1">
        <v>645.22</v>
      </c>
      <c r="F484" s="2"/>
      <c r="G484" s="1"/>
      <c r="H484" s="3"/>
      <c r="I484" s="14" t="s">
        <v>2001</v>
      </c>
    </row>
    <row r="485" spans="1:9" ht="18.75" customHeight="1" x14ac:dyDescent="0.4">
      <c r="A485" s="14" t="s">
        <v>2370</v>
      </c>
      <c r="B485" s="16" t="str">
        <f>TRIM("もと軌道敷(西野田福島線)")</f>
        <v>もと軌道敷(西野田福島線)</v>
      </c>
      <c r="C485" s="14" t="s">
        <v>1527</v>
      </c>
      <c r="D485" s="14" t="s">
        <v>304</v>
      </c>
      <c r="E485" s="1">
        <v>10785.37</v>
      </c>
      <c r="F485" s="2"/>
      <c r="G485" s="1"/>
      <c r="H485" s="3"/>
      <c r="I485" s="14" t="s">
        <v>2177</v>
      </c>
    </row>
    <row r="486" spans="1:9" ht="18.75" customHeight="1" x14ac:dyDescent="0.4">
      <c r="A486" s="14" t="s">
        <v>2656</v>
      </c>
      <c r="B486" s="16" t="str">
        <f>TRIM("　玉川公園")</f>
        <v>玉川公園</v>
      </c>
      <c r="C486" s="14" t="s">
        <v>1527</v>
      </c>
      <c r="D486" s="14" t="s">
        <v>304</v>
      </c>
      <c r="E486" s="1">
        <v>923.37</v>
      </c>
      <c r="F486" s="2"/>
      <c r="G486" s="1"/>
      <c r="H486" s="3"/>
      <c r="I486" s="14" t="s">
        <v>2177</v>
      </c>
    </row>
    <row r="487" spans="1:9" ht="18.75" customHeight="1" x14ac:dyDescent="0.4">
      <c r="A487" s="14" t="s">
        <v>2658</v>
      </c>
      <c r="B487" s="16" t="str">
        <f>TRIM("　玉川南公園")</f>
        <v>玉川南公園</v>
      </c>
      <c r="C487" s="14" t="s">
        <v>1527</v>
      </c>
      <c r="D487" s="14" t="s">
        <v>304</v>
      </c>
      <c r="E487" s="1">
        <v>1304.6300000000001</v>
      </c>
      <c r="F487" s="2"/>
      <c r="G487" s="1"/>
      <c r="H487" s="3"/>
      <c r="I487" s="14" t="s">
        <v>2177</v>
      </c>
    </row>
    <row r="488" spans="1:9" ht="18.75" customHeight="1" x14ac:dyDescent="0.4">
      <c r="A488" s="14" t="s">
        <v>5314</v>
      </c>
      <c r="B488" s="16" t="str">
        <f>TRIM("防火水槽用地（福島）")</f>
        <v>防火水槽用地（福島）</v>
      </c>
      <c r="C488" s="14" t="s">
        <v>1527</v>
      </c>
      <c r="D488" s="14" t="s">
        <v>304</v>
      </c>
      <c r="E488" s="1">
        <v>51</v>
      </c>
      <c r="F488" s="2"/>
      <c r="G488" s="1"/>
      <c r="H488" s="3"/>
      <c r="I488" s="14" t="s">
        <v>5219</v>
      </c>
    </row>
    <row r="489" spans="1:9" ht="18.75" customHeight="1" x14ac:dyDescent="0.4">
      <c r="A489" s="14" t="s">
        <v>5604</v>
      </c>
      <c r="B489" s="16" t="str">
        <f>TRIM("もと軌道敷（西野田福島線）")</f>
        <v>もと軌道敷（西野田福島線）</v>
      </c>
      <c r="C489" s="14" t="s">
        <v>1527</v>
      </c>
      <c r="D489" s="14" t="s">
        <v>304</v>
      </c>
      <c r="E489" s="1">
        <v>954.29</v>
      </c>
      <c r="F489" s="2"/>
      <c r="G489" s="1"/>
      <c r="H489" s="3"/>
      <c r="I489" s="14" t="s">
        <v>5349</v>
      </c>
    </row>
    <row r="490" spans="1:9" ht="18.75" customHeight="1" x14ac:dyDescent="0.4">
      <c r="A490" s="14" t="s">
        <v>2657</v>
      </c>
      <c r="B490" s="16" t="str">
        <f>TRIM("　玉川西公園")</f>
        <v>玉川西公園</v>
      </c>
      <c r="C490" s="14" t="s">
        <v>1527</v>
      </c>
      <c r="D490" s="14" t="s">
        <v>133</v>
      </c>
      <c r="E490" s="1">
        <v>672.48</v>
      </c>
      <c r="F490" s="2"/>
      <c r="G490" s="1"/>
      <c r="H490" s="3"/>
      <c r="I490" s="14" t="s">
        <v>2177</v>
      </c>
    </row>
    <row r="491" spans="1:9" ht="18.75" customHeight="1" x14ac:dyDescent="0.4">
      <c r="A491" s="14" t="s">
        <v>5369</v>
      </c>
      <c r="B491" s="16" t="str">
        <f>TRIM("もと下福島中学校代替地（児童遊園）")</f>
        <v>もと下福島中学校代替地（児童遊園）</v>
      </c>
      <c r="C491" s="14" t="s">
        <v>1527</v>
      </c>
      <c r="D491" s="14" t="s">
        <v>133</v>
      </c>
      <c r="E491" s="1">
        <v>367.33</v>
      </c>
      <c r="F491" s="2"/>
      <c r="G491" s="1"/>
      <c r="H491" s="3"/>
      <c r="I491" s="14" t="s">
        <v>5349</v>
      </c>
    </row>
    <row r="492" spans="1:9" ht="18.75" customHeight="1" x14ac:dyDescent="0.4">
      <c r="A492" s="14" t="s">
        <v>7163</v>
      </c>
      <c r="B492" s="16" t="str">
        <f>TRIM("中央卸売市場本場")</f>
        <v>中央卸売市場本場</v>
      </c>
      <c r="C492" s="14" t="s">
        <v>1527</v>
      </c>
      <c r="D492" s="14" t="s">
        <v>94</v>
      </c>
      <c r="E492" s="1">
        <v>164141.70000000001</v>
      </c>
      <c r="F492" s="2"/>
      <c r="G492" s="1">
        <v>311246.31</v>
      </c>
      <c r="H492" s="3"/>
      <c r="I492" s="14" t="s">
        <v>7159</v>
      </c>
    </row>
    <row r="493" spans="1:9" ht="18.75" customHeight="1" x14ac:dyDescent="0.4">
      <c r="A493" s="14" t="s">
        <v>5934</v>
      </c>
      <c r="B493" s="16" t="str">
        <f>TRIM("野田保育所")</f>
        <v>野田保育所</v>
      </c>
      <c r="C493" s="14" t="s">
        <v>1527</v>
      </c>
      <c r="D493" s="14" t="s">
        <v>38</v>
      </c>
      <c r="E493" s="1">
        <v>677.58</v>
      </c>
      <c r="F493" s="2"/>
      <c r="G493" s="1">
        <v>350</v>
      </c>
      <c r="H493" s="3"/>
      <c r="I493" s="14" t="s">
        <v>5617</v>
      </c>
    </row>
    <row r="494" spans="1:9" ht="18.75" customHeight="1" x14ac:dyDescent="0.4">
      <c r="A494" s="14" t="s">
        <v>7052</v>
      </c>
      <c r="B494" s="16" t="str">
        <f>TRIM("野田小売施設（もと西野田小売市場民営活性化事業施設）")</f>
        <v>野田小売施設（もと西野田小売市場民営活性化事業施設）</v>
      </c>
      <c r="C494" s="14" t="s">
        <v>1527</v>
      </c>
      <c r="D494" s="14" t="s">
        <v>38</v>
      </c>
      <c r="E494" s="1">
        <v>1993.72</v>
      </c>
      <c r="F494" s="2"/>
      <c r="G494" s="1">
        <v>943.09</v>
      </c>
      <c r="H494" s="3" t="s">
        <v>7353</v>
      </c>
      <c r="I494" s="14" t="s">
        <v>4115</v>
      </c>
    </row>
    <row r="495" spans="1:9" ht="18.75" customHeight="1" x14ac:dyDescent="0.4">
      <c r="A495" s="14" t="s">
        <v>2998</v>
      </c>
      <c r="B495" s="16" t="str">
        <f>TRIM("　大野東公園")</f>
        <v>大野東公園</v>
      </c>
      <c r="C495" s="14" t="s">
        <v>1527</v>
      </c>
      <c r="D495" s="14" t="s">
        <v>38</v>
      </c>
      <c r="E495" s="1">
        <v>1423.33</v>
      </c>
      <c r="F495" s="2"/>
      <c r="G495" s="1"/>
      <c r="H495" s="3"/>
      <c r="I495" s="14" t="s">
        <v>2177</v>
      </c>
    </row>
    <row r="496" spans="1:9" ht="18.75" customHeight="1" x14ac:dyDescent="0.4">
      <c r="A496" s="14" t="s">
        <v>7164</v>
      </c>
      <c r="B496" s="16" t="str">
        <f>TRIM("中央卸売市場本場施設整備用地")</f>
        <v>中央卸売市場本場施設整備用地</v>
      </c>
      <c r="C496" s="14" t="s">
        <v>1527</v>
      </c>
      <c r="D496" s="14" t="s">
        <v>38</v>
      </c>
      <c r="E496" s="1">
        <v>1759.5</v>
      </c>
      <c r="F496" s="2"/>
      <c r="G496" s="1"/>
      <c r="H496" s="3"/>
      <c r="I496" s="14" t="s">
        <v>7159</v>
      </c>
    </row>
    <row r="497" spans="1:9" ht="18.75" customHeight="1" x14ac:dyDescent="0.4">
      <c r="A497" s="14" t="s">
        <v>5596</v>
      </c>
      <c r="B497" s="16" t="str">
        <f>TRIM("野田用地")</f>
        <v>野田用地</v>
      </c>
      <c r="C497" s="14" t="s">
        <v>1527</v>
      </c>
      <c r="D497" s="14" t="s">
        <v>299</v>
      </c>
      <c r="E497" s="1">
        <v>198.69</v>
      </c>
      <c r="F497" s="2">
        <v>1519</v>
      </c>
      <c r="G497" s="1"/>
      <c r="H497" s="3"/>
      <c r="I497" s="14" t="s">
        <v>5349</v>
      </c>
    </row>
    <row r="498" spans="1:9" ht="18.75" customHeight="1" x14ac:dyDescent="0.4">
      <c r="A498" s="14" t="s">
        <v>3503</v>
      </c>
      <c r="B498" s="16" t="str">
        <f>TRIM("野田公園")</f>
        <v>野田公園</v>
      </c>
      <c r="C498" s="14" t="s">
        <v>1527</v>
      </c>
      <c r="D498" s="14" t="s">
        <v>92</v>
      </c>
      <c r="E498" s="1">
        <v>1123.58</v>
      </c>
      <c r="F498" s="2"/>
      <c r="G498" s="1"/>
      <c r="H498" s="3"/>
      <c r="I498" s="14" t="s">
        <v>2177</v>
      </c>
    </row>
    <row r="499" spans="1:9" ht="18.75" customHeight="1" x14ac:dyDescent="0.4">
      <c r="A499" s="14" t="s">
        <v>7161</v>
      </c>
      <c r="B499" s="16" t="str">
        <f>TRIM("もと中央卸売市場本場")</f>
        <v>もと中央卸売市場本場</v>
      </c>
      <c r="C499" s="14" t="s">
        <v>1527</v>
      </c>
      <c r="D499" s="14" t="s">
        <v>92</v>
      </c>
      <c r="E499" s="1">
        <v>743.36</v>
      </c>
      <c r="F499" s="2"/>
      <c r="G499" s="1"/>
      <c r="H499" s="3"/>
      <c r="I499" s="14" t="s">
        <v>7159</v>
      </c>
    </row>
    <row r="500" spans="1:9" ht="18.75" customHeight="1" x14ac:dyDescent="0.4">
      <c r="A500" s="14" t="s">
        <v>4373</v>
      </c>
      <c r="B500" s="16" t="str">
        <f>TRIM("野田コミュニティセンター")</f>
        <v>野田コミュニティセンター</v>
      </c>
      <c r="C500" s="14" t="s">
        <v>1527</v>
      </c>
      <c r="D500" s="14" t="s">
        <v>190</v>
      </c>
      <c r="E500" s="1">
        <v>661.82</v>
      </c>
      <c r="F500" s="2"/>
      <c r="G500" s="1">
        <v>580.13</v>
      </c>
      <c r="H500" s="3"/>
      <c r="I500" s="14" t="s">
        <v>2001</v>
      </c>
    </row>
    <row r="501" spans="1:9" ht="18.75" customHeight="1" x14ac:dyDescent="0.4">
      <c r="A501" s="14" t="s">
        <v>5123</v>
      </c>
      <c r="B501" s="16" t="str">
        <f>TRIM("野田小学校")</f>
        <v>野田小学校</v>
      </c>
      <c r="C501" s="14" t="s">
        <v>1527</v>
      </c>
      <c r="D501" s="14" t="s">
        <v>190</v>
      </c>
      <c r="E501" s="1">
        <v>5543.79</v>
      </c>
      <c r="F501" s="2"/>
      <c r="G501" s="1">
        <v>5976.24</v>
      </c>
      <c r="H501" s="3"/>
      <c r="I501" s="14" t="s">
        <v>4689</v>
      </c>
    </row>
    <row r="502" spans="1:9" ht="18.75" customHeight="1" x14ac:dyDescent="0.4">
      <c r="A502" s="14" t="s">
        <v>2997</v>
      </c>
      <c r="B502" s="16" t="str">
        <f>TRIM("　大野町公園")</f>
        <v>大野町公園</v>
      </c>
      <c r="C502" s="14" t="s">
        <v>1527</v>
      </c>
      <c r="D502" s="14" t="s">
        <v>190</v>
      </c>
      <c r="E502" s="1">
        <v>1202.93</v>
      </c>
      <c r="F502" s="2"/>
      <c r="G502" s="1"/>
      <c r="H502" s="3"/>
      <c r="I502" s="14" t="s">
        <v>2177</v>
      </c>
    </row>
    <row r="503" spans="1:9" ht="18.75" customHeight="1" x14ac:dyDescent="0.4">
      <c r="A503" s="14" t="s">
        <v>3347</v>
      </c>
      <c r="B503" s="16" t="str">
        <f>TRIM("　野田緑道")</f>
        <v>野田緑道</v>
      </c>
      <c r="C503" s="14" t="s">
        <v>1527</v>
      </c>
      <c r="D503" s="14" t="s">
        <v>190</v>
      </c>
      <c r="E503" s="1">
        <v>2858.49</v>
      </c>
      <c r="F503" s="2"/>
      <c r="G503" s="1"/>
      <c r="H503" s="3"/>
      <c r="I503" s="14" t="s">
        <v>2177</v>
      </c>
    </row>
    <row r="504" spans="1:9" ht="18.75" customHeight="1" x14ac:dyDescent="0.4">
      <c r="A504" s="14" t="s">
        <v>5443</v>
      </c>
      <c r="B504" s="16" t="str">
        <f>TRIM("もと野田保育所（コミュニティ用地等）")</f>
        <v>もと野田保育所（コミュニティ用地等）</v>
      </c>
      <c r="C504" s="14" t="s">
        <v>1527</v>
      </c>
      <c r="D504" s="14" t="s">
        <v>190</v>
      </c>
      <c r="E504" s="1">
        <v>567.35</v>
      </c>
      <c r="F504" s="2"/>
      <c r="G504" s="1"/>
      <c r="H504" s="3"/>
      <c r="I504" s="14" t="s">
        <v>5349</v>
      </c>
    </row>
    <row r="505" spans="1:9" ht="18.75" customHeight="1" x14ac:dyDescent="0.4">
      <c r="A505" s="14" t="s">
        <v>3987</v>
      </c>
      <c r="B505" s="16" t="str">
        <f>TRIM("野田工営所")</f>
        <v>野田工営所</v>
      </c>
      <c r="C505" s="14" t="s">
        <v>1527</v>
      </c>
      <c r="D505" s="14" t="s">
        <v>310</v>
      </c>
      <c r="E505" s="1">
        <v>2519.21</v>
      </c>
      <c r="F505" s="2"/>
      <c r="G505" s="1">
        <v>2558.7399999999998</v>
      </c>
      <c r="H505" s="3"/>
      <c r="I505" s="14" t="s">
        <v>2177</v>
      </c>
    </row>
    <row r="506" spans="1:9" ht="18.75" customHeight="1" x14ac:dyDescent="0.4">
      <c r="A506" s="14" t="s">
        <v>2369</v>
      </c>
      <c r="B506" s="16" t="str">
        <f>TRIM("もと軌道敷(西野田線)")</f>
        <v>もと軌道敷(西野田線)</v>
      </c>
      <c r="C506" s="14" t="s">
        <v>1527</v>
      </c>
      <c r="D506" s="14" t="s">
        <v>310</v>
      </c>
      <c r="E506" s="1">
        <v>23181.89</v>
      </c>
      <c r="F506" s="2"/>
      <c r="G506" s="1"/>
      <c r="H506" s="3"/>
      <c r="I506" s="14" t="s">
        <v>2177</v>
      </c>
    </row>
    <row r="507" spans="1:9" ht="18.75" customHeight="1" x14ac:dyDescent="0.4">
      <c r="A507" s="14" t="s">
        <v>5610</v>
      </c>
      <c r="B507" s="16" t="str">
        <f>TRIM("もと契約管財局賃貸地（福島）")</f>
        <v>もと契約管財局賃貸地（福島）</v>
      </c>
      <c r="C507" s="14" t="s">
        <v>1527</v>
      </c>
      <c r="D507" s="14" t="s">
        <v>310</v>
      </c>
      <c r="E507" s="1">
        <v>169.06</v>
      </c>
      <c r="F507" s="2"/>
      <c r="G507" s="1"/>
      <c r="H507" s="3"/>
      <c r="I507" s="14" t="s">
        <v>5349</v>
      </c>
    </row>
    <row r="508" spans="1:9" ht="18.75" customHeight="1" x14ac:dyDescent="0.4">
      <c r="A508" s="14" t="s">
        <v>3999</v>
      </c>
      <c r="B508" s="16" t="str">
        <f>TRIM("もと下水道用地（福島）")</f>
        <v>もと下水道用地（福島）</v>
      </c>
      <c r="C508" s="14" t="s">
        <v>1527</v>
      </c>
      <c r="D508" s="14" t="s">
        <v>1312</v>
      </c>
      <c r="E508" s="1">
        <v>3.43</v>
      </c>
      <c r="F508" s="2"/>
      <c r="G508" s="1"/>
      <c r="H508" s="3"/>
      <c r="I508" s="14" t="s">
        <v>2177</v>
      </c>
    </row>
    <row r="509" spans="1:9" ht="18.75" customHeight="1" x14ac:dyDescent="0.4">
      <c r="A509" s="14" t="s">
        <v>4031</v>
      </c>
      <c r="B509" s="16" t="str">
        <f>TRIM("下水道用地（福島）")</f>
        <v>下水道用地（福島）</v>
      </c>
      <c r="C509" s="14" t="s">
        <v>1527</v>
      </c>
      <c r="D509" s="14" t="s">
        <v>1319</v>
      </c>
      <c r="E509" s="1">
        <v>55738.8</v>
      </c>
      <c r="F509" s="2"/>
      <c r="G509" s="1"/>
      <c r="H509" s="3"/>
      <c r="I509" s="14" t="s">
        <v>2177</v>
      </c>
    </row>
    <row r="510" spans="1:9" ht="18.75" customHeight="1" x14ac:dyDescent="0.4">
      <c r="A510" s="14" t="s">
        <v>5078</v>
      </c>
      <c r="B510" s="16" t="str">
        <f>TRIM("福島小学校")</f>
        <v>福島小学校</v>
      </c>
      <c r="C510" s="14" t="s">
        <v>1527</v>
      </c>
      <c r="D510" s="14" t="s">
        <v>1012</v>
      </c>
      <c r="E510" s="1">
        <v>4473.91</v>
      </c>
      <c r="F510" s="2"/>
      <c r="G510" s="1">
        <v>5658.3</v>
      </c>
      <c r="H510" s="3"/>
      <c r="I510" s="14" t="s">
        <v>4689</v>
      </c>
    </row>
    <row r="511" spans="1:9" ht="18.75" customHeight="1" x14ac:dyDescent="0.4">
      <c r="A511" s="14" t="s">
        <v>5299</v>
      </c>
      <c r="B511" s="16" t="str">
        <f>TRIM("福島消防署上福島出張所")</f>
        <v>福島消防署上福島出張所</v>
      </c>
      <c r="C511" s="14" t="s">
        <v>1527</v>
      </c>
      <c r="D511" s="14" t="s">
        <v>1012</v>
      </c>
      <c r="E511" s="1">
        <v>454.41</v>
      </c>
      <c r="F511" s="2"/>
      <c r="G511" s="1">
        <v>803.05</v>
      </c>
      <c r="H511" s="3"/>
      <c r="I511" s="14" t="s">
        <v>5219</v>
      </c>
    </row>
    <row r="512" spans="1:9" ht="18.75" customHeight="1" x14ac:dyDescent="0.4">
      <c r="A512" s="14" t="s">
        <v>2596</v>
      </c>
      <c r="B512" s="16" t="str">
        <f>TRIM("　下福島公園")</f>
        <v>下福島公園</v>
      </c>
      <c r="C512" s="14" t="s">
        <v>1527</v>
      </c>
      <c r="D512" s="14" t="s">
        <v>1012</v>
      </c>
      <c r="E512" s="1">
        <v>38019.79</v>
      </c>
      <c r="F512" s="2"/>
      <c r="G512" s="1"/>
      <c r="H512" s="3"/>
      <c r="I512" s="14" t="s">
        <v>2177</v>
      </c>
    </row>
    <row r="513" spans="1:9" ht="18.75" customHeight="1" x14ac:dyDescent="0.4">
      <c r="A513" s="14" t="s">
        <v>3538</v>
      </c>
      <c r="B513" s="16" t="str">
        <f>TRIM("　下福島公園")</f>
        <v>下福島公園</v>
      </c>
      <c r="C513" s="14" t="s">
        <v>1527</v>
      </c>
      <c r="D513" s="14" t="s">
        <v>1012</v>
      </c>
      <c r="E513" s="1"/>
      <c r="F513" s="2"/>
      <c r="G513" s="1">
        <v>211.24</v>
      </c>
      <c r="H513" s="3"/>
      <c r="I513" s="14" t="s">
        <v>2177</v>
      </c>
    </row>
    <row r="514" spans="1:9" ht="18.75" customHeight="1" x14ac:dyDescent="0.4">
      <c r="A514" s="14" t="s">
        <v>7140</v>
      </c>
      <c r="B514" s="16" t="str">
        <f>TRIM("下福島プール")</f>
        <v>下福島プール</v>
      </c>
      <c r="C514" s="14" t="s">
        <v>1527</v>
      </c>
      <c r="D514" s="14" t="s">
        <v>1012</v>
      </c>
      <c r="E514" s="1"/>
      <c r="F514" s="2"/>
      <c r="G514" s="1">
        <v>3488</v>
      </c>
      <c r="H514" s="3"/>
      <c r="I514" s="14" t="s">
        <v>4115</v>
      </c>
    </row>
    <row r="515" spans="1:9" ht="18.75" customHeight="1" x14ac:dyDescent="0.4">
      <c r="A515" s="14" t="s">
        <v>3257</v>
      </c>
      <c r="B515" s="16" t="str">
        <f>TRIM("　福島公園")</f>
        <v>福島公園</v>
      </c>
      <c r="C515" s="14" t="s">
        <v>1527</v>
      </c>
      <c r="D515" s="14" t="s">
        <v>1226</v>
      </c>
      <c r="E515" s="1">
        <v>2976</v>
      </c>
      <c r="F515" s="2"/>
      <c r="G515" s="1"/>
      <c r="H515" s="3"/>
      <c r="I515" s="14" t="s">
        <v>2177</v>
      </c>
    </row>
    <row r="516" spans="1:9" ht="18.75" customHeight="1" x14ac:dyDescent="0.4">
      <c r="A516" s="14" t="s">
        <v>3703</v>
      </c>
      <c r="B516" s="16" t="str">
        <f>TRIM("福島公園")</f>
        <v>福島公園</v>
      </c>
      <c r="C516" s="14" t="s">
        <v>1527</v>
      </c>
      <c r="D516" s="14" t="s">
        <v>1226</v>
      </c>
      <c r="E516" s="1"/>
      <c r="F516" s="2"/>
      <c r="G516" s="1">
        <v>19.2</v>
      </c>
      <c r="H516" s="3"/>
      <c r="I516" s="14" t="s">
        <v>2177</v>
      </c>
    </row>
    <row r="517" spans="1:9" ht="18.75" customHeight="1" x14ac:dyDescent="0.4">
      <c r="A517" s="14" t="s">
        <v>3931</v>
      </c>
      <c r="B517" s="16" t="str">
        <f>TRIM("福島駅自転車駐車場管理事務所")</f>
        <v>福島駅自転車駐車場管理事務所</v>
      </c>
      <c r="C517" s="14" t="s">
        <v>1527</v>
      </c>
      <c r="D517" s="14" t="s">
        <v>1226</v>
      </c>
      <c r="E517" s="1"/>
      <c r="F517" s="2"/>
      <c r="G517" s="1">
        <v>12.56</v>
      </c>
      <c r="H517" s="3"/>
      <c r="I517" s="14" t="s">
        <v>2177</v>
      </c>
    </row>
    <row r="518" spans="1:9" ht="18.75" customHeight="1" x14ac:dyDescent="0.4">
      <c r="A518" s="14" t="s">
        <v>2313</v>
      </c>
      <c r="B518" s="16" t="str">
        <f>TRIM("道路（福島）（管財課）")</f>
        <v>道路（福島）（管財課）</v>
      </c>
      <c r="C518" s="14" t="s">
        <v>1527</v>
      </c>
      <c r="D518" s="14" t="s">
        <v>958</v>
      </c>
      <c r="E518" s="1">
        <v>534907.18999999994</v>
      </c>
      <c r="F518" s="2"/>
      <c r="G518" s="1"/>
      <c r="H518" s="3"/>
      <c r="I518" s="14" t="s">
        <v>2177</v>
      </c>
    </row>
    <row r="519" spans="1:9" ht="18.75" customHeight="1" x14ac:dyDescent="0.4">
      <c r="A519" s="14" t="s">
        <v>2825</v>
      </c>
      <c r="B519" s="16" t="str">
        <f>TRIM("　上福島東公園")</f>
        <v>上福島東公園</v>
      </c>
      <c r="C519" s="14" t="s">
        <v>1527</v>
      </c>
      <c r="D519" s="14" t="s">
        <v>958</v>
      </c>
      <c r="E519" s="1">
        <v>1404</v>
      </c>
      <c r="F519" s="2"/>
      <c r="G519" s="1"/>
      <c r="H519" s="3"/>
      <c r="I519" s="14" t="s">
        <v>2177</v>
      </c>
    </row>
    <row r="520" spans="1:9" ht="18.75" customHeight="1" x14ac:dyDescent="0.4">
      <c r="A520" s="14" t="s">
        <v>4865</v>
      </c>
      <c r="B520" s="16" t="str">
        <f>TRIM("上福島小学校")</f>
        <v>上福島小学校</v>
      </c>
      <c r="C520" s="14" t="s">
        <v>1527</v>
      </c>
      <c r="D520" s="14" t="s">
        <v>1087</v>
      </c>
      <c r="E520" s="1">
        <v>5557.89</v>
      </c>
      <c r="F520" s="2"/>
      <c r="G520" s="1">
        <v>6953.82</v>
      </c>
      <c r="H520" s="3"/>
      <c r="I520" s="14" t="s">
        <v>4689</v>
      </c>
    </row>
    <row r="521" spans="1:9" ht="18.75" customHeight="1" x14ac:dyDescent="0.4">
      <c r="A521" s="14" t="s">
        <v>2824</v>
      </c>
      <c r="B521" s="16" t="str">
        <f>TRIM("　上福島公園")</f>
        <v>上福島公園</v>
      </c>
      <c r="C521" s="14" t="s">
        <v>1527</v>
      </c>
      <c r="D521" s="14" t="s">
        <v>1087</v>
      </c>
      <c r="E521" s="1">
        <v>1672</v>
      </c>
      <c r="F521" s="2"/>
      <c r="G521" s="1"/>
      <c r="H521" s="3"/>
      <c r="I521" s="14" t="s">
        <v>2177</v>
      </c>
    </row>
    <row r="522" spans="1:9" ht="18.75" customHeight="1" x14ac:dyDescent="0.4">
      <c r="A522" s="14" t="s">
        <v>2826</v>
      </c>
      <c r="B522" s="16" t="str">
        <f>TRIM("　上福島北公園")</f>
        <v>上福島北公園</v>
      </c>
      <c r="C522" s="14" t="s">
        <v>1527</v>
      </c>
      <c r="D522" s="14" t="s">
        <v>1087</v>
      </c>
      <c r="E522" s="1">
        <v>1732.06</v>
      </c>
      <c r="F522" s="2"/>
      <c r="G522" s="1"/>
      <c r="H522" s="3"/>
      <c r="I522" s="14" t="s">
        <v>2177</v>
      </c>
    </row>
    <row r="523" spans="1:9" ht="18.75" customHeight="1" x14ac:dyDescent="0.4">
      <c r="A523" s="14" t="s">
        <v>2827</v>
      </c>
      <c r="B523" s="16" t="str">
        <f>TRIM("　上福島北公園（福島）")</f>
        <v>上福島北公園（福島）</v>
      </c>
      <c r="C523" s="14" t="s">
        <v>1527</v>
      </c>
      <c r="D523" s="14" t="s">
        <v>1087</v>
      </c>
      <c r="E523" s="1">
        <v>3869</v>
      </c>
      <c r="F523" s="2"/>
      <c r="G523" s="1"/>
      <c r="H523" s="3"/>
      <c r="I523" s="14" t="s">
        <v>2177</v>
      </c>
    </row>
    <row r="524" spans="1:9" ht="18.75" customHeight="1" x14ac:dyDescent="0.4">
      <c r="A524" s="14" t="s">
        <v>3578</v>
      </c>
      <c r="B524" s="16" t="str">
        <f>TRIM("　上福島北公園")</f>
        <v>上福島北公園</v>
      </c>
      <c r="C524" s="14" t="s">
        <v>1527</v>
      </c>
      <c r="D524" s="14" t="s">
        <v>1087</v>
      </c>
      <c r="E524" s="1"/>
      <c r="F524" s="2"/>
      <c r="G524" s="1">
        <v>18.239999999999998</v>
      </c>
      <c r="H524" s="3"/>
      <c r="I524" s="14" t="s">
        <v>2177</v>
      </c>
    </row>
    <row r="525" spans="1:9" ht="18.75" customHeight="1" x14ac:dyDescent="0.4">
      <c r="A525" s="14" t="s">
        <v>3930</v>
      </c>
      <c r="B525" s="16" t="str">
        <f>TRIM("福島駅自転車駐車場管理ボックス")</f>
        <v>福島駅自転車駐車場管理ボックス</v>
      </c>
      <c r="C525" s="14" t="s">
        <v>1527</v>
      </c>
      <c r="D525" s="14" t="s">
        <v>1087</v>
      </c>
      <c r="E525" s="1"/>
      <c r="F525" s="2"/>
      <c r="G525" s="1">
        <v>1.44</v>
      </c>
      <c r="H525" s="3"/>
      <c r="I525" s="14" t="s">
        <v>2177</v>
      </c>
    </row>
    <row r="526" spans="1:9" ht="18.75" customHeight="1" x14ac:dyDescent="0.4">
      <c r="A526" s="14" t="s">
        <v>2049</v>
      </c>
      <c r="B526" s="16" t="str">
        <f>TRIM("上福島コミュニティセンター")</f>
        <v>上福島コミュニティセンター</v>
      </c>
      <c r="C526" s="14" t="s">
        <v>1527</v>
      </c>
      <c r="D526" s="14" t="s">
        <v>1449</v>
      </c>
      <c r="E526" s="1">
        <v>410.35</v>
      </c>
      <c r="F526" s="2"/>
      <c r="G526" s="1"/>
      <c r="H526" s="3"/>
      <c r="I526" s="14" t="s">
        <v>2001</v>
      </c>
    </row>
    <row r="527" spans="1:9" ht="18.75" customHeight="1" x14ac:dyDescent="0.4">
      <c r="A527" s="14" t="s">
        <v>2278</v>
      </c>
      <c r="B527" s="16" t="str">
        <f>TRIM("大阪臨海線（福島）（管財課）")</f>
        <v>大阪臨海線（福島）（管財課）</v>
      </c>
      <c r="C527" s="14" t="s">
        <v>1527</v>
      </c>
      <c r="D527" s="14" t="s">
        <v>946</v>
      </c>
      <c r="E527" s="1">
        <v>28301.59</v>
      </c>
      <c r="F527" s="2"/>
      <c r="G527" s="1"/>
      <c r="H527" s="3"/>
      <c r="I527" s="14" t="s">
        <v>2177</v>
      </c>
    </row>
    <row r="528" spans="1:9" ht="18.75" customHeight="1" x14ac:dyDescent="0.4">
      <c r="A528" s="14" t="s">
        <v>3039</v>
      </c>
      <c r="B528" s="16" t="str">
        <f>TRIM("　中江町公園")</f>
        <v>中江町公園</v>
      </c>
      <c r="C528" s="14" t="s">
        <v>1527</v>
      </c>
      <c r="D528" s="14" t="s">
        <v>946</v>
      </c>
      <c r="E528" s="1">
        <v>464.21</v>
      </c>
      <c r="F528" s="2"/>
      <c r="G528" s="1"/>
      <c r="H528" s="3"/>
      <c r="I528" s="14" t="s">
        <v>2177</v>
      </c>
    </row>
    <row r="529" spans="1:9" ht="18.75" customHeight="1" x14ac:dyDescent="0.4">
      <c r="A529" s="14" t="s">
        <v>2371</v>
      </c>
      <c r="B529" s="16" t="str">
        <f>TRIM("もと軌道敷(野田線)")</f>
        <v>もと軌道敷(野田線)</v>
      </c>
      <c r="C529" s="14" t="s">
        <v>1527</v>
      </c>
      <c r="D529" s="14" t="s">
        <v>980</v>
      </c>
      <c r="E529" s="1">
        <v>11308.53</v>
      </c>
      <c r="F529" s="2"/>
      <c r="G529" s="1"/>
      <c r="H529" s="3"/>
      <c r="I529" s="14" t="s">
        <v>2177</v>
      </c>
    </row>
    <row r="530" spans="1:9" ht="18.75" customHeight="1" x14ac:dyDescent="0.4">
      <c r="A530" s="14" t="s">
        <v>4372</v>
      </c>
      <c r="B530" s="16" t="str">
        <f>TRIM("福島区民センター")</f>
        <v>福島区民センター</v>
      </c>
      <c r="C530" s="14" t="s">
        <v>1527</v>
      </c>
      <c r="D530" s="14" t="s">
        <v>85</v>
      </c>
      <c r="E530" s="1">
        <v>1611.81</v>
      </c>
      <c r="F530" s="2"/>
      <c r="G530" s="1">
        <v>1971.57</v>
      </c>
      <c r="H530" s="3"/>
      <c r="I530" s="14" t="s">
        <v>2001</v>
      </c>
    </row>
    <row r="531" spans="1:9" ht="18.75" customHeight="1" x14ac:dyDescent="0.4">
      <c r="A531" s="14" t="s">
        <v>4773</v>
      </c>
      <c r="B531" s="16" t="str">
        <f>TRIM("吉野小学校")</f>
        <v>吉野小学校</v>
      </c>
      <c r="C531" s="14" t="s">
        <v>1527</v>
      </c>
      <c r="D531" s="14" t="s">
        <v>85</v>
      </c>
      <c r="E531" s="1">
        <v>6928.92</v>
      </c>
      <c r="F531" s="2"/>
      <c r="G531" s="1">
        <v>6862.29</v>
      </c>
      <c r="H531" s="3"/>
      <c r="I531" s="14" t="s">
        <v>4689</v>
      </c>
    </row>
    <row r="532" spans="1:9" ht="18.75" customHeight="1" x14ac:dyDescent="0.4">
      <c r="A532" s="14" t="s">
        <v>5203</v>
      </c>
      <c r="B532" s="16" t="str">
        <f>TRIM("福島図書館")</f>
        <v>福島図書館</v>
      </c>
      <c r="C532" s="14" t="s">
        <v>1527</v>
      </c>
      <c r="D532" s="14" t="s">
        <v>85</v>
      </c>
      <c r="E532" s="1">
        <v>546.01</v>
      </c>
      <c r="F532" s="2"/>
      <c r="G532" s="1">
        <v>667.68</v>
      </c>
      <c r="H532" s="3"/>
      <c r="I532" s="14" t="s">
        <v>4689</v>
      </c>
    </row>
    <row r="533" spans="1:9" ht="18.75" customHeight="1" x14ac:dyDescent="0.4">
      <c r="A533" s="14" t="s">
        <v>5799</v>
      </c>
      <c r="B533" s="16" t="str">
        <f>TRIM("西野田幼稚園")</f>
        <v>西野田幼稚園</v>
      </c>
      <c r="C533" s="14" t="s">
        <v>1527</v>
      </c>
      <c r="D533" s="14" t="s">
        <v>85</v>
      </c>
      <c r="E533" s="1">
        <v>2511.33</v>
      </c>
      <c r="F533" s="2"/>
      <c r="G533" s="1">
        <v>1382.95</v>
      </c>
      <c r="H533" s="3"/>
      <c r="I533" s="14" t="s">
        <v>5617</v>
      </c>
    </row>
    <row r="534" spans="1:9" ht="18.75" customHeight="1" x14ac:dyDescent="0.4">
      <c r="A534" s="14" t="s">
        <v>2331</v>
      </c>
      <c r="B534" s="16" t="str">
        <f>TRIM("福島桜島線（福島）（管財課）")</f>
        <v>福島桜島線（福島）（管財課）</v>
      </c>
      <c r="C534" s="14" t="s">
        <v>1527</v>
      </c>
      <c r="D534" s="14" t="s">
        <v>85</v>
      </c>
      <c r="E534" s="1">
        <v>54.66</v>
      </c>
      <c r="F534" s="2"/>
      <c r="G534" s="1"/>
      <c r="H534" s="3"/>
      <c r="I534" s="14" t="s">
        <v>2177</v>
      </c>
    </row>
    <row r="535" spans="1:9" ht="18.75" customHeight="1" x14ac:dyDescent="0.4">
      <c r="A535" s="14" t="s">
        <v>2697</v>
      </c>
      <c r="B535" s="16" t="str">
        <f>TRIM("　江成公園")</f>
        <v>江成公園</v>
      </c>
      <c r="C535" s="14" t="s">
        <v>1527</v>
      </c>
      <c r="D535" s="14" t="s">
        <v>85</v>
      </c>
      <c r="E535" s="1">
        <v>4461.72</v>
      </c>
      <c r="F535" s="2"/>
      <c r="G535" s="1"/>
      <c r="H535" s="3"/>
      <c r="I535" s="14" t="s">
        <v>2177</v>
      </c>
    </row>
    <row r="536" spans="1:9" ht="18.75" customHeight="1" x14ac:dyDescent="0.4">
      <c r="A536" s="14" t="s">
        <v>3551</v>
      </c>
      <c r="B536" s="16" t="str">
        <f>TRIM("　江成公園")</f>
        <v>江成公園</v>
      </c>
      <c r="C536" s="14" t="s">
        <v>1527</v>
      </c>
      <c r="D536" s="14" t="s">
        <v>85</v>
      </c>
      <c r="E536" s="1"/>
      <c r="F536" s="2"/>
      <c r="G536" s="1">
        <v>19.2</v>
      </c>
      <c r="H536" s="3"/>
      <c r="I536" s="14" t="s">
        <v>2177</v>
      </c>
    </row>
    <row r="537" spans="1:9" ht="18.75" customHeight="1" x14ac:dyDescent="0.4">
      <c r="A537" s="14" t="s">
        <v>3765</v>
      </c>
      <c r="B537" s="16" t="str">
        <f>TRIM("ＪＲ野田駅・玉川駅自転車駐車場管理事務所")</f>
        <v>ＪＲ野田駅・玉川駅自転車駐車場管理事務所</v>
      </c>
      <c r="C537" s="14" t="s">
        <v>1527</v>
      </c>
      <c r="D537" s="14" t="s">
        <v>85</v>
      </c>
      <c r="E537" s="1"/>
      <c r="F537" s="2"/>
      <c r="G537" s="1">
        <v>12.56</v>
      </c>
      <c r="H537" s="3"/>
      <c r="I537" s="14" t="s">
        <v>2177</v>
      </c>
    </row>
    <row r="538" spans="1:9" ht="18.75" customHeight="1" x14ac:dyDescent="0.4">
      <c r="A538" s="14" t="s">
        <v>3952</v>
      </c>
      <c r="B538" s="16" t="str">
        <f>TRIM("野田駅自転車駐車場－２（自転車施策担当）")</f>
        <v>野田駅自転車駐車場－２（自転車施策担当）</v>
      </c>
      <c r="C538" s="14" t="s">
        <v>1527</v>
      </c>
      <c r="D538" s="14" t="s">
        <v>85</v>
      </c>
      <c r="E538" s="1">
        <v>220.4</v>
      </c>
      <c r="F538" s="2"/>
      <c r="G538" s="1"/>
      <c r="H538" s="3"/>
      <c r="I538" s="14" t="s">
        <v>2177</v>
      </c>
    </row>
    <row r="539" spans="1:9" ht="18.75" customHeight="1" x14ac:dyDescent="0.4">
      <c r="A539" s="14" t="s">
        <v>5850</v>
      </c>
      <c r="B539" s="16" t="str">
        <f>TRIM("吉野保育所")</f>
        <v>吉野保育所</v>
      </c>
      <c r="C539" s="14" t="s">
        <v>1527</v>
      </c>
      <c r="D539" s="14" t="s">
        <v>85</v>
      </c>
      <c r="E539" s="1">
        <v>512.20000000000005</v>
      </c>
      <c r="F539" s="2"/>
      <c r="G539" s="1">
        <v>239.24</v>
      </c>
      <c r="H539" s="3"/>
      <c r="I539" s="14" t="s">
        <v>5617</v>
      </c>
    </row>
    <row r="540" spans="1:9" ht="18.75" customHeight="1" x14ac:dyDescent="0.4">
      <c r="A540" s="14" t="s">
        <v>7130</v>
      </c>
      <c r="B540" s="16" t="str">
        <f>TRIM("福島スポーツセンター")</f>
        <v>福島スポーツセンター</v>
      </c>
      <c r="C540" s="14" t="s">
        <v>1527</v>
      </c>
      <c r="D540" s="14" t="s">
        <v>85</v>
      </c>
      <c r="E540" s="1">
        <v>1040.8499999999999</v>
      </c>
      <c r="F540" s="2"/>
      <c r="G540" s="1">
        <v>1272.6500000000001</v>
      </c>
      <c r="H540" s="3"/>
      <c r="I540" s="14" t="s">
        <v>4115</v>
      </c>
    </row>
    <row r="541" spans="1:9" ht="18.75" customHeight="1" x14ac:dyDescent="0.4">
      <c r="A541" s="14" t="s">
        <v>5161</v>
      </c>
      <c r="B541" s="16" t="str">
        <f>TRIM("もと吉野学校業務サービスセンター")</f>
        <v>もと吉野学校業務サービスセンター</v>
      </c>
      <c r="C541" s="14" t="s">
        <v>1527</v>
      </c>
      <c r="D541" s="14" t="s">
        <v>85</v>
      </c>
      <c r="E541" s="1"/>
      <c r="F541" s="2"/>
      <c r="G541" s="1">
        <v>27.75</v>
      </c>
      <c r="H541" s="3"/>
      <c r="I541" s="14" t="s">
        <v>4689</v>
      </c>
    </row>
    <row r="542" spans="1:9" ht="18.75" customHeight="1" x14ac:dyDescent="0.4">
      <c r="A542" s="14" t="s">
        <v>5297</v>
      </c>
      <c r="B542" s="16" t="str">
        <f>TRIM("福島消防署")</f>
        <v>福島消防署</v>
      </c>
      <c r="C542" s="14" t="s">
        <v>1527</v>
      </c>
      <c r="D542" s="14" t="s">
        <v>85</v>
      </c>
      <c r="E542" s="1">
        <v>1161.9100000000001</v>
      </c>
      <c r="F542" s="2"/>
      <c r="G542" s="1"/>
      <c r="H542" s="3"/>
      <c r="I542" s="14" t="s">
        <v>5219</v>
      </c>
    </row>
    <row r="543" spans="1:9" ht="18.75" customHeight="1" x14ac:dyDescent="0.4">
      <c r="A543" s="14" t="s">
        <v>5336</v>
      </c>
      <c r="B543" s="16" t="str">
        <f>TRIM("福島消防署")</f>
        <v>福島消防署</v>
      </c>
      <c r="C543" s="14" t="s">
        <v>1527</v>
      </c>
      <c r="D543" s="14" t="s">
        <v>85</v>
      </c>
      <c r="E543" s="1"/>
      <c r="F543" s="2"/>
      <c r="G543" s="1">
        <v>3117.17</v>
      </c>
      <c r="H543" s="3"/>
      <c r="I543" s="14" t="s">
        <v>5219</v>
      </c>
    </row>
    <row r="544" spans="1:9" ht="18.75" customHeight="1" x14ac:dyDescent="0.4">
      <c r="A544" s="14" t="s">
        <v>5587</v>
      </c>
      <c r="B544" s="16" t="str">
        <f>TRIM("福島警察署")</f>
        <v>福島警察署</v>
      </c>
      <c r="C544" s="14" t="s">
        <v>1527</v>
      </c>
      <c r="D544" s="14" t="s">
        <v>85</v>
      </c>
      <c r="E544" s="1">
        <v>1927.89</v>
      </c>
      <c r="F544" s="2"/>
      <c r="G544" s="1"/>
      <c r="H544" s="3"/>
      <c r="I544" s="14" t="s">
        <v>5349</v>
      </c>
    </row>
    <row r="545" spans="1:9" ht="18.75" customHeight="1" x14ac:dyDescent="0.4">
      <c r="A545" s="14" t="s">
        <v>5591</v>
      </c>
      <c r="B545" s="16" t="str">
        <f>TRIM("吉野用地")</f>
        <v>吉野用地</v>
      </c>
      <c r="C545" s="14" t="s">
        <v>1527</v>
      </c>
      <c r="D545" s="14" t="s">
        <v>85</v>
      </c>
      <c r="E545" s="1">
        <v>55.74</v>
      </c>
      <c r="F545" s="2"/>
      <c r="G545" s="1"/>
      <c r="H545" s="3"/>
      <c r="I545" s="14" t="s">
        <v>5349</v>
      </c>
    </row>
    <row r="546" spans="1:9" ht="18.75" customHeight="1" x14ac:dyDescent="0.4">
      <c r="A546" s="14" t="s">
        <v>4370</v>
      </c>
      <c r="B546" s="16" t="str">
        <f>TRIM("吉野コミュニティセンター")</f>
        <v>吉野コミュニティセンター</v>
      </c>
      <c r="C546" s="14" t="s">
        <v>1527</v>
      </c>
      <c r="D546" s="14" t="s">
        <v>293</v>
      </c>
      <c r="E546" s="1">
        <v>455.29</v>
      </c>
      <c r="F546" s="2"/>
      <c r="G546" s="1">
        <v>448.78</v>
      </c>
      <c r="H546" s="3"/>
      <c r="I546" s="14" t="s">
        <v>2001</v>
      </c>
    </row>
    <row r="547" spans="1:9" ht="18.75" customHeight="1" x14ac:dyDescent="0.4">
      <c r="A547" s="14" t="s">
        <v>2645</v>
      </c>
      <c r="B547" s="16" t="str">
        <f>TRIM("　吉野町公園")</f>
        <v>吉野町公園</v>
      </c>
      <c r="C547" s="14" t="s">
        <v>1527</v>
      </c>
      <c r="D547" s="14" t="s">
        <v>293</v>
      </c>
      <c r="E547" s="1">
        <v>7386.44</v>
      </c>
      <c r="F547" s="2"/>
      <c r="G547" s="1"/>
      <c r="H547" s="3"/>
      <c r="I547" s="14" t="s">
        <v>2177</v>
      </c>
    </row>
    <row r="548" spans="1:9" ht="18.75" customHeight="1" x14ac:dyDescent="0.4">
      <c r="A548" s="14" t="s">
        <v>3546</v>
      </c>
      <c r="B548" s="16" t="str">
        <f>TRIM("　吉野町公園")</f>
        <v>吉野町公園</v>
      </c>
      <c r="C548" s="14" t="s">
        <v>1527</v>
      </c>
      <c r="D548" s="14" t="s">
        <v>293</v>
      </c>
      <c r="E548" s="1"/>
      <c r="F548" s="2"/>
      <c r="G548" s="1">
        <v>10.8</v>
      </c>
      <c r="H548" s="3"/>
      <c r="I548" s="14" t="s">
        <v>2177</v>
      </c>
    </row>
    <row r="549" spans="1:9" ht="18.75" customHeight="1" x14ac:dyDescent="0.4">
      <c r="A549" s="14" t="s">
        <v>5586</v>
      </c>
      <c r="B549" s="16" t="str">
        <f>TRIM("もと福島警察署")</f>
        <v>もと福島警察署</v>
      </c>
      <c r="C549" s="14" t="s">
        <v>1527</v>
      </c>
      <c r="D549" s="14" t="s">
        <v>293</v>
      </c>
      <c r="E549" s="1">
        <v>98.07</v>
      </c>
      <c r="F549" s="2"/>
      <c r="G549" s="1"/>
      <c r="H549" s="3"/>
      <c r="I549" s="14" t="s">
        <v>5349</v>
      </c>
    </row>
    <row r="550" spans="1:9" ht="18.75" customHeight="1" x14ac:dyDescent="0.4">
      <c r="A550" s="14" t="s">
        <v>5774</v>
      </c>
      <c r="B550" s="16" t="str">
        <f>TRIM("吉野ちとせ保育園")</f>
        <v>吉野ちとせ保育園</v>
      </c>
      <c r="C550" s="14" t="s">
        <v>1527</v>
      </c>
      <c r="D550" s="14" t="s">
        <v>293</v>
      </c>
      <c r="E550" s="1">
        <v>788.33</v>
      </c>
      <c r="F550" s="2"/>
      <c r="G550" s="1"/>
      <c r="H550" s="3"/>
      <c r="I550" s="14" t="s">
        <v>5617</v>
      </c>
    </row>
    <row r="551" spans="1:9" ht="18.75" customHeight="1" x14ac:dyDescent="0.4">
      <c r="A551" s="14" t="s">
        <v>4062</v>
      </c>
      <c r="B551" s="16" t="str">
        <f>TRIM("西野田倉庫")</f>
        <v>西野田倉庫</v>
      </c>
      <c r="C551" s="14" t="s">
        <v>1527</v>
      </c>
      <c r="D551" s="14" t="s">
        <v>427</v>
      </c>
      <c r="E551" s="1">
        <v>1067.57</v>
      </c>
      <c r="F551" s="2"/>
      <c r="G551" s="1">
        <v>886.12</v>
      </c>
      <c r="H551" s="3"/>
      <c r="I551" s="14" t="s">
        <v>2177</v>
      </c>
    </row>
    <row r="552" spans="1:9" ht="18.75" customHeight="1" x14ac:dyDescent="0.4">
      <c r="A552" s="14" t="s">
        <v>5124</v>
      </c>
      <c r="B552" s="16" t="str">
        <f>TRIM("野田中学校")</f>
        <v>野田中学校</v>
      </c>
      <c r="C552" s="14" t="s">
        <v>1527</v>
      </c>
      <c r="D552" s="14" t="s">
        <v>427</v>
      </c>
      <c r="E552" s="1">
        <v>8798.34</v>
      </c>
      <c r="F552" s="2"/>
      <c r="G552" s="1">
        <v>6703.55</v>
      </c>
      <c r="H552" s="3"/>
      <c r="I552" s="14" t="s">
        <v>4689</v>
      </c>
    </row>
    <row r="553" spans="1:9" ht="18.75" customHeight="1" x14ac:dyDescent="0.4">
      <c r="A553" s="14" t="s">
        <v>1960</v>
      </c>
      <c r="B553" s="16" t="str">
        <f>TRIM("特別養護老人ホーム福島ともしび苑・野田地域在宅サービスステーション")</f>
        <v>特別養護老人ホーム福島ともしび苑・野田地域在宅サービスステーション</v>
      </c>
      <c r="C553" s="14" t="s">
        <v>1527</v>
      </c>
      <c r="D553" s="14" t="s">
        <v>427</v>
      </c>
      <c r="E553" s="1">
        <v>1162.74</v>
      </c>
      <c r="F553" s="2"/>
      <c r="G553" s="1"/>
      <c r="H553" s="3"/>
      <c r="I553" s="14" t="s">
        <v>1654</v>
      </c>
    </row>
    <row r="554" spans="1:9" ht="18.75" customHeight="1" x14ac:dyDescent="0.4">
      <c r="A554" s="14" t="s">
        <v>2838</v>
      </c>
      <c r="B554" s="16" t="str">
        <f>TRIM("　新家公園")</f>
        <v>新家公園</v>
      </c>
      <c r="C554" s="14" t="s">
        <v>1527</v>
      </c>
      <c r="D554" s="14" t="s">
        <v>427</v>
      </c>
      <c r="E554" s="1">
        <v>3961.91</v>
      </c>
      <c r="F554" s="2"/>
      <c r="G554" s="1"/>
      <c r="H554" s="3"/>
      <c r="I554" s="14" t="s">
        <v>2177</v>
      </c>
    </row>
    <row r="555" spans="1:9" ht="18.75" customHeight="1" x14ac:dyDescent="0.4">
      <c r="A555" s="14" t="s">
        <v>3580</v>
      </c>
      <c r="B555" s="16" t="str">
        <f>TRIM("　新家公園")</f>
        <v>新家公園</v>
      </c>
      <c r="C555" s="14" t="s">
        <v>1527</v>
      </c>
      <c r="D555" s="14" t="s">
        <v>427</v>
      </c>
      <c r="E555" s="1"/>
      <c r="F555" s="2"/>
      <c r="G555" s="1">
        <v>19.2</v>
      </c>
      <c r="H555" s="3"/>
      <c r="I555" s="14" t="s">
        <v>2177</v>
      </c>
    </row>
    <row r="556" spans="1:9" ht="18.75" customHeight="1" x14ac:dyDescent="0.4">
      <c r="A556" s="14" t="s">
        <v>5870</v>
      </c>
      <c r="B556" s="16" t="str">
        <f>TRIM("新家保育園")</f>
        <v>新家保育園</v>
      </c>
      <c r="C556" s="14" t="s">
        <v>1527</v>
      </c>
      <c r="D556" s="14" t="s">
        <v>427</v>
      </c>
      <c r="E556" s="1">
        <v>885.91</v>
      </c>
      <c r="F556" s="2"/>
      <c r="G556" s="1"/>
      <c r="H556" s="3"/>
      <c r="I556" s="14" t="s">
        <v>5617</v>
      </c>
    </row>
    <row r="557" spans="1:9" ht="18.75" customHeight="1" x14ac:dyDescent="0.4">
      <c r="A557" s="14" t="s">
        <v>5417</v>
      </c>
      <c r="B557" s="16" t="str">
        <f>TRIM("もと朝日橋住宅")</f>
        <v>もと朝日橋住宅</v>
      </c>
      <c r="C557" s="14" t="s">
        <v>1515</v>
      </c>
      <c r="D557" s="14" t="s">
        <v>171</v>
      </c>
      <c r="E557" s="1">
        <v>144.35</v>
      </c>
      <c r="F557" s="2"/>
      <c r="G557" s="1"/>
      <c r="H557" s="3"/>
      <c r="I557" s="14" t="s">
        <v>5349</v>
      </c>
    </row>
    <row r="558" spans="1:9" ht="18.75" customHeight="1" x14ac:dyDescent="0.4">
      <c r="A558" s="14" t="s">
        <v>5454</v>
      </c>
      <c r="B558" s="16" t="str">
        <f>TRIM("過小地（もと住宅用地）")</f>
        <v>過小地（もと住宅用地）</v>
      </c>
      <c r="C558" s="14" t="s">
        <v>1515</v>
      </c>
      <c r="D558" s="14" t="s">
        <v>171</v>
      </c>
      <c r="E558" s="1">
        <v>569.63</v>
      </c>
      <c r="F558" s="2"/>
      <c r="G558" s="1"/>
      <c r="H558" s="3"/>
      <c r="I558" s="14" t="s">
        <v>5349</v>
      </c>
    </row>
    <row r="559" spans="1:9" ht="18.75" customHeight="1" x14ac:dyDescent="0.4">
      <c r="A559" s="14" t="s">
        <v>4004</v>
      </c>
      <c r="B559" s="16" t="str">
        <f>TRIM("旧朝日橋抽水所")</f>
        <v>旧朝日橋抽水所</v>
      </c>
      <c r="C559" s="14" t="s">
        <v>1515</v>
      </c>
      <c r="D559" s="14" t="s">
        <v>1314</v>
      </c>
      <c r="E559" s="1">
        <v>273.36</v>
      </c>
      <c r="F559" s="2"/>
      <c r="G559" s="1"/>
      <c r="H559" s="3"/>
      <c r="I559" s="14" t="s">
        <v>2177</v>
      </c>
    </row>
    <row r="560" spans="1:9" ht="18.75" customHeight="1" x14ac:dyDescent="0.4">
      <c r="A560" s="14" t="s">
        <v>4134</v>
      </c>
      <c r="B560" s="16" t="str">
        <f>TRIM("港湾局賃貸地（此花・一般）")</f>
        <v>港湾局賃貸地（此花・一般）</v>
      </c>
      <c r="C560" s="14" t="s">
        <v>1515</v>
      </c>
      <c r="D560" s="14" t="s">
        <v>1339</v>
      </c>
      <c r="E560" s="1">
        <v>611412.06000000006</v>
      </c>
      <c r="F560" s="2" t="s">
        <v>7318</v>
      </c>
      <c r="G560" s="1"/>
      <c r="H560" s="3"/>
      <c r="I560" s="14" t="s">
        <v>4117</v>
      </c>
    </row>
    <row r="561" spans="1:9" ht="18.75" customHeight="1" x14ac:dyDescent="0.4">
      <c r="A561" s="14" t="s">
        <v>4315</v>
      </c>
      <c r="B561" s="16" t="str">
        <f>TRIM("梅町1号上屋・梅町2号上屋")</f>
        <v>梅町1号上屋・梅町2号上屋</v>
      </c>
      <c r="C561" s="14" t="s">
        <v>1515</v>
      </c>
      <c r="D561" s="14" t="s">
        <v>1338</v>
      </c>
      <c r="E561" s="1">
        <v>6359.24</v>
      </c>
      <c r="F561" s="2"/>
      <c r="G561" s="12">
        <v>2971.9</v>
      </c>
      <c r="H561" s="3"/>
      <c r="I561" s="14" t="s">
        <v>4117</v>
      </c>
    </row>
    <row r="562" spans="1:9" ht="18.75" customHeight="1" x14ac:dyDescent="0.4">
      <c r="A562" s="14" t="s">
        <v>4127</v>
      </c>
      <c r="B562" s="16" t="str">
        <f>TRIM("ＵＳＪ西側地区再開発事業（大阪市土地開発公社経営健全化計画対象地）")</f>
        <v>ＵＳＪ西側地区再開発事業（大阪市土地開発公社経営健全化計画対象地）</v>
      </c>
      <c r="C562" s="14" t="s">
        <v>1515</v>
      </c>
      <c r="D562" s="14" t="s">
        <v>1338</v>
      </c>
      <c r="E562" s="1">
        <v>27368.93</v>
      </c>
      <c r="F562" s="2"/>
      <c r="G562" s="1"/>
      <c r="H562" s="3"/>
      <c r="I562" s="14" t="s">
        <v>4117</v>
      </c>
    </row>
    <row r="563" spans="1:9" ht="18.75" customHeight="1" x14ac:dyDescent="0.4">
      <c r="A563" s="14" t="s">
        <v>4203</v>
      </c>
      <c r="B563" s="16" t="str">
        <f>TRIM("護岸敷（此花・一般）")</f>
        <v>護岸敷（此花・一般）</v>
      </c>
      <c r="C563" s="14" t="s">
        <v>1515</v>
      </c>
      <c r="D563" s="14" t="s">
        <v>1338</v>
      </c>
      <c r="E563" s="1">
        <v>87079.72</v>
      </c>
      <c r="F563" s="2"/>
      <c r="G563" s="1"/>
      <c r="H563" s="3"/>
      <c r="I563" s="14" t="s">
        <v>4117</v>
      </c>
    </row>
    <row r="564" spans="1:9" ht="18.75" customHeight="1" x14ac:dyDescent="0.4">
      <c r="A564" s="14" t="s">
        <v>4221</v>
      </c>
      <c r="B564" s="16" t="str">
        <f>TRIM("岸壁（此花）")</f>
        <v>岸壁（此花）</v>
      </c>
      <c r="C564" s="14" t="s">
        <v>1515</v>
      </c>
      <c r="D564" s="14" t="s">
        <v>1338</v>
      </c>
      <c r="E564" s="1">
        <v>6444.22</v>
      </c>
      <c r="F564" s="2"/>
      <c r="G564" s="1"/>
      <c r="H564" s="3"/>
      <c r="I564" s="14" t="s">
        <v>4117</v>
      </c>
    </row>
    <row r="565" spans="1:9" ht="18.75" customHeight="1" x14ac:dyDescent="0.4">
      <c r="A565" s="14" t="s">
        <v>4376</v>
      </c>
      <c r="B565" s="16" t="str">
        <f>TRIM("此花区役所")</f>
        <v>此花区役所</v>
      </c>
      <c r="C565" s="14" t="s">
        <v>1515</v>
      </c>
      <c r="D565" s="14" t="s">
        <v>222</v>
      </c>
      <c r="E565" s="1">
        <v>5209.34</v>
      </c>
      <c r="F565" s="2"/>
      <c r="G565" s="1">
        <v>4475.1099999999997</v>
      </c>
      <c r="H565" s="3"/>
      <c r="I565" s="14" t="s">
        <v>1793</v>
      </c>
    </row>
    <row r="566" spans="1:9" ht="18.75" customHeight="1" x14ac:dyDescent="0.4">
      <c r="A566" s="14" t="s">
        <v>2368</v>
      </c>
      <c r="B566" s="16" t="str">
        <f>TRIM("もと軌道敷(西野田桜島線)")</f>
        <v>もと軌道敷(西野田桜島線)</v>
      </c>
      <c r="C566" s="14" t="s">
        <v>1515</v>
      </c>
      <c r="D566" s="14" t="s">
        <v>222</v>
      </c>
      <c r="E566" s="1">
        <v>101979.36</v>
      </c>
      <c r="F566" s="2"/>
      <c r="G566" s="1"/>
      <c r="H566" s="3"/>
      <c r="I566" s="14" t="s">
        <v>2177</v>
      </c>
    </row>
    <row r="567" spans="1:9" ht="18.75" customHeight="1" x14ac:dyDescent="0.4">
      <c r="A567" s="14" t="s">
        <v>2719</v>
      </c>
      <c r="B567" s="16" t="str">
        <f>TRIM("　此花公園")</f>
        <v>此花公園</v>
      </c>
      <c r="C567" s="14" t="s">
        <v>1515</v>
      </c>
      <c r="D567" s="14" t="s">
        <v>222</v>
      </c>
      <c r="E567" s="1">
        <v>5208.91</v>
      </c>
      <c r="F567" s="2"/>
      <c r="G567" s="1"/>
      <c r="H567" s="3"/>
      <c r="I567" s="14" t="s">
        <v>2177</v>
      </c>
    </row>
    <row r="568" spans="1:9" ht="18.75" customHeight="1" x14ac:dyDescent="0.4">
      <c r="A568" s="14" t="s">
        <v>3555</v>
      </c>
      <c r="B568" s="16" t="str">
        <f>TRIM("　此花公園")</f>
        <v>此花公園</v>
      </c>
      <c r="C568" s="14" t="s">
        <v>1515</v>
      </c>
      <c r="D568" s="14" t="s">
        <v>222</v>
      </c>
      <c r="E568" s="1"/>
      <c r="F568" s="2"/>
      <c r="G568" s="1">
        <v>19.2</v>
      </c>
      <c r="H568" s="3"/>
      <c r="I568" s="14" t="s">
        <v>2177</v>
      </c>
    </row>
    <row r="569" spans="1:9" ht="18.75" customHeight="1" x14ac:dyDescent="0.4">
      <c r="A569" s="14" t="s">
        <v>4375</v>
      </c>
      <c r="B569" s="16" t="str">
        <f>TRIM("此花区保健福祉センター")</f>
        <v>此花区保健福祉センター</v>
      </c>
      <c r="C569" s="14" t="s">
        <v>1515</v>
      </c>
      <c r="D569" s="14" t="s">
        <v>222</v>
      </c>
      <c r="E569" s="1"/>
      <c r="F569" s="2"/>
      <c r="G569" s="1">
        <v>982.98</v>
      </c>
      <c r="H569" s="3"/>
      <c r="I569" s="14" t="s">
        <v>1793</v>
      </c>
    </row>
    <row r="570" spans="1:9" ht="18.75" customHeight="1" x14ac:dyDescent="0.4">
      <c r="A570" s="14" t="s">
        <v>4380</v>
      </c>
      <c r="B570" s="16" t="str">
        <f>TRIM("此花公園集会所")</f>
        <v>此花公園集会所</v>
      </c>
      <c r="C570" s="14" t="s">
        <v>1515</v>
      </c>
      <c r="D570" s="14" t="s">
        <v>222</v>
      </c>
      <c r="E570" s="1"/>
      <c r="F570" s="2"/>
      <c r="G570" s="1">
        <v>201.22</v>
      </c>
      <c r="H570" s="3"/>
      <c r="I570" s="14" t="s">
        <v>1793</v>
      </c>
    </row>
    <row r="571" spans="1:9" ht="18.75" customHeight="1" x14ac:dyDescent="0.4">
      <c r="A571" s="14" t="s">
        <v>5233</v>
      </c>
      <c r="B571" s="16" t="str">
        <f>TRIM("此花消防署")</f>
        <v>此花消防署</v>
      </c>
      <c r="C571" s="14" t="s">
        <v>1515</v>
      </c>
      <c r="D571" s="14" t="s">
        <v>222</v>
      </c>
      <c r="E571" s="1">
        <v>1883.74</v>
      </c>
      <c r="F571" s="2"/>
      <c r="G571" s="1"/>
      <c r="H571" s="3"/>
      <c r="I571" s="14" t="s">
        <v>5219</v>
      </c>
    </row>
    <row r="572" spans="1:9" ht="18.75" customHeight="1" x14ac:dyDescent="0.4">
      <c r="A572" s="14" t="s">
        <v>5337</v>
      </c>
      <c r="B572" s="16" t="str">
        <f>TRIM("此花消防署")</f>
        <v>此花消防署</v>
      </c>
      <c r="C572" s="14" t="s">
        <v>1515</v>
      </c>
      <c r="D572" s="14" t="s">
        <v>222</v>
      </c>
      <c r="E572" s="1"/>
      <c r="F572" s="2"/>
      <c r="G572" s="1">
        <v>3587.21</v>
      </c>
      <c r="H572" s="3"/>
      <c r="I572" s="14" t="s">
        <v>5219</v>
      </c>
    </row>
    <row r="573" spans="1:9" ht="18.75" customHeight="1" x14ac:dyDescent="0.4">
      <c r="A573" s="14" t="s">
        <v>5487</v>
      </c>
      <c r="B573" s="16" t="str">
        <f>TRIM("此花警察署")</f>
        <v>此花警察署</v>
      </c>
      <c r="C573" s="14" t="s">
        <v>1515</v>
      </c>
      <c r="D573" s="14" t="s">
        <v>222</v>
      </c>
      <c r="E573" s="1">
        <v>2230.66</v>
      </c>
      <c r="F573" s="2"/>
      <c r="G573" s="1"/>
      <c r="H573" s="3"/>
      <c r="I573" s="14" t="s">
        <v>5349</v>
      </c>
    </row>
    <row r="574" spans="1:9" ht="18.75" customHeight="1" x14ac:dyDescent="0.4">
      <c r="A574" s="14" t="s">
        <v>5757</v>
      </c>
      <c r="B574" s="16" t="str">
        <f>TRIM("天使虹の園保育園")</f>
        <v>天使虹の園保育園</v>
      </c>
      <c r="C574" s="14" t="s">
        <v>1515</v>
      </c>
      <c r="D574" s="14" t="s">
        <v>222</v>
      </c>
      <c r="E574" s="1">
        <v>564.41999999999996</v>
      </c>
      <c r="F574" s="2"/>
      <c r="G574" s="1"/>
      <c r="H574" s="3"/>
      <c r="I574" s="14" t="s">
        <v>5617</v>
      </c>
    </row>
    <row r="575" spans="1:9" ht="18.75" customHeight="1" x14ac:dyDescent="0.4">
      <c r="A575" s="14" t="s">
        <v>5993</v>
      </c>
      <c r="B575" s="16" t="str">
        <f>TRIM("大気汚染常時監視測定局（此花区役所）")</f>
        <v>大気汚染常時監視測定局（此花区役所）</v>
      </c>
      <c r="C575" s="14" t="s">
        <v>1515</v>
      </c>
      <c r="D575" s="14" t="s">
        <v>222</v>
      </c>
      <c r="E575" s="1"/>
      <c r="F575" s="2"/>
      <c r="G575" s="1">
        <v>20.399999999999999</v>
      </c>
      <c r="H575" s="3"/>
      <c r="I575" s="14" t="s">
        <v>5977</v>
      </c>
    </row>
    <row r="576" spans="1:9" ht="18.75" customHeight="1" x14ac:dyDescent="0.4">
      <c r="A576" s="14" t="s">
        <v>6409</v>
      </c>
      <c r="B576" s="16" t="str">
        <f>TRIM("春日出住宅")</f>
        <v>春日出住宅</v>
      </c>
      <c r="C576" s="14" t="s">
        <v>1515</v>
      </c>
      <c r="D576" s="14" t="s">
        <v>753</v>
      </c>
      <c r="E576" s="1">
        <v>2866.56</v>
      </c>
      <c r="F576" s="2"/>
      <c r="G576" s="1">
        <v>4276.5</v>
      </c>
      <c r="H576" s="3"/>
      <c r="I576" s="14" t="s">
        <v>6177</v>
      </c>
    </row>
    <row r="577" spans="1:9" ht="18.75" customHeight="1" x14ac:dyDescent="0.4">
      <c r="A577" s="14" t="s">
        <v>2795</v>
      </c>
      <c r="B577" s="16" t="str">
        <f>TRIM("　春日出北公園")</f>
        <v>春日出北公園</v>
      </c>
      <c r="C577" s="14" t="s">
        <v>1515</v>
      </c>
      <c r="D577" s="14" t="s">
        <v>753</v>
      </c>
      <c r="E577" s="1">
        <v>633.99</v>
      </c>
      <c r="F577" s="2"/>
      <c r="G577" s="1"/>
      <c r="H577" s="3"/>
      <c r="I577" s="14" t="s">
        <v>2177</v>
      </c>
    </row>
    <row r="578" spans="1:9" ht="18.75" customHeight="1" x14ac:dyDescent="0.4">
      <c r="A578" s="14" t="s">
        <v>6840</v>
      </c>
      <c r="B578" s="16" t="str">
        <f>TRIM("もと建築物移転先用地（西九条工区地区外）")</f>
        <v>もと建築物移転先用地（西九条工区地区外）</v>
      </c>
      <c r="C578" s="14" t="s">
        <v>1515</v>
      </c>
      <c r="D578" s="14" t="s">
        <v>753</v>
      </c>
      <c r="E578" s="1">
        <v>526.53</v>
      </c>
      <c r="F578" s="2"/>
      <c r="G578" s="1"/>
      <c r="H578" s="3"/>
      <c r="I578" s="14" t="s">
        <v>6177</v>
      </c>
    </row>
    <row r="579" spans="1:9" ht="18.75" customHeight="1" x14ac:dyDescent="0.4">
      <c r="A579" s="14" t="s">
        <v>6410</v>
      </c>
      <c r="B579" s="16" t="str">
        <f>TRIM("春日出第2住宅")</f>
        <v>春日出第2住宅</v>
      </c>
      <c r="C579" s="14" t="s">
        <v>1515</v>
      </c>
      <c r="D579" s="14" t="s">
        <v>754</v>
      </c>
      <c r="E579" s="1">
        <v>7759.84</v>
      </c>
      <c r="F579" s="2" t="s">
        <v>7294</v>
      </c>
      <c r="G579" s="1"/>
      <c r="H579" s="3"/>
      <c r="I579" s="14" t="s">
        <v>6177</v>
      </c>
    </row>
    <row r="580" spans="1:9" ht="18.75" customHeight="1" x14ac:dyDescent="0.4">
      <c r="A580" s="14" t="s">
        <v>4009</v>
      </c>
      <c r="B580" s="16" t="str">
        <f>TRIM("恩貴島抽水所")</f>
        <v>恩貴島抽水所</v>
      </c>
      <c r="C580" s="14" t="s">
        <v>1515</v>
      </c>
      <c r="D580" s="14" t="s">
        <v>754</v>
      </c>
      <c r="E580" s="1">
        <v>7273.72</v>
      </c>
      <c r="F580" s="2"/>
      <c r="G580" s="1">
        <v>2276.33</v>
      </c>
      <c r="H580" s="3"/>
      <c r="I580" s="14" t="s">
        <v>2177</v>
      </c>
    </row>
    <row r="581" spans="1:9" ht="18.75" customHeight="1" x14ac:dyDescent="0.4">
      <c r="A581" s="14" t="s">
        <v>5063</v>
      </c>
      <c r="B581" s="16" t="str">
        <f>TRIM("梅香中学校")</f>
        <v>梅香中学校</v>
      </c>
      <c r="C581" s="14" t="s">
        <v>1515</v>
      </c>
      <c r="D581" s="14" t="s">
        <v>754</v>
      </c>
      <c r="E581" s="1">
        <v>11380.05</v>
      </c>
      <c r="F581" s="2"/>
      <c r="G581" s="1">
        <v>8044.75</v>
      </c>
      <c r="H581" s="3"/>
      <c r="I581" s="14" t="s">
        <v>4689</v>
      </c>
    </row>
    <row r="582" spans="1:9" ht="18.75" customHeight="1" x14ac:dyDescent="0.4">
      <c r="A582" s="14" t="s">
        <v>2045</v>
      </c>
      <c r="B582" s="16" t="str">
        <f>TRIM("春日出中憩の家")</f>
        <v>春日出中憩の家</v>
      </c>
      <c r="C582" s="14" t="s">
        <v>1515</v>
      </c>
      <c r="D582" s="14" t="s">
        <v>755</v>
      </c>
      <c r="E582" s="1">
        <v>99.96</v>
      </c>
      <c r="F582" s="2"/>
      <c r="G582" s="1">
        <v>104.34</v>
      </c>
      <c r="H582" s="3"/>
      <c r="I582" s="14" t="s">
        <v>1793</v>
      </c>
    </row>
    <row r="583" spans="1:9" ht="18.75" customHeight="1" x14ac:dyDescent="0.4">
      <c r="A583" s="14" t="s">
        <v>4853</v>
      </c>
      <c r="B583" s="16" t="str">
        <f>TRIM("春日出小学校")</f>
        <v>春日出小学校</v>
      </c>
      <c r="C583" s="14" t="s">
        <v>1515</v>
      </c>
      <c r="D583" s="14" t="s">
        <v>755</v>
      </c>
      <c r="E583" s="1">
        <v>10831.76</v>
      </c>
      <c r="F583" s="2"/>
      <c r="G583" s="1">
        <v>6643.22</v>
      </c>
      <c r="H583" s="3"/>
      <c r="I583" s="14" t="s">
        <v>4689</v>
      </c>
    </row>
    <row r="584" spans="1:9" ht="18.75" customHeight="1" x14ac:dyDescent="0.4">
      <c r="A584" s="14" t="s">
        <v>6411</v>
      </c>
      <c r="B584" s="16" t="str">
        <f>TRIM("春日出中住宅")</f>
        <v>春日出中住宅</v>
      </c>
      <c r="C584" s="14" t="s">
        <v>1515</v>
      </c>
      <c r="D584" s="14" t="s">
        <v>755</v>
      </c>
      <c r="E584" s="1">
        <v>1754.21</v>
      </c>
      <c r="F584" s="2"/>
      <c r="G584" s="1">
        <v>2478.87</v>
      </c>
      <c r="H584" s="3"/>
      <c r="I584" s="14" t="s">
        <v>6177</v>
      </c>
    </row>
    <row r="585" spans="1:9" ht="18.75" customHeight="1" x14ac:dyDescent="0.4">
      <c r="A585" s="14" t="s">
        <v>6412</v>
      </c>
      <c r="B585" s="16" t="str">
        <f>TRIM("春日出中第2住宅")</f>
        <v>春日出中第2住宅</v>
      </c>
      <c r="C585" s="14" t="s">
        <v>1515</v>
      </c>
      <c r="D585" s="14" t="s">
        <v>755</v>
      </c>
      <c r="E585" s="1">
        <v>2365.88</v>
      </c>
      <c r="F585" s="2"/>
      <c r="G585" s="1">
        <v>3102.88</v>
      </c>
      <c r="H585" s="3"/>
      <c r="I585" s="14" t="s">
        <v>6177</v>
      </c>
    </row>
    <row r="586" spans="1:9" ht="18.75" customHeight="1" x14ac:dyDescent="0.4">
      <c r="A586" s="14" t="s">
        <v>2793</v>
      </c>
      <c r="B586" s="16" t="str">
        <f>TRIM("　春日出中公園")</f>
        <v>春日出中公園</v>
      </c>
      <c r="C586" s="14" t="s">
        <v>1515</v>
      </c>
      <c r="D586" s="14" t="s">
        <v>755</v>
      </c>
      <c r="E586" s="1">
        <v>387.8</v>
      </c>
      <c r="F586" s="2"/>
      <c r="G586" s="1"/>
      <c r="H586" s="3"/>
      <c r="I586" s="14" t="s">
        <v>2177</v>
      </c>
    </row>
    <row r="587" spans="1:9" ht="18.75" customHeight="1" x14ac:dyDescent="0.4">
      <c r="A587" s="14" t="s">
        <v>4377</v>
      </c>
      <c r="B587" s="16" t="str">
        <f>TRIM("恩貴島集会所")</f>
        <v>恩貴島集会所</v>
      </c>
      <c r="C587" s="14" t="s">
        <v>1515</v>
      </c>
      <c r="D587" s="14" t="s">
        <v>1450</v>
      </c>
      <c r="E587" s="1">
        <v>165</v>
      </c>
      <c r="F587" s="2"/>
      <c r="G587" s="1"/>
      <c r="H587" s="3"/>
      <c r="I587" s="14" t="s">
        <v>1793</v>
      </c>
    </row>
    <row r="588" spans="1:9" ht="18.75" customHeight="1" x14ac:dyDescent="0.4">
      <c r="A588" s="14" t="s">
        <v>1792</v>
      </c>
      <c r="B588" s="16" t="str">
        <f>TRIM("春日出南憩の家")</f>
        <v>春日出南憩の家</v>
      </c>
      <c r="C588" s="14" t="s">
        <v>1515</v>
      </c>
      <c r="D588" s="14" t="s">
        <v>152</v>
      </c>
      <c r="E588" s="1">
        <v>258.57</v>
      </c>
      <c r="F588" s="2"/>
      <c r="G588" s="1">
        <v>105.6</v>
      </c>
      <c r="H588" s="3"/>
      <c r="I588" s="14" t="s">
        <v>1793</v>
      </c>
    </row>
    <row r="589" spans="1:9" ht="18.75" customHeight="1" x14ac:dyDescent="0.4">
      <c r="A589" s="14" t="s">
        <v>4854</v>
      </c>
      <c r="B589" s="16" t="str">
        <f>TRIM("春日出中学校")</f>
        <v>春日出中学校</v>
      </c>
      <c r="C589" s="14" t="s">
        <v>1515</v>
      </c>
      <c r="D589" s="14" t="s">
        <v>152</v>
      </c>
      <c r="E589" s="1">
        <v>9825.68</v>
      </c>
      <c r="F589" s="2"/>
      <c r="G589" s="1">
        <v>7529.86</v>
      </c>
      <c r="H589" s="3"/>
      <c r="I589" s="14" t="s">
        <v>4689</v>
      </c>
    </row>
    <row r="590" spans="1:9" ht="18.75" customHeight="1" x14ac:dyDescent="0.4">
      <c r="A590" s="14" t="s">
        <v>2489</v>
      </c>
      <c r="B590" s="16" t="str">
        <f>TRIM("堤塘（此花）")</f>
        <v>堤塘（此花）</v>
      </c>
      <c r="C590" s="14" t="s">
        <v>1515</v>
      </c>
      <c r="D590" s="14" t="s">
        <v>152</v>
      </c>
      <c r="E590" s="1">
        <v>3.3</v>
      </c>
      <c r="F590" s="2"/>
      <c r="G590" s="1"/>
      <c r="H590" s="3"/>
      <c r="I590" s="14" t="s">
        <v>2177</v>
      </c>
    </row>
    <row r="591" spans="1:9" ht="18.75" customHeight="1" x14ac:dyDescent="0.4">
      <c r="A591" s="14" t="s">
        <v>2792</v>
      </c>
      <c r="B591" s="16" t="str">
        <f>TRIM("　春日出公園")</f>
        <v>春日出公園</v>
      </c>
      <c r="C591" s="14" t="s">
        <v>1515</v>
      </c>
      <c r="D591" s="14" t="s">
        <v>152</v>
      </c>
      <c r="E591" s="1">
        <v>17846.8</v>
      </c>
      <c r="F591" s="2"/>
      <c r="G591" s="1"/>
      <c r="H591" s="3"/>
      <c r="I591" s="14" t="s">
        <v>2177</v>
      </c>
    </row>
    <row r="592" spans="1:9" ht="18.75" customHeight="1" x14ac:dyDescent="0.4">
      <c r="A592" s="14" t="s">
        <v>3574</v>
      </c>
      <c r="B592" s="16" t="str">
        <f>TRIM("　春日出公園")</f>
        <v>春日出公園</v>
      </c>
      <c r="C592" s="14" t="s">
        <v>1515</v>
      </c>
      <c r="D592" s="14" t="s">
        <v>152</v>
      </c>
      <c r="E592" s="1"/>
      <c r="F592" s="2"/>
      <c r="G592" s="1">
        <v>19.2</v>
      </c>
      <c r="H592" s="3"/>
      <c r="I592" s="14" t="s">
        <v>2177</v>
      </c>
    </row>
    <row r="593" spans="1:9" ht="18.75" customHeight="1" x14ac:dyDescent="0.4">
      <c r="A593" s="14" t="s">
        <v>5392</v>
      </c>
      <c r="B593" s="16" t="str">
        <f>TRIM("もと春日出東公園（コミュニティ用地等）")</f>
        <v>もと春日出東公園（コミュニティ用地等）</v>
      </c>
      <c r="C593" s="14" t="s">
        <v>1515</v>
      </c>
      <c r="D593" s="14" t="s">
        <v>152</v>
      </c>
      <c r="E593" s="1">
        <v>277.5</v>
      </c>
      <c r="F593" s="2"/>
      <c r="G593" s="1"/>
      <c r="H593" s="3"/>
      <c r="I593" s="14" t="s">
        <v>5349</v>
      </c>
    </row>
    <row r="594" spans="1:9" ht="18.75" customHeight="1" x14ac:dyDescent="0.4">
      <c r="A594" s="14" t="s">
        <v>6845</v>
      </c>
      <c r="B594" s="16" t="str">
        <f>TRIM("区画整理事業用地（此花）")</f>
        <v>区画整理事業用地（此花）</v>
      </c>
      <c r="C594" s="14" t="s">
        <v>1515</v>
      </c>
      <c r="D594" s="14" t="s">
        <v>152</v>
      </c>
      <c r="E594" s="1">
        <v>8520.94</v>
      </c>
      <c r="F594" s="2"/>
      <c r="G594" s="1"/>
      <c r="H594" s="3"/>
      <c r="I594" s="14" t="s">
        <v>6177</v>
      </c>
    </row>
    <row r="595" spans="1:9" ht="18.75" customHeight="1" x14ac:dyDescent="0.4">
      <c r="A595" s="14" t="s">
        <v>6865</v>
      </c>
      <c r="B595" s="16" t="str">
        <f>TRIM("もと区画整理事業用地（此花）")</f>
        <v>もと区画整理事業用地（此花）</v>
      </c>
      <c r="C595" s="14" t="s">
        <v>1515</v>
      </c>
      <c r="D595" s="14" t="s">
        <v>152</v>
      </c>
      <c r="E595" s="1">
        <v>54.85</v>
      </c>
      <c r="F595" s="2"/>
      <c r="G595" s="1"/>
      <c r="H595" s="3"/>
      <c r="I595" s="14" t="s">
        <v>6177</v>
      </c>
    </row>
    <row r="596" spans="1:9" ht="18.75" customHeight="1" x14ac:dyDescent="0.4">
      <c r="A596" s="14" t="s">
        <v>6413</v>
      </c>
      <c r="B596" s="16" t="str">
        <f>TRIM("春日出南住宅")</f>
        <v>春日出南住宅</v>
      </c>
      <c r="C596" s="14" t="s">
        <v>1515</v>
      </c>
      <c r="D596" s="14" t="s">
        <v>210</v>
      </c>
      <c r="E596" s="1">
        <v>5072.67</v>
      </c>
      <c r="F596" s="2"/>
      <c r="G596" s="1">
        <v>2379.1799999999998</v>
      </c>
      <c r="H596" s="3"/>
      <c r="I596" s="14" t="s">
        <v>6177</v>
      </c>
    </row>
    <row r="597" spans="1:9" ht="18.75" customHeight="1" x14ac:dyDescent="0.4">
      <c r="A597" s="14" t="s">
        <v>2794</v>
      </c>
      <c r="B597" s="16" t="str">
        <f>TRIM("　春日出南公園")</f>
        <v>春日出南公園</v>
      </c>
      <c r="C597" s="14" t="s">
        <v>1515</v>
      </c>
      <c r="D597" s="14" t="s">
        <v>210</v>
      </c>
      <c r="E597" s="1">
        <v>1252.99</v>
      </c>
      <c r="F597" s="2"/>
      <c r="G597" s="1"/>
      <c r="H597" s="3"/>
      <c r="I597" s="14" t="s">
        <v>2177</v>
      </c>
    </row>
    <row r="598" spans="1:9" ht="18.75" customHeight="1" x14ac:dyDescent="0.4">
      <c r="A598" s="14" t="s">
        <v>5469</v>
      </c>
      <c r="B598" s="16" t="str">
        <f>TRIM("契約管財局賃貸地（此花）")</f>
        <v>契約管財局賃貸地（此花）</v>
      </c>
      <c r="C598" s="14" t="s">
        <v>1515</v>
      </c>
      <c r="D598" s="14" t="s">
        <v>210</v>
      </c>
      <c r="E598" s="1">
        <v>391.93</v>
      </c>
      <c r="F598" s="2"/>
      <c r="G598" s="1"/>
      <c r="H598" s="3"/>
      <c r="I598" s="14" t="s">
        <v>5349</v>
      </c>
    </row>
    <row r="599" spans="1:9" ht="18.75" customHeight="1" x14ac:dyDescent="0.4">
      <c r="A599" s="14" t="s">
        <v>2718</v>
      </c>
      <c r="B599" s="16" t="str">
        <f>TRIM(" 此花6号緑地")</f>
        <v>此花6号緑地</v>
      </c>
      <c r="C599" s="14" t="s">
        <v>1515</v>
      </c>
      <c r="D599" s="14" t="s">
        <v>1046</v>
      </c>
      <c r="E599" s="1">
        <v>1444.01</v>
      </c>
      <c r="F599" s="2"/>
      <c r="G599" s="1"/>
      <c r="H599" s="3"/>
      <c r="I599" s="14" t="s">
        <v>2177</v>
      </c>
    </row>
    <row r="600" spans="1:9" ht="18.75" customHeight="1" x14ac:dyDescent="0.4">
      <c r="A600" s="14" t="s">
        <v>3407</v>
      </c>
      <c r="B600" s="16" t="str">
        <f>TRIM("恩貴島公園")</f>
        <v>恩貴島公園</v>
      </c>
      <c r="C600" s="14" t="s">
        <v>1515</v>
      </c>
      <c r="D600" s="14" t="s">
        <v>1046</v>
      </c>
      <c r="E600" s="1">
        <v>1000.28</v>
      </c>
      <c r="F600" s="2"/>
      <c r="G600" s="1"/>
      <c r="H600" s="3"/>
      <c r="I600" s="14" t="s">
        <v>2177</v>
      </c>
    </row>
    <row r="601" spans="1:9" ht="18.75" customHeight="1" x14ac:dyDescent="0.4">
      <c r="A601" s="14" t="s">
        <v>4167</v>
      </c>
      <c r="B601" s="16" t="str">
        <f>TRIM("此花西部臨港緑地")</f>
        <v>此花西部臨港緑地</v>
      </c>
      <c r="C601" s="14" t="s">
        <v>1515</v>
      </c>
      <c r="D601" s="14" t="s">
        <v>1345</v>
      </c>
      <c r="E601" s="1">
        <v>14129.28</v>
      </c>
      <c r="F601" s="2"/>
      <c r="G601" s="1"/>
      <c r="H601" s="3"/>
      <c r="I601" s="14" t="s">
        <v>4117</v>
      </c>
    </row>
    <row r="602" spans="1:9" ht="18.75" customHeight="1" x14ac:dyDescent="0.4">
      <c r="A602" s="14" t="s">
        <v>3433</v>
      </c>
      <c r="B602" s="16" t="str">
        <f>TRIM("桜島北公園")</f>
        <v>桜島北公園</v>
      </c>
      <c r="C602" s="14" t="s">
        <v>1515</v>
      </c>
      <c r="D602" s="14" t="s">
        <v>7</v>
      </c>
      <c r="E602" s="1">
        <v>8480.8700000000008</v>
      </c>
      <c r="F602" s="2"/>
      <c r="G602" s="1"/>
      <c r="H602" s="3"/>
      <c r="I602" s="14" t="s">
        <v>2177</v>
      </c>
    </row>
    <row r="603" spans="1:9" ht="18.75" customHeight="1" x14ac:dyDescent="0.4">
      <c r="A603" s="14" t="s">
        <v>4126</v>
      </c>
      <c r="B603" s="16" t="str">
        <f>TRIM("ＵＳＪ関連用地（一般）")</f>
        <v>ＵＳＪ関連用地（一般）</v>
      </c>
      <c r="C603" s="14" t="s">
        <v>1515</v>
      </c>
      <c r="D603" s="14" t="s">
        <v>7</v>
      </c>
      <c r="E603" s="1">
        <v>30814.89</v>
      </c>
      <c r="F603" s="2"/>
      <c r="G603" s="1"/>
      <c r="H603" s="3"/>
      <c r="I603" s="14" t="s">
        <v>4117</v>
      </c>
    </row>
    <row r="604" spans="1:9" ht="18.75" customHeight="1" x14ac:dyDescent="0.4">
      <c r="A604" s="14" t="s">
        <v>4262</v>
      </c>
      <c r="B604" s="16" t="str">
        <f>TRIM("ＵＳＪ関連用地")</f>
        <v>ＵＳＪ関連用地</v>
      </c>
      <c r="C604" s="14" t="s">
        <v>1515</v>
      </c>
      <c r="D604" s="14" t="s">
        <v>7</v>
      </c>
      <c r="E604" s="1">
        <v>26175.279999999999</v>
      </c>
      <c r="F604" s="2"/>
      <c r="G604" s="12"/>
      <c r="H604" s="3"/>
      <c r="I604" s="14" t="s">
        <v>4117</v>
      </c>
    </row>
    <row r="605" spans="1:9" ht="18.75" customHeight="1" x14ac:dyDescent="0.4">
      <c r="A605" s="14" t="s">
        <v>5585</v>
      </c>
      <c r="B605" s="16" t="str">
        <f>TRIM("此花西部臨海地区開発用地")</f>
        <v>此花西部臨海地区開発用地</v>
      </c>
      <c r="C605" s="14" t="s">
        <v>1515</v>
      </c>
      <c r="D605" s="14" t="s">
        <v>7</v>
      </c>
      <c r="E605" s="1">
        <v>2140.06</v>
      </c>
      <c r="F605" s="2"/>
      <c r="G605" s="1"/>
      <c r="H605" s="3"/>
      <c r="I605" s="14" t="s">
        <v>5349</v>
      </c>
    </row>
    <row r="606" spans="1:9" ht="18.75" customHeight="1" x14ac:dyDescent="0.4">
      <c r="A606" s="14" t="s">
        <v>6826</v>
      </c>
      <c r="B606" s="16" t="str">
        <f>TRIM("保留地（此花西部臨海）")</f>
        <v>保留地（此花西部臨海）</v>
      </c>
      <c r="C606" s="14" t="s">
        <v>1515</v>
      </c>
      <c r="D606" s="14" t="s">
        <v>7</v>
      </c>
      <c r="E606" s="1">
        <v>171876.76</v>
      </c>
      <c r="F606" s="2"/>
      <c r="G606" s="1"/>
      <c r="H606" s="3"/>
      <c r="I606" s="14" t="s">
        <v>6177</v>
      </c>
    </row>
    <row r="607" spans="1:9" ht="18.75" customHeight="1" x14ac:dyDescent="0.4">
      <c r="A607" s="14" t="s">
        <v>7012</v>
      </c>
      <c r="B607" s="16" t="str">
        <f>TRIM("もと島屋・桜島ＣＩＴ事業用地")</f>
        <v>もと島屋・桜島ＣＩＴ事業用地</v>
      </c>
      <c r="C607" s="14" t="s">
        <v>1515</v>
      </c>
      <c r="D607" s="14" t="s">
        <v>7</v>
      </c>
      <c r="E607" s="1">
        <v>6500.16</v>
      </c>
      <c r="F607" s="2"/>
      <c r="G607" s="1"/>
      <c r="H607" s="3"/>
      <c r="I607" s="14" t="s">
        <v>4115</v>
      </c>
    </row>
    <row r="608" spans="1:9" ht="18.75" customHeight="1" x14ac:dyDescent="0.4">
      <c r="A608" s="14" t="s">
        <v>4140</v>
      </c>
      <c r="B608" s="16" t="str">
        <f>TRIM("もと防潮扉集中監視装置此花区準監視局")</f>
        <v>もと防潮扉集中監視装置此花区準監視局</v>
      </c>
      <c r="C608" s="14" t="s">
        <v>1515</v>
      </c>
      <c r="D608" s="14" t="s">
        <v>312</v>
      </c>
      <c r="E608" s="1">
        <v>1302.57</v>
      </c>
      <c r="F608" s="2">
        <v>1841</v>
      </c>
      <c r="G608" s="1">
        <v>118.08</v>
      </c>
      <c r="H608" s="3" t="s">
        <v>7353</v>
      </c>
      <c r="I608" s="14" t="s">
        <v>4117</v>
      </c>
    </row>
    <row r="609" spans="1:9" ht="18.75" customHeight="1" x14ac:dyDescent="0.4">
      <c r="A609" s="14" t="s">
        <v>1638</v>
      </c>
      <c r="B609" s="16" t="str">
        <f>TRIM("もと公共用地先行取得事業用地（此花区桜島）")</f>
        <v>もと公共用地先行取得事業用地（此花区桜島）</v>
      </c>
      <c r="C609" s="14" t="s">
        <v>1515</v>
      </c>
      <c r="D609" s="14" t="s">
        <v>312</v>
      </c>
      <c r="E609" s="1">
        <v>1757.09</v>
      </c>
      <c r="F609" s="2" t="s">
        <v>7284</v>
      </c>
      <c r="G609" s="1"/>
      <c r="H609" s="3"/>
      <c r="I609" s="14" t="s">
        <v>1633</v>
      </c>
    </row>
    <row r="610" spans="1:9" ht="18.75" customHeight="1" x14ac:dyDescent="0.4">
      <c r="A610" s="14" t="s">
        <v>4097</v>
      </c>
      <c r="B610" s="16" t="str">
        <f>TRIM("梅町抽水所")</f>
        <v>梅町抽水所</v>
      </c>
      <c r="C610" s="14" t="s">
        <v>1515</v>
      </c>
      <c r="D610" s="14" t="s">
        <v>312</v>
      </c>
      <c r="E610" s="1">
        <v>4093.25</v>
      </c>
      <c r="F610" s="2"/>
      <c r="G610" s="1">
        <v>1098.81</v>
      </c>
      <c r="H610" s="3"/>
      <c r="I610" s="14" t="s">
        <v>2177</v>
      </c>
    </row>
    <row r="611" spans="1:9" ht="18.75" customHeight="1" x14ac:dyDescent="0.4">
      <c r="A611" s="14" t="s">
        <v>4294</v>
      </c>
      <c r="B611" s="16" t="str">
        <f>TRIM("桜島1号上屋")</f>
        <v>桜島1号上屋</v>
      </c>
      <c r="C611" s="14" t="s">
        <v>1515</v>
      </c>
      <c r="D611" s="14" t="s">
        <v>312</v>
      </c>
      <c r="E611" s="1">
        <v>3536.78</v>
      </c>
      <c r="F611" s="2"/>
      <c r="G611" s="12">
        <v>2842.19</v>
      </c>
      <c r="H611" s="3"/>
      <c r="I611" s="14" t="s">
        <v>4117</v>
      </c>
    </row>
    <row r="612" spans="1:9" ht="18.75" customHeight="1" x14ac:dyDescent="0.4">
      <c r="A612" s="14" t="s">
        <v>4295</v>
      </c>
      <c r="B612" s="16" t="str">
        <f>TRIM("桜島2号上屋")</f>
        <v>桜島2号上屋</v>
      </c>
      <c r="C612" s="14" t="s">
        <v>1515</v>
      </c>
      <c r="D612" s="14" t="s">
        <v>312</v>
      </c>
      <c r="E612" s="1">
        <v>3636.37</v>
      </c>
      <c r="F612" s="2"/>
      <c r="G612" s="12">
        <v>2809.91</v>
      </c>
      <c r="H612" s="3"/>
      <c r="I612" s="14" t="s">
        <v>4117</v>
      </c>
    </row>
    <row r="613" spans="1:9" ht="18.75" customHeight="1" x14ac:dyDescent="0.4">
      <c r="A613" s="14" t="s">
        <v>4381</v>
      </c>
      <c r="B613" s="16" t="str">
        <f>TRIM("桜島集会所")</f>
        <v>桜島集会所</v>
      </c>
      <c r="C613" s="14" t="s">
        <v>1515</v>
      </c>
      <c r="D613" s="14" t="s">
        <v>312</v>
      </c>
      <c r="E613" s="1">
        <v>302.43</v>
      </c>
      <c r="F613" s="2"/>
      <c r="G613" s="1">
        <v>200.02</v>
      </c>
      <c r="H613" s="3"/>
      <c r="I613" s="14" t="s">
        <v>1793</v>
      </c>
    </row>
    <row r="614" spans="1:9" ht="18.75" customHeight="1" x14ac:dyDescent="0.4">
      <c r="A614" s="14" t="s">
        <v>2510</v>
      </c>
      <c r="B614" s="16" t="str">
        <f>TRIM("天保山渡船場右岸待合所")</f>
        <v>天保山渡船場右岸待合所</v>
      </c>
      <c r="C614" s="14" t="s">
        <v>1515</v>
      </c>
      <c r="D614" s="14" t="s">
        <v>312</v>
      </c>
      <c r="E614" s="1"/>
      <c r="F614" s="2"/>
      <c r="G614" s="1">
        <v>48.74</v>
      </c>
      <c r="H614" s="3"/>
      <c r="I614" s="14" t="s">
        <v>2177</v>
      </c>
    </row>
    <row r="615" spans="1:9" ht="18.75" customHeight="1" x14ac:dyDescent="0.4">
      <c r="A615" s="14" t="s">
        <v>2742</v>
      </c>
      <c r="B615" s="16" t="str">
        <f>TRIM("　桜島公園")</f>
        <v>桜島公園</v>
      </c>
      <c r="C615" s="14" t="s">
        <v>1515</v>
      </c>
      <c r="D615" s="14" t="s">
        <v>312</v>
      </c>
      <c r="E615" s="1">
        <v>3429.65</v>
      </c>
      <c r="F615" s="2"/>
      <c r="G615" s="1"/>
      <c r="H615" s="3"/>
      <c r="I615" s="14" t="s">
        <v>2177</v>
      </c>
    </row>
    <row r="616" spans="1:9" ht="18.75" customHeight="1" x14ac:dyDescent="0.4">
      <c r="A616" s="14" t="s">
        <v>5234</v>
      </c>
      <c r="B616" s="16" t="str">
        <f>TRIM("此花消防署桜島出張所")</f>
        <v>此花消防署桜島出張所</v>
      </c>
      <c r="C616" s="14" t="s">
        <v>1515</v>
      </c>
      <c r="D616" s="14" t="s">
        <v>312</v>
      </c>
      <c r="E616" s="1">
        <v>375.91</v>
      </c>
      <c r="F616" s="2"/>
      <c r="G616" s="1">
        <v>391.37</v>
      </c>
      <c r="H616" s="3"/>
      <c r="I616" s="14" t="s">
        <v>5219</v>
      </c>
    </row>
    <row r="617" spans="1:9" ht="18.75" customHeight="1" x14ac:dyDescent="0.4">
      <c r="A617" s="14" t="s">
        <v>4139</v>
      </c>
      <c r="B617" s="16" t="str">
        <f>TRIM("もと港湾局賃貸地（此花・一般）")</f>
        <v>もと港湾局賃貸地（此花・一般）</v>
      </c>
      <c r="C617" s="14" t="s">
        <v>1515</v>
      </c>
      <c r="D617" s="14" t="s">
        <v>312</v>
      </c>
      <c r="E617" s="1">
        <v>1104</v>
      </c>
      <c r="F617" s="2"/>
      <c r="G617" s="1"/>
      <c r="H617" s="3"/>
      <c r="I617" s="14" t="s">
        <v>4117</v>
      </c>
    </row>
    <row r="618" spans="1:9" ht="18.75" customHeight="1" x14ac:dyDescent="0.4">
      <c r="A618" s="14" t="s">
        <v>6382</v>
      </c>
      <c r="B618" s="16" t="str">
        <f>TRIM("桜島住宅")</f>
        <v>桜島住宅</v>
      </c>
      <c r="C618" s="14" t="s">
        <v>1515</v>
      </c>
      <c r="D618" s="14" t="s">
        <v>312</v>
      </c>
      <c r="E618" s="1">
        <v>5800.8</v>
      </c>
      <c r="F618" s="2"/>
      <c r="G618" s="1">
        <v>6488.86</v>
      </c>
      <c r="H618" s="3"/>
      <c r="I618" s="14" t="s">
        <v>6177</v>
      </c>
    </row>
    <row r="619" spans="1:9" ht="18.75" customHeight="1" x14ac:dyDescent="0.4">
      <c r="A619" s="14" t="s">
        <v>4218</v>
      </c>
      <c r="B619" s="16" t="str">
        <f>TRIM("荷捌地（此花・一般）")</f>
        <v>荷捌地（此花・一般）</v>
      </c>
      <c r="C619" s="14" t="s">
        <v>1515</v>
      </c>
      <c r="D619" s="14" t="s">
        <v>312</v>
      </c>
      <c r="E619" s="1">
        <v>25.28</v>
      </c>
      <c r="F619" s="2"/>
      <c r="G619" s="1"/>
      <c r="H619" s="3"/>
      <c r="I619" s="14" t="s">
        <v>4117</v>
      </c>
    </row>
    <row r="620" spans="1:9" ht="18.75" customHeight="1" x14ac:dyDescent="0.4">
      <c r="A620" s="14" t="s">
        <v>4230</v>
      </c>
      <c r="B620" s="16" t="str">
        <f>TRIM("物揚場敷（此花）")</f>
        <v>物揚場敷（此花）</v>
      </c>
      <c r="C620" s="14" t="s">
        <v>1515</v>
      </c>
      <c r="D620" s="14" t="s">
        <v>312</v>
      </c>
      <c r="E620" s="1">
        <v>7493.16</v>
      </c>
      <c r="F620" s="2"/>
      <c r="G620" s="1"/>
      <c r="H620" s="3"/>
      <c r="I620" s="14" t="s">
        <v>4117</v>
      </c>
    </row>
    <row r="621" spans="1:9" ht="18.75" customHeight="1" x14ac:dyDescent="0.4">
      <c r="A621" s="14" t="s">
        <v>6077</v>
      </c>
      <c r="B621" s="16" t="str">
        <f>TRIM("桜島地区集会所（集会所）")</f>
        <v>桜島地区集会所（集会所）</v>
      </c>
      <c r="C621" s="14" t="s">
        <v>1515</v>
      </c>
      <c r="D621" s="14" t="s">
        <v>312</v>
      </c>
      <c r="E621" s="1"/>
      <c r="F621" s="2"/>
      <c r="G621" s="1">
        <v>159.87</v>
      </c>
      <c r="H621" s="3"/>
      <c r="I621" s="14" t="s">
        <v>5977</v>
      </c>
    </row>
    <row r="622" spans="1:9" ht="18.75" customHeight="1" x14ac:dyDescent="0.4">
      <c r="A622" s="14" t="s">
        <v>1788</v>
      </c>
      <c r="B622" s="16" t="str">
        <f>TRIM("此花区老人福祉センター")</f>
        <v>此花区老人福祉センター</v>
      </c>
      <c r="C622" s="14" t="s">
        <v>1515</v>
      </c>
      <c r="D622" s="14" t="s">
        <v>441</v>
      </c>
      <c r="E622" s="1">
        <v>408.72</v>
      </c>
      <c r="F622" s="2"/>
      <c r="G622" s="1">
        <v>521.16</v>
      </c>
      <c r="H622" s="3"/>
      <c r="I622" s="14" t="s">
        <v>1654</v>
      </c>
    </row>
    <row r="623" spans="1:9" ht="18.75" customHeight="1" x14ac:dyDescent="0.4">
      <c r="A623" s="14" t="s">
        <v>4379</v>
      </c>
      <c r="B623" s="16" t="str">
        <f>TRIM("此花区民ホール")</f>
        <v>此花区民ホール</v>
      </c>
      <c r="C623" s="14" t="s">
        <v>1515</v>
      </c>
      <c r="D623" s="14" t="s">
        <v>441</v>
      </c>
      <c r="E623" s="1">
        <v>1057.18</v>
      </c>
      <c r="F623" s="2"/>
      <c r="G623" s="1">
        <v>1348.02</v>
      </c>
      <c r="H623" s="3"/>
      <c r="I623" s="14" t="s">
        <v>1793</v>
      </c>
    </row>
    <row r="624" spans="1:9" ht="18.75" customHeight="1" x14ac:dyDescent="0.4">
      <c r="A624" s="14" t="s">
        <v>5192</v>
      </c>
      <c r="B624" s="16" t="str">
        <f>TRIM("此花図書館")</f>
        <v>此花図書館</v>
      </c>
      <c r="C624" s="14" t="s">
        <v>1515</v>
      </c>
      <c r="D624" s="14" t="s">
        <v>441</v>
      </c>
      <c r="E624" s="1">
        <v>652.99</v>
      </c>
      <c r="F624" s="2"/>
      <c r="G624" s="1">
        <v>832.64</v>
      </c>
      <c r="H624" s="3"/>
      <c r="I624" s="14" t="s">
        <v>4689</v>
      </c>
    </row>
    <row r="625" spans="1:9" ht="18.75" customHeight="1" x14ac:dyDescent="0.4">
      <c r="A625" s="14" t="s">
        <v>2425</v>
      </c>
      <c r="B625" s="16" t="str">
        <f>TRIM("桜島東野田線")</f>
        <v>桜島東野田線</v>
      </c>
      <c r="C625" s="14" t="s">
        <v>1515</v>
      </c>
      <c r="D625" s="14" t="s">
        <v>441</v>
      </c>
      <c r="E625" s="1">
        <v>327.54000000000002</v>
      </c>
      <c r="F625" s="2"/>
      <c r="G625" s="1"/>
      <c r="H625" s="3"/>
      <c r="I625" s="14" t="s">
        <v>2177</v>
      </c>
    </row>
    <row r="626" spans="1:9" ht="18.75" customHeight="1" x14ac:dyDescent="0.4">
      <c r="A626" s="14" t="s">
        <v>2953</v>
      </c>
      <c r="B626" s="16" t="str">
        <f>TRIM("　千鳥橋公園")</f>
        <v>千鳥橋公園</v>
      </c>
      <c r="C626" s="14" t="s">
        <v>1515</v>
      </c>
      <c r="D626" s="14" t="s">
        <v>441</v>
      </c>
      <c r="E626" s="1">
        <v>1428.64</v>
      </c>
      <c r="F626" s="2"/>
      <c r="G626" s="1"/>
      <c r="H626" s="3"/>
      <c r="I626" s="14" t="s">
        <v>2177</v>
      </c>
    </row>
    <row r="627" spans="1:9" ht="18.75" customHeight="1" x14ac:dyDescent="0.4">
      <c r="A627" s="14" t="s">
        <v>1707</v>
      </c>
      <c r="B627" s="16" t="str">
        <f>TRIM("此花作業指導所")</f>
        <v>此花作業指導所</v>
      </c>
      <c r="C627" s="14" t="s">
        <v>1515</v>
      </c>
      <c r="D627" s="14" t="s">
        <v>343</v>
      </c>
      <c r="E627" s="1">
        <v>1576.62</v>
      </c>
      <c r="F627" s="2"/>
      <c r="G627" s="1">
        <v>636.71</v>
      </c>
      <c r="H627" s="3"/>
      <c r="I627" s="14" t="s">
        <v>1654</v>
      </c>
    </row>
    <row r="628" spans="1:9" ht="18.75" customHeight="1" x14ac:dyDescent="0.4">
      <c r="A628" s="14" t="s">
        <v>4387</v>
      </c>
      <c r="B628" s="16" t="str">
        <f>TRIM("四貫島連合集会場")</f>
        <v>四貫島連合集会場</v>
      </c>
      <c r="C628" s="14" t="s">
        <v>1515</v>
      </c>
      <c r="D628" s="14" t="s">
        <v>343</v>
      </c>
      <c r="E628" s="1">
        <v>193.93</v>
      </c>
      <c r="F628" s="2"/>
      <c r="G628" s="1">
        <v>98.96</v>
      </c>
      <c r="H628" s="3"/>
      <c r="I628" s="14" t="s">
        <v>1793</v>
      </c>
    </row>
    <row r="629" spans="1:9" ht="18.75" customHeight="1" x14ac:dyDescent="0.4">
      <c r="A629" s="14" t="s">
        <v>4836</v>
      </c>
      <c r="B629" s="16" t="str">
        <f>TRIM("四貫島小学校")</f>
        <v>四貫島小学校</v>
      </c>
      <c r="C629" s="14" t="s">
        <v>1515</v>
      </c>
      <c r="D629" s="14" t="s">
        <v>343</v>
      </c>
      <c r="E629" s="1">
        <v>634.89</v>
      </c>
      <c r="F629" s="2"/>
      <c r="G629" s="1">
        <v>4815.22</v>
      </c>
      <c r="H629" s="3"/>
      <c r="I629" s="14" t="s">
        <v>4689</v>
      </c>
    </row>
    <row r="630" spans="1:9" ht="18.75" customHeight="1" x14ac:dyDescent="0.4">
      <c r="A630" s="14" t="s">
        <v>1731</v>
      </c>
      <c r="B630" s="16" t="str">
        <f>TRIM("障がい福祉サービス事業所　地域活動支援センターはばたく")</f>
        <v>障がい福祉サービス事業所　地域活動支援センターはばたく</v>
      </c>
      <c r="C630" s="14" t="s">
        <v>1515</v>
      </c>
      <c r="D630" s="14" t="s">
        <v>343</v>
      </c>
      <c r="E630" s="1">
        <v>110.49</v>
      </c>
      <c r="F630" s="2"/>
      <c r="G630" s="1"/>
      <c r="H630" s="3"/>
      <c r="I630" s="14" t="s">
        <v>1654</v>
      </c>
    </row>
    <row r="631" spans="1:9" ht="18.75" customHeight="1" x14ac:dyDescent="0.4">
      <c r="A631" s="14" t="s">
        <v>5663</v>
      </c>
      <c r="B631" s="16" t="str">
        <f>TRIM("もと此花勤労青少年ホーム")</f>
        <v>もと此花勤労青少年ホーム</v>
      </c>
      <c r="C631" s="14" t="s">
        <v>1515</v>
      </c>
      <c r="D631" s="14" t="s">
        <v>343</v>
      </c>
      <c r="E631" s="1"/>
      <c r="F631" s="2"/>
      <c r="G631" s="1">
        <v>607.13</v>
      </c>
      <c r="H631" s="3" t="s">
        <v>7353</v>
      </c>
      <c r="I631" s="14" t="s">
        <v>5617</v>
      </c>
    </row>
    <row r="632" spans="1:9" ht="18.75" customHeight="1" x14ac:dyDescent="0.4">
      <c r="A632" s="14" t="s">
        <v>5014</v>
      </c>
      <c r="B632" s="16" t="str">
        <f>TRIM("島屋小学校")</f>
        <v>島屋小学校</v>
      </c>
      <c r="C632" s="14" t="s">
        <v>1515</v>
      </c>
      <c r="D632" s="14" t="s">
        <v>805</v>
      </c>
      <c r="E632" s="1">
        <v>9003.2900000000009</v>
      </c>
      <c r="F632" s="2"/>
      <c r="G632" s="1">
        <v>8593.66</v>
      </c>
      <c r="H632" s="3"/>
      <c r="I632" s="14" t="s">
        <v>4689</v>
      </c>
    </row>
    <row r="633" spans="1:9" ht="18.75" customHeight="1" x14ac:dyDescent="0.4">
      <c r="A633" s="14" t="s">
        <v>6571</v>
      </c>
      <c r="B633" s="16" t="str">
        <f>TRIM("島屋住宅")</f>
        <v>島屋住宅</v>
      </c>
      <c r="C633" s="14" t="s">
        <v>1515</v>
      </c>
      <c r="D633" s="14" t="s">
        <v>805</v>
      </c>
      <c r="E633" s="1">
        <v>2063.33</v>
      </c>
      <c r="F633" s="2"/>
      <c r="G633" s="1">
        <v>3419.74</v>
      </c>
      <c r="H633" s="3"/>
      <c r="I633" s="14" t="s">
        <v>6177</v>
      </c>
    </row>
    <row r="634" spans="1:9" ht="18.75" customHeight="1" x14ac:dyDescent="0.4">
      <c r="A634" s="14" t="s">
        <v>6752</v>
      </c>
      <c r="B634" s="16" t="str">
        <f>TRIM("島屋第2住宅")</f>
        <v>島屋第2住宅</v>
      </c>
      <c r="C634" s="14" t="s">
        <v>1515</v>
      </c>
      <c r="D634" s="14" t="s">
        <v>805</v>
      </c>
      <c r="E634" s="1">
        <v>5556.03</v>
      </c>
      <c r="F634" s="2"/>
      <c r="G634" s="1">
        <v>4072.09</v>
      </c>
      <c r="H634" s="3"/>
      <c r="I634" s="14" t="s">
        <v>6177</v>
      </c>
    </row>
    <row r="635" spans="1:9" ht="18.75" customHeight="1" x14ac:dyDescent="0.4">
      <c r="A635" s="14" t="s">
        <v>4385</v>
      </c>
      <c r="B635" s="16" t="str">
        <f>TRIM("島屋第2憩の家")</f>
        <v>島屋第2憩の家</v>
      </c>
      <c r="C635" s="14" t="s">
        <v>1515</v>
      </c>
      <c r="D635" s="14" t="s">
        <v>360</v>
      </c>
      <c r="E635" s="1">
        <v>237.84</v>
      </c>
      <c r="F635" s="2"/>
      <c r="G635" s="1">
        <v>200.02</v>
      </c>
      <c r="H635" s="3"/>
      <c r="I635" s="14" t="s">
        <v>1793</v>
      </c>
    </row>
    <row r="636" spans="1:9" ht="18.75" customHeight="1" x14ac:dyDescent="0.4">
      <c r="A636" s="14" t="s">
        <v>1745</v>
      </c>
      <c r="B636" s="16" t="str">
        <f>TRIM("知的障がい者更生施設（通所）「此花第2太平学園」・高齢者福祉施設用地")</f>
        <v>知的障がい者更生施設（通所）「此花第2太平学園」・高齢者福祉施設用地</v>
      </c>
      <c r="C636" s="14" t="s">
        <v>1515</v>
      </c>
      <c r="D636" s="14" t="s">
        <v>360</v>
      </c>
      <c r="E636" s="1">
        <v>999.1</v>
      </c>
      <c r="F636" s="2"/>
      <c r="G636" s="1"/>
      <c r="H636" s="3"/>
      <c r="I636" s="14" t="s">
        <v>1654</v>
      </c>
    </row>
    <row r="637" spans="1:9" ht="18.75" customHeight="1" x14ac:dyDescent="0.4">
      <c r="A637" s="14" t="s">
        <v>1761</v>
      </c>
      <c r="B637" s="16" t="str">
        <f>TRIM("もと社会福祉施設用地（此花区島屋）")</f>
        <v>もと社会福祉施設用地（此花区島屋）</v>
      </c>
      <c r="C637" s="14" t="s">
        <v>1515</v>
      </c>
      <c r="D637" s="14" t="s">
        <v>360</v>
      </c>
      <c r="E637" s="1">
        <v>1730.17</v>
      </c>
      <c r="F637" s="2"/>
      <c r="G637" s="1"/>
      <c r="H637" s="3"/>
      <c r="I637" s="14" t="s">
        <v>1654</v>
      </c>
    </row>
    <row r="638" spans="1:9" ht="18.75" customHeight="1" x14ac:dyDescent="0.4">
      <c r="A638" s="14" t="s">
        <v>3129</v>
      </c>
      <c r="B638" s="16" t="str">
        <f>TRIM("　島屋公園")</f>
        <v>島屋公園</v>
      </c>
      <c r="C638" s="14" t="s">
        <v>1515</v>
      </c>
      <c r="D638" s="14" t="s">
        <v>360</v>
      </c>
      <c r="E638" s="1">
        <v>495.87</v>
      </c>
      <c r="F638" s="2"/>
      <c r="G638" s="1"/>
      <c r="H638" s="3"/>
      <c r="I638" s="14" t="s">
        <v>2177</v>
      </c>
    </row>
    <row r="639" spans="1:9" ht="18.75" customHeight="1" x14ac:dyDescent="0.4">
      <c r="A639" s="14" t="s">
        <v>1921</v>
      </c>
      <c r="B639" s="16" t="str">
        <f>TRIM("特別養護老人ホームガーデン天使・島屋地域在宅サービスステーション")</f>
        <v>特別養護老人ホームガーデン天使・島屋地域在宅サービスステーション</v>
      </c>
      <c r="C639" s="14" t="s">
        <v>1515</v>
      </c>
      <c r="D639" s="14" t="s">
        <v>67</v>
      </c>
      <c r="E639" s="1">
        <v>2039.64</v>
      </c>
      <c r="F639" s="2"/>
      <c r="G639" s="1"/>
      <c r="H639" s="3"/>
      <c r="I639" s="14" t="s">
        <v>1654</v>
      </c>
    </row>
    <row r="640" spans="1:9" ht="18.75" customHeight="1" x14ac:dyDescent="0.4">
      <c r="A640" s="14" t="s">
        <v>7084</v>
      </c>
      <c r="B640" s="16" t="str">
        <f>TRIM("テクノパーク島屋緑地及び進入路")</f>
        <v>テクノパーク島屋緑地及び進入路</v>
      </c>
      <c r="C640" s="14" t="s">
        <v>1515</v>
      </c>
      <c r="D640" s="14" t="s">
        <v>67</v>
      </c>
      <c r="E640" s="1">
        <v>1278.32</v>
      </c>
      <c r="F640" s="2"/>
      <c r="G640" s="1"/>
      <c r="H640" s="3"/>
      <c r="I640" s="14" t="s">
        <v>4115</v>
      </c>
    </row>
    <row r="641" spans="1:9" ht="18.75" customHeight="1" x14ac:dyDescent="0.4">
      <c r="A641" s="14" t="s">
        <v>3482</v>
      </c>
      <c r="B641" s="16" t="str">
        <f>TRIM("島屋西公園")</f>
        <v>島屋西公園</v>
      </c>
      <c r="C641" s="14" t="s">
        <v>1515</v>
      </c>
      <c r="D641" s="14" t="s">
        <v>1294</v>
      </c>
      <c r="E641" s="1">
        <v>3971.33</v>
      </c>
      <c r="F641" s="2"/>
      <c r="G641" s="1"/>
      <c r="H641" s="3"/>
      <c r="I641" s="14" t="s">
        <v>2177</v>
      </c>
    </row>
    <row r="642" spans="1:9" ht="18.75" customHeight="1" x14ac:dyDescent="0.4">
      <c r="A642" s="14" t="s">
        <v>6008</v>
      </c>
      <c r="B642" s="16" t="str">
        <f>TRIM("此花地盤沈下観測所")</f>
        <v>此花地盤沈下観測所</v>
      </c>
      <c r="C642" s="14" t="s">
        <v>1515</v>
      </c>
      <c r="D642" s="14" t="s">
        <v>1294</v>
      </c>
      <c r="E642" s="1"/>
      <c r="F642" s="2"/>
      <c r="G642" s="1">
        <v>20.399999999999999</v>
      </c>
      <c r="H642" s="3"/>
      <c r="I642" s="14" t="s">
        <v>5977</v>
      </c>
    </row>
    <row r="643" spans="1:9" ht="18.75" customHeight="1" x14ac:dyDescent="0.4">
      <c r="A643" s="14" t="s">
        <v>2296</v>
      </c>
      <c r="B643" s="16" t="str">
        <f>TRIM("道路（此花）（管財課）")</f>
        <v>道路（此花）（管財課）</v>
      </c>
      <c r="C643" s="14" t="s">
        <v>1515</v>
      </c>
      <c r="D643" s="14" t="s">
        <v>952</v>
      </c>
      <c r="E643" s="1">
        <v>785864.52</v>
      </c>
      <c r="F643" s="2"/>
      <c r="G643" s="1"/>
      <c r="H643" s="3"/>
      <c r="I643" s="14" t="s">
        <v>2177</v>
      </c>
    </row>
    <row r="644" spans="1:9" ht="18.75" customHeight="1" x14ac:dyDescent="0.4">
      <c r="A644" s="14" t="s">
        <v>3400</v>
      </c>
      <c r="B644" s="16" t="str">
        <f>TRIM("安治川口北公園")</f>
        <v>安治川口北公園</v>
      </c>
      <c r="C644" s="14" t="s">
        <v>1515</v>
      </c>
      <c r="D644" s="14" t="s">
        <v>952</v>
      </c>
      <c r="E644" s="1">
        <v>3756.79</v>
      </c>
      <c r="F644" s="2"/>
      <c r="G644" s="1"/>
      <c r="H644" s="3"/>
      <c r="I644" s="14" t="s">
        <v>2177</v>
      </c>
    </row>
    <row r="645" spans="1:9" ht="18.75" customHeight="1" x14ac:dyDescent="0.4">
      <c r="A645" s="14" t="s">
        <v>3483</v>
      </c>
      <c r="B645" s="16" t="str">
        <f>TRIM("島屋南公園")</f>
        <v>島屋南公園</v>
      </c>
      <c r="C645" s="14" t="s">
        <v>1515</v>
      </c>
      <c r="D645" s="14" t="s">
        <v>952</v>
      </c>
      <c r="E645" s="1">
        <v>4797.87</v>
      </c>
      <c r="F645" s="2"/>
      <c r="G645" s="1"/>
      <c r="H645" s="3"/>
      <c r="I645" s="14" t="s">
        <v>2177</v>
      </c>
    </row>
    <row r="646" spans="1:9" ht="18.75" customHeight="1" x14ac:dyDescent="0.4">
      <c r="A646" s="14" t="s">
        <v>3772</v>
      </c>
      <c r="B646" s="16" t="str">
        <f>TRIM("安治川口駅自転車駐車場管理事務所")</f>
        <v>安治川口駅自転車駐車場管理事務所</v>
      </c>
      <c r="C646" s="14" t="s">
        <v>1515</v>
      </c>
      <c r="D646" s="14" t="s">
        <v>952</v>
      </c>
      <c r="E646" s="1"/>
      <c r="F646" s="2"/>
      <c r="G646" s="1">
        <v>12.15</v>
      </c>
      <c r="H646" s="3"/>
      <c r="I646" s="14" t="s">
        <v>2177</v>
      </c>
    </row>
    <row r="647" spans="1:9" ht="18.75" customHeight="1" x14ac:dyDescent="0.4">
      <c r="A647" s="14" t="s">
        <v>5437</v>
      </c>
      <c r="B647" s="16" t="str">
        <f>TRIM("もと北港大橋派出所（コミュニティ用地等）")</f>
        <v>もと北港大橋派出所（コミュニティ用地等）</v>
      </c>
      <c r="C647" s="14" t="s">
        <v>1515</v>
      </c>
      <c r="D647" s="14" t="s">
        <v>187</v>
      </c>
      <c r="E647" s="1">
        <v>59.49</v>
      </c>
      <c r="F647" s="2"/>
      <c r="G647" s="1"/>
      <c r="H647" s="3"/>
      <c r="I647" s="14" t="s">
        <v>5349</v>
      </c>
    </row>
    <row r="648" spans="1:9" ht="18.75" customHeight="1" x14ac:dyDescent="0.4">
      <c r="A648" s="14" t="s">
        <v>4804</v>
      </c>
      <c r="B648" s="16" t="str">
        <f>TRIM("高見小学校")</f>
        <v>高見小学校</v>
      </c>
      <c r="C648" s="14" t="s">
        <v>1515</v>
      </c>
      <c r="D648" s="14" t="s">
        <v>743</v>
      </c>
      <c r="E648" s="1">
        <v>10963.81</v>
      </c>
      <c r="F648" s="2"/>
      <c r="G648" s="1">
        <v>8451.57</v>
      </c>
      <c r="H648" s="3"/>
      <c r="I648" s="14" t="s">
        <v>4689</v>
      </c>
    </row>
    <row r="649" spans="1:9" ht="18.75" customHeight="1" x14ac:dyDescent="0.4">
      <c r="A649" s="14" t="s">
        <v>6364</v>
      </c>
      <c r="B649" s="16" t="str">
        <f>TRIM("高見住宅")</f>
        <v>高見住宅</v>
      </c>
      <c r="C649" s="14" t="s">
        <v>1515</v>
      </c>
      <c r="D649" s="14" t="s">
        <v>743</v>
      </c>
      <c r="E649" s="1">
        <v>35609.660000000003</v>
      </c>
      <c r="F649" s="2"/>
      <c r="G649" s="1">
        <v>74386.67</v>
      </c>
      <c r="H649" s="3"/>
      <c r="I649" s="14" t="s">
        <v>6177</v>
      </c>
    </row>
    <row r="650" spans="1:9" ht="18.75" customHeight="1" x14ac:dyDescent="0.4">
      <c r="A650" s="14" t="s">
        <v>2193</v>
      </c>
      <c r="B650" s="16" t="str">
        <f>TRIM("正蓮寺川北岸線（基金）")</f>
        <v>正蓮寺川北岸線（基金）</v>
      </c>
      <c r="C650" s="14" t="s">
        <v>1515</v>
      </c>
      <c r="D650" s="14" t="s">
        <v>743</v>
      </c>
      <c r="E650" s="1">
        <v>1739.99</v>
      </c>
      <c r="F650" s="2"/>
      <c r="G650" s="1"/>
      <c r="H650" s="3"/>
      <c r="I650" s="14" t="s">
        <v>2177</v>
      </c>
    </row>
    <row r="651" spans="1:9" ht="18.75" customHeight="1" x14ac:dyDescent="0.4">
      <c r="A651" s="14" t="s">
        <v>2428</v>
      </c>
      <c r="B651" s="16" t="str">
        <f>TRIM("正蓮寺川北岸線")</f>
        <v>正蓮寺川北岸線</v>
      </c>
      <c r="C651" s="14" t="s">
        <v>1515</v>
      </c>
      <c r="D651" s="14" t="s">
        <v>743</v>
      </c>
      <c r="E651" s="1">
        <v>1633.45</v>
      </c>
      <c r="F651" s="2"/>
      <c r="G651" s="1"/>
      <c r="H651" s="3"/>
      <c r="I651" s="14" t="s">
        <v>2177</v>
      </c>
    </row>
    <row r="652" spans="1:9" ht="18.75" customHeight="1" x14ac:dyDescent="0.4">
      <c r="A652" s="14" t="s">
        <v>2704</v>
      </c>
      <c r="B652" s="16" t="str">
        <f>TRIM("　高見公園")</f>
        <v>高見公園</v>
      </c>
      <c r="C652" s="14" t="s">
        <v>1515</v>
      </c>
      <c r="D652" s="14" t="s">
        <v>743</v>
      </c>
      <c r="E652" s="1">
        <v>3237.69</v>
      </c>
      <c r="F652" s="2"/>
      <c r="G652" s="1"/>
      <c r="H652" s="3"/>
      <c r="I652" s="14" t="s">
        <v>2177</v>
      </c>
    </row>
    <row r="653" spans="1:9" ht="18.75" customHeight="1" x14ac:dyDescent="0.4">
      <c r="A653" s="14" t="s">
        <v>2707</v>
      </c>
      <c r="B653" s="16" t="str">
        <f>TRIM("　高見北公園")</f>
        <v>高見北公園</v>
      </c>
      <c r="C653" s="14" t="s">
        <v>1515</v>
      </c>
      <c r="D653" s="14" t="s">
        <v>743</v>
      </c>
      <c r="E653" s="1">
        <v>1000.11</v>
      </c>
      <c r="F653" s="2"/>
      <c r="G653" s="1"/>
      <c r="H653" s="3"/>
      <c r="I653" s="14" t="s">
        <v>2177</v>
      </c>
    </row>
    <row r="654" spans="1:9" ht="18.75" customHeight="1" x14ac:dyDescent="0.4">
      <c r="A654" s="14" t="s">
        <v>3423</v>
      </c>
      <c r="B654" s="16" t="str">
        <f>TRIM("高見新家公園")</f>
        <v>高見新家公園</v>
      </c>
      <c r="C654" s="14" t="s">
        <v>1515</v>
      </c>
      <c r="D654" s="14" t="s">
        <v>743</v>
      </c>
      <c r="E654" s="1">
        <v>20201.3</v>
      </c>
      <c r="F654" s="2"/>
      <c r="G654" s="1"/>
      <c r="H654" s="3"/>
      <c r="I654" s="14" t="s">
        <v>2177</v>
      </c>
    </row>
    <row r="655" spans="1:9" ht="18.75" customHeight="1" x14ac:dyDescent="0.4">
      <c r="A655" s="14" t="s">
        <v>3553</v>
      </c>
      <c r="B655" s="16" t="str">
        <f>TRIM("　高見公園")</f>
        <v>高見公園</v>
      </c>
      <c r="C655" s="14" t="s">
        <v>1515</v>
      </c>
      <c r="D655" s="14" t="s">
        <v>743</v>
      </c>
      <c r="E655" s="1"/>
      <c r="F655" s="2"/>
      <c r="G655" s="1">
        <v>19.2</v>
      </c>
      <c r="H655" s="3"/>
      <c r="I655" s="14" t="s">
        <v>2177</v>
      </c>
    </row>
    <row r="656" spans="1:9" ht="18.75" customHeight="1" x14ac:dyDescent="0.4">
      <c r="A656" s="14" t="s">
        <v>3693</v>
      </c>
      <c r="B656" s="16" t="str">
        <f>TRIM("高見新家公園")</f>
        <v>高見新家公園</v>
      </c>
      <c r="C656" s="14" t="s">
        <v>1515</v>
      </c>
      <c r="D656" s="14" t="s">
        <v>743</v>
      </c>
      <c r="E656" s="1"/>
      <c r="F656" s="2"/>
      <c r="G656" s="1">
        <v>22.44</v>
      </c>
      <c r="H656" s="3"/>
      <c r="I656" s="14" t="s">
        <v>2177</v>
      </c>
    </row>
    <row r="657" spans="1:9" ht="18.75" customHeight="1" x14ac:dyDescent="0.4">
      <c r="A657" s="14" t="s">
        <v>3990</v>
      </c>
      <c r="B657" s="16" t="str">
        <f>TRIM("淀川左岸線（此花）")</f>
        <v>淀川左岸線（此花）</v>
      </c>
      <c r="C657" s="14" t="s">
        <v>1515</v>
      </c>
      <c r="D657" s="14" t="s">
        <v>743</v>
      </c>
      <c r="E657" s="1">
        <v>1758.29</v>
      </c>
      <c r="F657" s="2"/>
      <c r="G657" s="1"/>
      <c r="H657" s="3"/>
      <c r="I657" s="14" t="s">
        <v>2177</v>
      </c>
    </row>
    <row r="658" spans="1:9" ht="18.75" customHeight="1" x14ac:dyDescent="0.4">
      <c r="A658" s="14" t="s">
        <v>6365</v>
      </c>
      <c r="B658" s="16" t="str">
        <f>TRIM("高見住宅地区改良事業")</f>
        <v>高見住宅地区改良事業</v>
      </c>
      <c r="C658" s="14" t="s">
        <v>1515</v>
      </c>
      <c r="D658" s="14" t="s">
        <v>743</v>
      </c>
      <c r="E658" s="1">
        <v>7099.97</v>
      </c>
      <c r="F658" s="2"/>
      <c r="G658" s="1"/>
      <c r="H658" s="3"/>
      <c r="I658" s="14" t="s">
        <v>6177</v>
      </c>
    </row>
    <row r="659" spans="1:9" ht="18.75" customHeight="1" x14ac:dyDescent="0.4">
      <c r="A659" s="18"/>
      <c r="B659" s="14" t="s">
        <v>7167</v>
      </c>
      <c r="C659" s="14" t="s">
        <v>1515</v>
      </c>
      <c r="D659" s="1" t="s">
        <v>743</v>
      </c>
      <c r="E659" s="2"/>
      <c r="F659" s="11"/>
      <c r="G659" s="1">
        <v>4657.24</v>
      </c>
      <c r="H659" s="1"/>
      <c r="I659" s="1" t="s">
        <v>2177</v>
      </c>
    </row>
    <row r="660" spans="1:9" ht="18.75" customHeight="1" x14ac:dyDescent="0.4">
      <c r="A660" s="18"/>
      <c r="B660" s="14" t="s">
        <v>7168</v>
      </c>
      <c r="C660" s="14" t="s">
        <v>1515</v>
      </c>
      <c r="D660" s="1" t="s">
        <v>743</v>
      </c>
      <c r="E660" s="2"/>
      <c r="F660" s="11"/>
      <c r="G660" s="1">
        <v>265.48</v>
      </c>
      <c r="H660" s="1"/>
      <c r="I660" s="1" t="s">
        <v>2177</v>
      </c>
    </row>
    <row r="661" spans="1:9" ht="18.75" customHeight="1" x14ac:dyDescent="0.4">
      <c r="A661" s="14" t="s">
        <v>4812</v>
      </c>
      <c r="B661" s="16" t="str">
        <f>TRIM("此花中学校")</f>
        <v>此花中学校</v>
      </c>
      <c r="C661" s="14" t="s">
        <v>1515</v>
      </c>
      <c r="D661" s="14" t="s">
        <v>1393</v>
      </c>
      <c r="E661" s="1">
        <v>16692.259999999998</v>
      </c>
      <c r="F661" s="2"/>
      <c r="G661" s="1">
        <v>8122.19</v>
      </c>
      <c r="H661" s="3"/>
      <c r="I661" s="14" t="s">
        <v>4689</v>
      </c>
    </row>
    <row r="662" spans="1:9" ht="18.75" customHeight="1" x14ac:dyDescent="0.4">
      <c r="A662" s="14" t="s">
        <v>5856</v>
      </c>
      <c r="B662" s="16" t="str">
        <f>TRIM("高見町保育所")</f>
        <v>高見町保育所</v>
      </c>
      <c r="C662" s="14" t="s">
        <v>1515</v>
      </c>
      <c r="D662" s="14" t="s">
        <v>570</v>
      </c>
      <c r="E662" s="1">
        <v>1001.55</v>
      </c>
      <c r="F662" s="2"/>
      <c r="G662" s="1">
        <v>519.49</v>
      </c>
      <c r="H662" s="3"/>
      <c r="I662" s="14" t="s">
        <v>5617</v>
      </c>
    </row>
    <row r="663" spans="1:9" ht="18.75" customHeight="1" x14ac:dyDescent="0.4">
      <c r="A663" s="14" t="s">
        <v>6366</v>
      </c>
      <c r="B663" s="16" t="str">
        <f>TRIM("高見第2住宅")</f>
        <v>高見第2住宅</v>
      </c>
      <c r="C663" s="14" t="s">
        <v>1515</v>
      </c>
      <c r="D663" s="14" t="s">
        <v>570</v>
      </c>
      <c r="E663" s="1">
        <v>4542.92</v>
      </c>
      <c r="F663" s="2"/>
      <c r="G663" s="1">
        <v>2366.0100000000002</v>
      </c>
      <c r="H663" s="3"/>
      <c r="I663" s="14" t="s">
        <v>6177</v>
      </c>
    </row>
    <row r="664" spans="1:9" ht="18.75" customHeight="1" x14ac:dyDescent="0.4">
      <c r="A664" s="14" t="s">
        <v>2706</v>
      </c>
      <c r="B664" s="16" t="str">
        <f>TRIM("　高見西公園")</f>
        <v>高見西公園</v>
      </c>
      <c r="C664" s="14" t="s">
        <v>1515</v>
      </c>
      <c r="D664" s="14" t="s">
        <v>570</v>
      </c>
      <c r="E664" s="1">
        <v>662.77</v>
      </c>
      <c r="F664" s="2"/>
      <c r="G664" s="1"/>
      <c r="H664" s="3"/>
      <c r="I664" s="14" t="s">
        <v>2177</v>
      </c>
    </row>
    <row r="665" spans="1:9" ht="18.75" customHeight="1" x14ac:dyDescent="0.4">
      <c r="A665" s="14" t="s">
        <v>4197</v>
      </c>
      <c r="B665" s="16" t="str">
        <f>TRIM("常吉排水ポンプ室")</f>
        <v>常吉排水ポンプ室</v>
      </c>
      <c r="C665" s="14" t="s">
        <v>1515</v>
      </c>
      <c r="D665" s="14" t="s">
        <v>1349</v>
      </c>
      <c r="E665" s="1">
        <v>415.98</v>
      </c>
      <c r="F665" s="2"/>
      <c r="G665" s="1">
        <v>105.09</v>
      </c>
      <c r="H665" s="3"/>
      <c r="I665" s="14" t="s">
        <v>4117</v>
      </c>
    </row>
    <row r="666" spans="1:9" ht="18.75" customHeight="1" x14ac:dyDescent="0.4">
      <c r="A666" s="14" t="s">
        <v>5306</v>
      </c>
      <c r="B666" s="16" t="str">
        <f>TRIM("防火水槽用地（此花）")</f>
        <v>防火水槽用地（此花）</v>
      </c>
      <c r="C666" s="14" t="s">
        <v>1515</v>
      </c>
      <c r="D666" s="14" t="s">
        <v>1349</v>
      </c>
      <c r="E666" s="1">
        <v>370.55</v>
      </c>
      <c r="F666" s="2"/>
      <c r="G666" s="1"/>
      <c r="H666" s="3"/>
      <c r="I666" s="14" t="s">
        <v>5219</v>
      </c>
    </row>
    <row r="667" spans="1:9" ht="18.75" customHeight="1" x14ac:dyDescent="0.4">
      <c r="A667" s="14" t="s">
        <v>4143</v>
      </c>
      <c r="B667" s="16" t="str">
        <f>TRIM("もとケーソンヤード（此花）")</f>
        <v>もとケーソンヤード（此花）</v>
      </c>
      <c r="C667" s="14" t="s">
        <v>1515</v>
      </c>
      <c r="D667" s="14" t="s">
        <v>624</v>
      </c>
      <c r="E667" s="1">
        <v>6587.92</v>
      </c>
      <c r="F667" s="2">
        <v>2046</v>
      </c>
      <c r="G667" s="1">
        <v>347.8</v>
      </c>
      <c r="H667" s="3"/>
      <c r="I667" s="14" t="s">
        <v>4117</v>
      </c>
    </row>
    <row r="668" spans="1:9" ht="18.75" customHeight="1" x14ac:dyDescent="0.4">
      <c r="A668" s="14" t="s">
        <v>4144</v>
      </c>
      <c r="B668" s="16" t="str">
        <f>TRIM("もと臨港道路（此花）")</f>
        <v>もと臨港道路（此花）</v>
      </c>
      <c r="C668" s="14" t="s">
        <v>1515</v>
      </c>
      <c r="D668" s="14" t="s">
        <v>624</v>
      </c>
      <c r="E668" s="1">
        <v>8.68</v>
      </c>
      <c r="F668" s="2">
        <v>2047</v>
      </c>
      <c r="G668" s="1"/>
      <c r="H668" s="3"/>
      <c r="I668" s="14" t="s">
        <v>4117</v>
      </c>
    </row>
    <row r="669" spans="1:9" ht="18.75" customHeight="1" x14ac:dyDescent="0.4">
      <c r="A669" s="14" t="s">
        <v>4132</v>
      </c>
      <c r="B669" s="16" t="str">
        <f>TRIM("公害発生企業売却予定地")</f>
        <v>公害発生企業売却予定地</v>
      </c>
      <c r="C669" s="14" t="s">
        <v>1515</v>
      </c>
      <c r="D669" s="14" t="s">
        <v>624</v>
      </c>
      <c r="E669" s="1">
        <v>1633</v>
      </c>
      <c r="F669" s="2"/>
      <c r="G669" s="1"/>
      <c r="H669" s="3"/>
      <c r="I669" s="14" t="s">
        <v>4117</v>
      </c>
    </row>
    <row r="670" spans="1:9" ht="18.75" customHeight="1" x14ac:dyDescent="0.4">
      <c r="A670" s="14" t="s">
        <v>4186</v>
      </c>
      <c r="B670" s="16" t="str">
        <f>TRIM("臨港緑地（此花）")</f>
        <v>臨港緑地（此花）</v>
      </c>
      <c r="C670" s="14" t="s">
        <v>1515</v>
      </c>
      <c r="D670" s="14" t="s">
        <v>624</v>
      </c>
      <c r="E670" s="1">
        <v>100612.98</v>
      </c>
      <c r="F670" s="2"/>
      <c r="G670" s="1"/>
      <c r="H670" s="3"/>
      <c r="I670" s="14" t="s">
        <v>4117</v>
      </c>
    </row>
    <row r="671" spans="1:9" ht="18.75" customHeight="1" x14ac:dyDescent="0.4">
      <c r="A671" s="14" t="s">
        <v>4231</v>
      </c>
      <c r="B671" s="16" t="str">
        <f>TRIM("大阪市港内清掃事務所")</f>
        <v>大阪市港内清掃事務所</v>
      </c>
      <c r="C671" s="14" t="s">
        <v>1515</v>
      </c>
      <c r="D671" s="14" t="s">
        <v>624</v>
      </c>
      <c r="E671" s="1"/>
      <c r="F671" s="2"/>
      <c r="G671" s="1">
        <v>297.23</v>
      </c>
      <c r="H671" s="3"/>
      <c r="I671" s="14" t="s">
        <v>4117</v>
      </c>
    </row>
    <row r="672" spans="1:9" ht="18.75" customHeight="1" x14ac:dyDescent="0.4">
      <c r="A672" s="14" t="s">
        <v>4232</v>
      </c>
      <c r="B672" s="16" t="str">
        <f>TRIM("大阪市港内清掃事務所用地")</f>
        <v>大阪市港内清掃事務所用地</v>
      </c>
      <c r="C672" s="14" t="s">
        <v>1515</v>
      </c>
      <c r="D672" s="14" t="s">
        <v>624</v>
      </c>
      <c r="E672" s="1">
        <v>3568.23</v>
      </c>
      <c r="F672" s="2"/>
      <c r="G672" s="1"/>
      <c r="H672" s="3"/>
      <c r="I672" s="14" t="s">
        <v>4117</v>
      </c>
    </row>
    <row r="673" spans="1:9" ht="18.75" customHeight="1" x14ac:dyDescent="0.4">
      <c r="A673" s="14" t="s">
        <v>4242</v>
      </c>
      <c r="B673" s="16" t="str">
        <f>TRIM("ケーソンヤード（此花）")</f>
        <v>ケーソンヤード（此花）</v>
      </c>
      <c r="C673" s="14" t="s">
        <v>1515</v>
      </c>
      <c r="D673" s="14" t="s">
        <v>624</v>
      </c>
      <c r="E673" s="1">
        <v>1288.46</v>
      </c>
      <c r="F673" s="2"/>
      <c r="G673" s="1"/>
      <c r="H673" s="3"/>
      <c r="I673" s="14" t="s">
        <v>4117</v>
      </c>
    </row>
    <row r="674" spans="1:9" ht="18.75" customHeight="1" x14ac:dyDescent="0.4">
      <c r="A674" s="14" t="s">
        <v>4244</v>
      </c>
      <c r="B674" s="16" t="str">
        <f>TRIM("もと常吉町現場事務所")</f>
        <v>もと常吉町現場事務所</v>
      </c>
      <c r="C674" s="14" t="s">
        <v>1515</v>
      </c>
      <c r="D674" s="14" t="s">
        <v>624</v>
      </c>
      <c r="E674" s="1"/>
      <c r="F674" s="2"/>
      <c r="G674" s="1">
        <v>977.85</v>
      </c>
      <c r="H674" s="3"/>
      <c r="I674" s="14" t="s">
        <v>4117</v>
      </c>
    </row>
    <row r="675" spans="1:9" ht="18.75" customHeight="1" x14ac:dyDescent="0.4">
      <c r="A675" s="14" t="s">
        <v>6019</v>
      </c>
      <c r="B675" s="16" t="str">
        <f>TRIM("もとクリーン大阪センター")</f>
        <v>もとクリーン大阪センター</v>
      </c>
      <c r="C675" s="14" t="s">
        <v>1515</v>
      </c>
      <c r="D675" s="14" t="s">
        <v>624</v>
      </c>
      <c r="E675" s="1">
        <v>3761.59</v>
      </c>
      <c r="F675" s="2"/>
      <c r="G675" s="1"/>
      <c r="H675" s="3"/>
      <c r="I675" s="14" t="s">
        <v>5977</v>
      </c>
    </row>
    <row r="676" spans="1:9" ht="18.75" customHeight="1" x14ac:dyDescent="0.4">
      <c r="A676" s="14" t="s">
        <v>6367</v>
      </c>
      <c r="B676" s="16" t="str">
        <f>TRIM("高見地区整備事業用地")</f>
        <v>高見地区整備事業用地</v>
      </c>
      <c r="C676" s="14" t="s">
        <v>1515</v>
      </c>
      <c r="D676" s="14" t="s">
        <v>744</v>
      </c>
      <c r="E676" s="1">
        <v>3750.18</v>
      </c>
      <c r="F676" s="2"/>
      <c r="G676" s="1"/>
      <c r="H676" s="3"/>
      <c r="I676" s="14" t="s">
        <v>6177</v>
      </c>
    </row>
    <row r="677" spans="1:9" ht="18.75" customHeight="1" x14ac:dyDescent="0.4">
      <c r="A677" s="14" t="s">
        <v>6888</v>
      </c>
      <c r="B677" s="16" t="str">
        <f>TRIM("高見地区整備事業用地")</f>
        <v>高見地区整備事業用地</v>
      </c>
      <c r="C677" s="14" t="s">
        <v>1515</v>
      </c>
      <c r="D677" s="14" t="s">
        <v>744</v>
      </c>
      <c r="E677" s="1">
        <v>1640.22</v>
      </c>
      <c r="F677" s="2">
        <v>958</v>
      </c>
      <c r="G677" s="1"/>
      <c r="H677" s="3"/>
      <c r="I677" s="14" t="s">
        <v>6177</v>
      </c>
    </row>
    <row r="678" spans="1:9" ht="18.75" customHeight="1" x14ac:dyDescent="0.4">
      <c r="A678" s="14" t="s">
        <v>6564</v>
      </c>
      <c r="B678" s="16" t="str">
        <f>TRIM("伝法住宅")</f>
        <v>伝法住宅</v>
      </c>
      <c r="C678" s="14" t="s">
        <v>1515</v>
      </c>
      <c r="D678" s="14" t="s">
        <v>744</v>
      </c>
      <c r="E678" s="1">
        <v>19720.07</v>
      </c>
      <c r="F678" s="2">
        <v>1892</v>
      </c>
      <c r="G678" s="1">
        <v>24338.44</v>
      </c>
      <c r="H678" s="3"/>
      <c r="I678" s="14" t="s">
        <v>6177</v>
      </c>
    </row>
    <row r="679" spans="1:9" ht="18.75" customHeight="1" x14ac:dyDescent="0.4">
      <c r="A679" s="14" t="s">
        <v>2952</v>
      </c>
      <c r="B679" s="16" t="str">
        <f>TRIM("　千鳥橋みどり公園")</f>
        <v>千鳥橋みどり公園</v>
      </c>
      <c r="C679" s="14" t="s">
        <v>1515</v>
      </c>
      <c r="D679" s="14" t="s">
        <v>744</v>
      </c>
      <c r="E679" s="1">
        <v>5346.74</v>
      </c>
      <c r="F679" s="2"/>
      <c r="G679" s="1"/>
      <c r="H679" s="3"/>
      <c r="I679" s="14" t="s">
        <v>2177</v>
      </c>
    </row>
    <row r="680" spans="1:9" ht="18.75" customHeight="1" x14ac:dyDescent="0.4">
      <c r="A680" s="14" t="s">
        <v>3601</v>
      </c>
      <c r="B680" s="16" t="str">
        <f>TRIM("　千鳥橋みどり公園")</f>
        <v>千鳥橋みどり公園</v>
      </c>
      <c r="C680" s="14" t="s">
        <v>1515</v>
      </c>
      <c r="D680" s="14" t="s">
        <v>744</v>
      </c>
      <c r="E680" s="1"/>
      <c r="F680" s="2"/>
      <c r="G680" s="1">
        <v>18.239999999999998</v>
      </c>
      <c r="H680" s="3"/>
      <c r="I680" s="14" t="s">
        <v>2177</v>
      </c>
    </row>
    <row r="681" spans="1:9" ht="18.75" customHeight="1" x14ac:dyDescent="0.4">
      <c r="A681" s="14" t="s">
        <v>3709</v>
      </c>
      <c r="B681" s="16" t="str">
        <f>TRIM("正蓮寺川公園")</f>
        <v>正蓮寺川公園</v>
      </c>
      <c r="C681" s="14" t="s">
        <v>1515</v>
      </c>
      <c r="D681" s="14" t="s">
        <v>744</v>
      </c>
      <c r="E681" s="1"/>
      <c r="F681" s="2"/>
      <c r="G681" s="1">
        <v>21.46</v>
      </c>
      <c r="H681" s="3"/>
      <c r="I681" s="14" t="s">
        <v>2177</v>
      </c>
    </row>
    <row r="682" spans="1:9" ht="18.75" customHeight="1" x14ac:dyDescent="0.4">
      <c r="A682" s="14" t="s">
        <v>4013</v>
      </c>
      <c r="B682" s="16" t="str">
        <f>TRIM("下水道用地（此花）")</f>
        <v>下水道用地（此花）</v>
      </c>
      <c r="C682" s="14" t="s">
        <v>1515</v>
      </c>
      <c r="D682" s="14" t="s">
        <v>744</v>
      </c>
      <c r="E682" s="1">
        <v>7687.83</v>
      </c>
      <c r="F682" s="2"/>
      <c r="G682" s="1"/>
      <c r="H682" s="3"/>
      <c r="I682" s="14" t="s">
        <v>2177</v>
      </c>
    </row>
    <row r="683" spans="1:9" ht="18.75" customHeight="1" x14ac:dyDescent="0.4">
      <c r="A683" s="14" t="s">
        <v>6802</v>
      </c>
      <c r="B683" s="16" t="str">
        <f>TRIM("高見仮設倉庫")</f>
        <v>高見仮設倉庫</v>
      </c>
      <c r="C683" s="14" t="s">
        <v>1515</v>
      </c>
      <c r="D683" s="14" t="s">
        <v>744</v>
      </c>
      <c r="E683" s="1"/>
      <c r="F683" s="2"/>
      <c r="G683" s="1">
        <v>92.21</v>
      </c>
      <c r="H683" s="3"/>
      <c r="I683" s="14" t="s">
        <v>6177</v>
      </c>
    </row>
    <row r="684" spans="1:9" ht="18.75" customHeight="1" x14ac:dyDescent="0.4">
      <c r="A684" s="14" t="s">
        <v>6879</v>
      </c>
      <c r="B684" s="16" t="str">
        <f>TRIM("高見倉庫")</f>
        <v>高見倉庫</v>
      </c>
      <c r="C684" s="14" t="s">
        <v>1515</v>
      </c>
      <c r="D684" s="14" t="s">
        <v>744</v>
      </c>
      <c r="E684" s="1"/>
      <c r="F684" s="2"/>
      <c r="G684" s="1">
        <v>1096.04</v>
      </c>
      <c r="H684" s="3"/>
      <c r="I684" s="14" t="s">
        <v>6177</v>
      </c>
    </row>
    <row r="685" spans="1:9" ht="18.75" customHeight="1" x14ac:dyDescent="0.4">
      <c r="A685" s="14" t="s">
        <v>6772</v>
      </c>
      <c r="B685" s="16" t="str">
        <f>TRIM("千鳥橋住宅")</f>
        <v>千鳥橋住宅</v>
      </c>
      <c r="C685" s="14" t="s">
        <v>1515</v>
      </c>
      <c r="D685" s="14" t="s">
        <v>620</v>
      </c>
      <c r="E685" s="1">
        <v>10166.4</v>
      </c>
      <c r="F685" s="2"/>
      <c r="G685" s="1">
        <v>13304.37</v>
      </c>
      <c r="H685" s="3"/>
      <c r="I685" s="14" t="s">
        <v>6177</v>
      </c>
    </row>
    <row r="686" spans="1:9" ht="18.75" customHeight="1" x14ac:dyDescent="0.4">
      <c r="A686" s="14" t="s">
        <v>3111</v>
      </c>
      <c r="B686" s="16" t="str">
        <f>TRIM("　伝法東公園")</f>
        <v>伝法東公園</v>
      </c>
      <c r="C686" s="14" t="s">
        <v>1515</v>
      </c>
      <c r="D686" s="14" t="s">
        <v>620</v>
      </c>
      <c r="E686" s="1">
        <v>1917.57</v>
      </c>
      <c r="F686" s="2"/>
      <c r="G686" s="1"/>
      <c r="H686" s="3"/>
      <c r="I686" s="14" t="s">
        <v>2177</v>
      </c>
    </row>
    <row r="687" spans="1:9" ht="18.75" customHeight="1" x14ac:dyDescent="0.4">
      <c r="A687" s="14" t="s">
        <v>3639</v>
      </c>
      <c r="B687" s="16" t="str">
        <f>TRIM("　伝法東公園")</f>
        <v>伝法東公園</v>
      </c>
      <c r="C687" s="14" t="s">
        <v>1515</v>
      </c>
      <c r="D687" s="14" t="s">
        <v>620</v>
      </c>
      <c r="E687" s="1"/>
      <c r="F687" s="2"/>
      <c r="G687" s="1">
        <v>18.239999999999998</v>
      </c>
      <c r="H687" s="3"/>
      <c r="I687" s="14" t="s">
        <v>2177</v>
      </c>
    </row>
    <row r="688" spans="1:9" ht="18.75" customHeight="1" x14ac:dyDescent="0.4">
      <c r="A688" s="14" t="s">
        <v>5983</v>
      </c>
      <c r="B688" s="16" t="str">
        <f>TRIM("公害工場跡地（奥小路製鋼）")</f>
        <v>公害工場跡地（奥小路製鋼）</v>
      </c>
      <c r="C688" s="14" t="s">
        <v>1515</v>
      </c>
      <c r="D688" s="14" t="s">
        <v>620</v>
      </c>
      <c r="E688" s="1">
        <v>9909.9699999999993</v>
      </c>
      <c r="F688" s="2"/>
      <c r="G688" s="1"/>
      <c r="H688" s="3"/>
      <c r="I688" s="14" t="s">
        <v>5977</v>
      </c>
    </row>
    <row r="689" spans="1:9" ht="18.75" customHeight="1" x14ac:dyDescent="0.4">
      <c r="A689" s="14" t="s">
        <v>5004</v>
      </c>
      <c r="B689" s="16" t="str">
        <f>TRIM("伝法小学校")</f>
        <v>伝法小学校</v>
      </c>
      <c r="C689" s="14" t="s">
        <v>1515</v>
      </c>
      <c r="D689" s="14" t="s">
        <v>256</v>
      </c>
      <c r="E689" s="1">
        <v>10594.44</v>
      </c>
      <c r="F689" s="2"/>
      <c r="G689" s="1">
        <v>8775</v>
      </c>
      <c r="H689" s="3"/>
      <c r="I689" s="14" t="s">
        <v>4689</v>
      </c>
    </row>
    <row r="690" spans="1:9" ht="18.75" customHeight="1" x14ac:dyDescent="0.4">
      <c r="A690" s="14" t="s">
        <v>1872</v>
      </c>
      <c r="B690" s="16" t="str">
        <f>TRIM("此花区在宅サービスセンター")</f>
        <v>此花区在宅サービスセンター</v>
      </c>
      <c r="C690" s="14" t="s">
        <v>1515</v>
      </c>
      <c r="D690" s="14" t="s">
        <v>256</v>
      </c>
      <c r="E690" s="1">
        <v>894.53</v>
      </c>
      <c r="F690" s="2"/>
      <c r="G690" s="1"/>
      <c r="H690" s="3"/>
      <c r="I690" s="14" t="s">
        <v>1654</v>
      </c>
    </row>
    <row r="691" spans="1:9" ht="18.75" customHeight="1" x14ac:dyDescent="0.4">
      <c r="A691" s="14" t="s">
        <v>3109</v>
      </c>
      <c r="B691" s="16" t="str">
        <f>TRIM("　伝法公園")</f>
        <v>伝法公園</v>
      </c>
      <c r="C691" s="14" t="s">
        <v>1515</v>
      </c>
      <c r="D691" s="14" t="s">
        <v>256</v>
      </c>
      <c r="E691" s="1">
        <v>11066.86</v>
      </c>
      <c r="F691" s="2"/>
      <c r="G691" s="1"/>
      <c r="H691" s="3"/>
      <c r="I691" s="14" t="s">
        <v>2177</v>
      </c>
    </row>
    <row r="692" spans="1:9" ht="18.75" customHeight="1" x14ac:dyDescent="0.4">
      <c r="A692" s="14" t="s">
        <v>3112</v>
      </c>
      <c r="B692" s="16" t="str">
        <f>TRIM("　伝法北公園")</f>
        <v>伝法北公園</v>
      </c>
      <c r="C692" s="14" t="s">
        <v>1515</v>
      </c>
      <c r="D692" s="14" t="s">
        <v>256</v>
      </c>
      <c r="E692" s="1">
        <v>597.61</v>
      </c>
      <c r="F692" s="2"/>
      <c r="G692" s="1"/>
      <c r="H692" s="3"/>
      <c r="I692" s="14" t="s">
        <v>2177</v>
      </c>
    </row>
    <row r="693" spans="1:9" ht="18.75" customHeight="1" x14ac:dyDescent="0.4">
      <c r="A693" s="14" t="s">
        <v>3638</v>
      </c>
      <c r="B693" s="16" t="str">
        <f>TRIM("　伝法公園")</f>
        <v>伝法公園</v>
      </c>
      <c r="C693" s="14" t="s">
        <v>1515</v>
      </c>
      <c r="D693" s="14" t="s">
        <v>256</v>
      </c>
      <c r="E693" s="1"/>
      <c r="F693" s="2"/>
      <c r="G693" s="1">
        <v>42.12</v>
      </c>
      <c r="H693" s="3"/>
      <c r="I693" s="14" t="s">
        <v>2177</v>
      </c>
    </row>
    <row r="694" spans="1:9" ht="18.75" customHeight="1" x14ac:dyDescent="0.4">
      <c r="A694" s="14" t="s">
        <v>4384</v>
      </c>
      <c r="B694" s="16" t="str">
        <f>TRIM("伝法連合第2集会所")</f>
        <v>伝法連合第2集会所</v>
      </c>
      <c r="C694" s="14" t="s">
        <v>1515</v>
      </c>
      <c r="D694" s="14" t="s">
        <v>256</v>
      </c>
      <c r="E694" s="1">
        <v>300</v>
      </c>
      <c r="F694" s="2"/>
      <c r="G694" s="1"/>
      <c r="H694" s="3"/>
      <c r="I694" s="14" t="s">
        <v>1793</v>
      </c>
    </row>
    <row r="695" spans="1:9" ht="18.75" customHeight="1" x14ac:dyDescent="0.4">
      <c r="A695" s="14" t="s">
        <v>5534</v>
      </c>
      <c r="B695" s="16" t="str">
        <f>TRIM("廃道（此花）")</f>
        <v>廃道（此花）</v>
      </c>
      <c r="C695" s="14" t="s">
        <v>1515</v>
      </c>
      <c r="D695" s="14" t="s">
        <v>256</v>
      </c>
      <c r="E695" s="1">
        <v>74.02</v>
      </c>
      <c r="F695" s="2"/>
      <c r="G695" s="1"/>
      <c r="H695" s="3"/>
      <c r="I695" s="14" t="s">
        <v>5349</v>
      </c>
    </row>
    <row r="696" spans="1:9" ht="18.75" customHeight="1" x14ac:dyDescent="0.4">
      <c r="A696" s="14" t="s">
        <v>1821</v>
      </c>
      <c r="B696" s="16" t="str">
        <f>TRIM("伝法コミュニティ集会所")</f>
        <v>伝法コミュニティ集会所</v>
      </c>
      <c r="C696" s="14" t="s">
        <v>1515</v>
      </c>
      <c r="D696" s="14" t="s">
        <v>455</v>
      </c>
      <c r="E696" s="1">
        <v>360.97</v>
      </c>
      <c r="F696" s="2"/>
      <c r="G696" s="1">
        <v>105.5</v>
      </c>
      <c r="H696" s="3"/>
      <c r="I696" s="14" t="s">
        <v>1793</v>
      </c>
    </row>
    <row r="697" spans="1:9" ht="18.75" customHeight="1" x14ac:dyDescent="0.4">
      <c r="A697" s="14" t="s">
        <v>5809</v>
      </c>
      <c r="B697" s="16" t="str">
        <f>TRIM("伝法幼稚園")</f>
        <v>伝法幼稚園</v>
      </c>
      <c r="C697" s="14" t="s">
        <v>1515</v>
      </c>
      <c r="D697" s="14" t="s">
        <v>455</v>
      </c>
      <c r="E697" s="1">
        <v>3402.99</v>
      </c>
      <c r="F697" s="2"/>
      <c r="G697" s="1">
        <v>1511.23</v>
      </c>
      <c r="H697" s="3"/>
      <c r="I697" s="14" t="s">
        <v>5617</v>
      </c>
    </row>
    <row r="698" spans="1:9" ht="18.75" customHeight="1" x14ac:dyDescent="0.4">
      <c r="A698" s="14" t="s">
        <v>4383</v>
      </c>
      <c r="B698" s="16" t="str">
        <f>TRIM("伝法コミュニティ集会所")</f>
        <v>伝法コミュニティ集会所</v>
      </c>
      <c r="C698" s="14" t="s">
        <v>1515</v>
      </c>
      <c r="D698" s="14" t="s">
        <v>455</v>
      </c>
      <c r="E698" s="1"/>
      <c r="F698" s="2"/>
      <c r="G698" s="1">
        <v>110.88</v>
      </c>
      <c r="H698" s="3"/>
      <c r="I698" s="14" t="s">
        <v>1793</v>
      </c>
    </row>
    <row r="699" spans="1:9" ht="18.75" customHeight="1" x14ac:dyDescent="0.4">
      <c r="A699" s="14" t="s">
        <v>1644</v>
      </c>
      <c r="B699" s="16" t="str">
        <f>TRIM("伝法西市街地整備事業用地")</f>
        <v>伝法西市街地整備事業用地</v>
      </c>
      <c r="C699" s="14" t="s">
        <v>1515</v>
      </c>
      <c r="D699" s="14" t="s">
        <v>317</v>
      </c>
      <c r="E699" s="1">
        <v>6636.24</v>
      </c>
      <c r="F699" s="2">
        <v>58</v>
      </c>
      <c r="G699" s="1"/>
      <c r="H699" s="3"/>
      <c r="I699" s="14" t="s">
        <v>1633</v>
      </c>
    </row>
    <row r="700" spans="1:9" ht="18.75" customHeight="1" x14ac:dyDescent="0.4">
      <c r="A700" s="14" t="s">
        <v>3110</v>
      </c>
      <c r="B700" s="16" t="str">
        <f>TRIM("　伝法西公園")</f>
        <v>伝法西公園</v>
      </c>
      <c r="C700" s="14" t="s">
        <v>1515</v>
      </c>
      <c r="D700" s="14" t="s">
        <v>317</v>
      </c>
      <c r="E700" s="1">
        <v>3559.31</v>
      </c>
      <c r="F700" s="2"/>
      <c r="G700" s="1"/>
      <c r="H700" s="3"/>
      <c r="I700" s="14" t="s">
        <v>2177</v>
      </c>
    </row>
    <row r="701" spans="1:9" ht="18.75" customHeight="1" x14ac:dyDescent="0.4">
      <c r="A701" s="14" t="s">
        <v>6395</v>
      </c>
      <c r="B701" s="16" t="str">
        <f>TRIM("秀野西住宅")</f>
        <v>秀野西住宅</v>
      </c>
      <c r="C701" s="14" t="s">
        <v>1515</v>
      </c>
      <c r="D701" s="14" t="s">
        <v>461</v>
      </c>
      <c r="E701" s="1">
        <v>30386.44</v>
      </c>
      <c r="F701" s="2">
        <v>59</v>
      </c>
      <c r="G701" s="1">
        <v>35197.19</v>
      </c>
      <c r="H701" s="3"/>
      <c r="I701" s="14" t="s">
        <v>6177</v>
      </c>
    </row>
    <row r="702" spans="1:9" ht="18.75" customHeight="1" x14ac:dyDescent="0.4">
      <c r="A702" s="14" t="s">
        <v>4107</v>
      </c>
      <c r="B702" s="16" t="str">
        <f>TRIM("北港抽水所")</f>
        <v>北港抽水所</v>
      </c>
      <c r="C702" s="14" t="s">
        <v>1515</v>
      </c>
      <c r="D702" s="14" t="s">
        <v>461</v>
      </c>
      <c r="E702" s="1">
        <v>3857.83</v>
      </c>
      <c r="F702" s="2"/>
      <c r="G702" s="1">
        <v>1243.7</v>
      </c>
      <c r="H702" s="3"/>
      <c r="I702" s="14" t="s">
        <v>2177</v>
      </c>
    </row>
    <row r="703" spans="1:9" ht="18.75" customHeight="1" x14ac:dyDescent="0.4">
      <c r="A703" s="14" t="s">
        <v>5736</v>
      </c>
      <c r="B703" s="16" t="str">
        <f>TRIM("秀野保育園")</f>
        <v>秀野保育園</v>
      </c>
      <c r="C703" s="14" t="s">
        <v>1515</v>
      </c>
      <c r="D703" s="14" t="s">
        <v>461</v>
      </c>
      <c r="E703" s="1">
        <v>858.43</v>
      </c>
      <c r="F703" s="2"/>
      <c r="G703" s="1">
        <v>496.43</v>
      </c>
      <c r="H703" s="3"/>
      <c r="I703" s="14" t="s">
        <v>5617</v>
      </c>
    </row>
    <row r="704" spans="1:9" ht="18.75" customHeight="1" x14ac:dyDescent="0.4">
      <c r="A704" s="14" t="s">
        <v>6396</v>
      </c>
      <c r="B704" s="16" t="str">
        <f>TRIM("秀野第3住宅")</f>
        <v>秀野第3住宅</v>
      </c>
      <c r="C704" s="14" t="s">
        <v>1515</v>
      </c>
      <c r="D704" s="14" t="s">
        <v>461</v>
      </c>
      <c r="E704" s="1">
        <v>1830.18</v>
      </c>
      <c r="F704" s="2"/>
      <c r="G704" s="1">
        <v>1024.8</v>
      </c>
      <c r="H704" s="3"/>
      <c r="I704" s="14" t="s">
        <v>6177</v>
      </c>
    </row>
    <row r="705" spans="1:9" ht="18.75" customHeight="1" x14ac:dyDescent="0.4">
      <c r="A705" s="14" t="s">
        <v>6587</v>
      </c>
      <c r="B705" s="16" t="str">
        <f>TRIM("酉島東住宅")</f>
        <v>酉島東住宅</v>
      </c>
      <c r="C705" s="14" t="s">
        <v>1515</v>
      </c>
      <c r="D705" s="14" t="s">
        <v>461</v>
      </c>
      <c r="E705" s="1">
        <v>16463.169999999998</v>
      </c>
      <c r="F705" s="2"/>
      <c r="G705" s="1">
        <v>19140.759999999998</v>
      </c>
      <c r="H705" s="3"/>
      <c r="I705" s="14" t="s">
        <v>6177</v>
      </c>
    </row>
    <row r="706" spans="1:9" ht="18.75" customHeight="1" x14ac:dyDescent="0.4">
      <c r="A706" s="14" t="s">
        <v>1831</v>
      </c>
      <c r="B706" s="16" t="str">
        <f>TRIM("酉島憩の家")</f>
        <v>酉島憩の家</v>
      </c>
      <c r="C706" s="14" t="s">
        <v>1515</v>
      </c>
      <c r="D706" s="14" t="s">
        <v>461</v>
      </c>
      <c r="E706" s="1">
        <v>318.60000000000002</v>
      </c>
      <c r="F706" s="2"/>
      <c r="G706" s="1"/>
      <c r="H706" s="3"/>
      <c r="I706" s="14" t="s">
        <v>1654</v>
      </c>
    </row>
    <row r="707" spans="1:9" ht="18.75" customHeight="1" x14ac:dyDescent="0.4">
      <c r="A707" s="14" t="s">
        <v>3515</v>
      </c>
      <c r="B707" s="16" t="str">
        <f>TRIM("酉島東公園")</f>
        <v>酉島東公園</v>
      </c>
      <c r="C707" s="14" t="s">
        <v>1515</v>
      </c>
      <c r="D707" s="14" t="s">
        <v>461</v>
      </c>
      <c r="E707" s="1">
        <v>2086.58</v>
      </c>
      <c r="F707" s="2"/>
      <c r="G707" s="1"/>
      <c r="H707" s="3"/>
      <c r="I707" s="14" t="s">
        <v>2177</v>
      </c>
    </row>
    <row r="708" spans="1:9" ht="18.75" customHeight="1" x14ac:dyDescent="0.4">
      <c r="A708" s="14" t="s">
        <v>5913</v>
      </c>
      <c r="B708" s="16" t="str">
        <f>TRIM("酉島保育所")</f>
        <v>酉島保育所</v>
      </c>
      <c r="C708" s="14" t="s">
        <v>1515</v>
      </c>
      <c r="D708" s="14" t="s">
        <v>461</v>
      </c>
      <c r="E708" s="1"/>
      <c r="F708" s="2"/>
      <c r="G708" s="1">
        <v>364.29</v>
      </c>
      <c r="H708" s="3"/>
      <c r="I708" s="14" t="s">
        <v>5617</v>
      </c>
    </row>
    <row r="709" spans="1:9" ht="18.75" customHeight="1" x14ac:dyDescent="0.4">
      <c r="A709" s="14" t="s">
        <v>4690</v>
      </c>
      <c r="B709" s="16" t="str">
        <f>TRIM("もと此花総合高等学校")</f>
        <v>もと此花総合高等学校</v>
      </c>
      <c r="C709" s="14" t="s">
        <v>1515</v>
      </c>
      <c r="D709" s="14" t="s">
        <v>1375</v>
      </c>
      <c r="E709" s="1">
        <v>26604.1</v>
      </c>
      <c r="F709" s="2">
        <v>880</v>
      </c>
      <c r="G709" s="1"/>
      <c r="H709" s="3"/>
      <c r="I709" s="14" t="s">
        <v>4689</v>
      </c>
    </row>
    <row r="710" spans="1:9" ht="18.75" customHeight="1" x14ac:dyDescent="0.4">
      <c r="A710" s="14" t="s">
        <v>5036</v>
      </c>
      <c r="B710" s="16" t="str">
        <f>TRIM("酉島小学校")</f>
        <v>酉島小学校</v>
      </c>
      <c r="C710" s="14" t="s">
        <v>1515</v>
      </c>
      <c r="D710" s="14" t="s">
        <v>1375</v>
      </c>
      <c r="E710" s="1">
        <v>9631.7900000000009</v>
      </c>
      <c r="F710" s="2"/>
      <c r="G710" s="1">
        <v>6315.92</v>
      </c>
      <c r="H710" s="3"/>
      <c r="I710" s="14" t="s">
        <v>4689</v>
      </c>
    </row>
    <row r="711" spans="1:9" ht="18.75" customHeight="1" x14ac:dyDescent="0.4">
      <c r="A711" s="14" t="s">
        <v>4688</v>
      </c>
      <c r="B711" s="16" t="str">
        <f>TRIM("もと此花総合高等学校")</f>
        <v>もと此花総合高等学校</v>
      </c>
      <c r="C711" s="14" t="s">
        <v>1515</v>
      </c>
      <c r="D711" s="14" t="s">
        <v>1375</v>
      </c>
      <c r="E711" s="1"/>
      <c r="F711" s="2"/>
      <c r="G711" s="1">
        <v>19083.89</v>
      </c>
      <c r="H711" s="3" t="s">
        <v>7353</v>
      </c>
      <c r="I711" s="14" t="s">
        <v>4689</v>
      </c>
    </row>
    <row r="712" spans="1:9" ht="18.75" customHeight="1" x14ac:dyDescent="0.4">
      <c r="A712" s="14" t="s">
        <v>6754</v>
      </c>
      <c r="B712" s="16" t="str">
        <f>TRIM("酉島第2住宅")</f>
        <v>酉島第2住宅</v>
      </c>
      <c r="C712" s="14" t="s">
        <v>1515</v>
      </c>
      <c r="D712" s="14" t="s">
        <v>862</v>
      </c>
      <c r="E712" s="1">
        <v>4582.6400000000003</v>
      </c>
      <c r="F712" s="2"/>
      <c r="G712" s="1">
        <v>4742.49</v>
      </c>
      <c r="H712" s="3"/>
      <c r="I712" s="14" t="s">
        <v>6177</v>
      </c>
    </row>
    <row r="713" spans="1:9" ht="18.75" customHeight="1" x14ac:dyDescent="0.4">
      <c r="A713" s="14" t="s">
        <v>3172</v>
      </c>
      <c r="B713" s="16" t="str">
        <f>TRIM("　酉島中公園")</f>
        <v>酉島中公園</v>
      </c>
      <c r="C713" s="14" t="s">
        <v>1515</v>
      </c>
      <c r="D713" s="14" t="s">
        <v>862</v>
      </c>
      <c r="E713" s="1">
        <v>466.66</v>
      </c>
      <c r="F713" s="2"/>
      <c r="G713" s="1"/>
      <c r="H713" s="3"/>
      <c r="I713" s="14" t="s">
        <v>2177</v>
      </c>
    </row>
    <row r="714" spans="1:9" ht="18.75" customHeight="1" x14ac:dyDescent="0.4">
      <c r="A714" s="14" t="s">
        <v>3173</v>
      </c>
      <c r="B714" s="16" t="str">
        <f>TRIM("　酉島南公園")</f>
        <v>酉島南公園</v>
      </c>
      <c r="C714" s="14" t="s">
        <v>1515</v>
      </c>
      <c r="D714" s="14" t="s">
        <v>862</v>
      </c>
      <c r="E714" s="1">
        <v>1000.3</v>
      </c>
      <c r="F714" s="2"/>
      <c r="G714" s="1"/>
      <c r="H714" s="3"/>
      <c r="I714" s="14" t="s">
        <v>2177</v>
      </c>
    </row>
    <row r="715" spans="1:9" ht="18.75" customHeight="1" x14ac:dyDescent="0.4">
      <c r="A715" s="14" t="s">
        <v>6586</v>
      </c>
      <c r="B715" s="16" t="str">
        <f>TRIM("酉島住宅")</f>
        <v>酉島住宅</v>
      </c>
      <c r="C715" s="14" t="s">
        <v>1515</v>
      </c>
      <c r="D715" s="14" t="s">
        <v>813</v>
      </c>
      <c r="E715" s="1">
        <v>21819.82</v>
      </c>
      <c r="F715" s="2"/>
      <c r="G715" s="1">
        <v>42836.44</v>
      </c>
      <c r="H715" s="3"/>
      <c r="I715" s="14" t="s">
        <v>6177</v>
      </c>
    </row>
    <row r="716" spans="1:9" ht="18.75" customHeight="1" x14ac:dyDescent="0.4">
      <c r="A716" s="14" t="s">
        <v>4043</v>
      </c>
      <c r="B716" s="16" t="str">
        <f>TRIM("此花下水処理場")</f>
        <v>此花下水処理場</v>
      </c>
      <c r="C716" s="14" t="s">
        <v>1515</v>
      </c>
      <c r="D716" s="14" t="s">
        <v>1310</v>
      </c>
      <c r="E716" s="1">
        <v>34512.68</v>
      </c>
      <c r="F716" s="2"/>
      <c r="G716" s="1">
        <v>25536.09</v>
      </c>
      <c r="H716" s="3"/>
      <c r="I716" s="14" t="s">
        <v>2177</v>
      </c>
    </row>
    <row r="717" spans="1:9" ht="18.75" customHeight="1" x14ac:dyDescent="0.4">
      <c r="A717" s="14" t="s">
        <v>2493</v>
      </c>
      <c r="B717" s="16" t="str">
        <f>TRIM("防潮堤（此花）")</f>
        <v>防潮堤（此花）</v>
      </c>
      <c r="C717" s="14" t="s">
        <v>1515</v>
      </c>
      <c r="D717" s="14" t="s">
        <v>1310</v>
      </c>
      <c r="E717" s="1">
        <v>8865.44</v>
      </c>
      <c r="F717" s="2"/>
      <c r="G717" s="1"/>
      <c r="H717" s="3"/>
      <c r="I717" s="14" t="s">
        <v>2177</v>
      </c>
    </row>
    <row r="718" spans="1:9" ht="18.75" customHeight="1" x14ac:dyDescent="0.4">
      <c r="A718" s="14" t="s">
        <v>1824</v>
      </c>
      <c r="B718" s="16" t="str">
        <f>TRIM("島屋憩の家")</f>
        <v>島屋憩の家</v>
      </c>
      <c r="C718" s="14" t="s">
        <v>1515</v>
      </c>
      <c r="D718" s="14" t="s">
        <v>457</v>
      </c>
      <c r="E718" s="1">
        <v>284.94</v>
      </c>
      <c r="F718" s="2"/>
      <c r="G718" s="1"/>
      <c r="H718" s="3"/>
      <c r="I718" s="14" t="s">
        <v>1793</v>
      </c>
    </row>
    <row r="719" spans="1:9" ht="18.75" customHeight="1" x14ac:dyDescent="0.4">
      <c r="A719" s="14" t="s">
        <v>3171</v>
      </c>
      <c r="B719" s="16" t="str">
        <f>TRIM("　酉島公園")</f>
        <v>酉島公園</v>
      </c>
      <c r="C719" s="14" t="s">
        <v>1515</v>
      </c>
      <c r="D719" s="14" t="s">
        <v>457</v>
      </c>
      <c r="E719" s="1">
        <v>3561.21</v>
      </c>
      <c r="F719" s="2"/>
      <c r="G719" s="1"/>
      <c r="H719" s="3"/>
      <c r="I719" s="14" t="s">
        <v>2177</v>
      </c>
    </row>
    <row r="720" spans="1:9" ht="18.75" customHeight="1" x14ac:dyDescent="0.4">
      <c r="A720" s="14" t="s">
        <v>5877</v>
      </c>
      <c r="B720" s="16" t="str">
        <f>TRIM("西九条保育所")</f>
        <v>西九条保育所</v>
      </c>
      <c r="C720" s="14" t="s">
        <v>1515</v>
      </c>
      <c r="D720" s="14" t="s">
        <v>410</v>
      </c>
      <c r="E720" s="1">
        <v>913.81</v>
      </c>
      <c r="F720" s="2"/>
      <c r="G720" s="1">
        <v>428.33</v>
      </c>
      <c r="H720" s="3"/>
      <c r="I720" s="14" t="s">
        <v>5617</v>
      </c>
    </row>
    <row r="721" spans="1:9" ht="18.75" customHeight="1" x14ac:dyDescent="0.4">
      <c r="A721" s="14" t="s">
        <v>1800</v>
      </c>
      <c r="B721" s="16" t="str">
        <f>TRIM("西九条福祉会館憩の家")</f>
        <v>西九条福祉会館憩の家</v>
      </c>
      <c r="C721" s="14" t="s">
        <v>1515</v>
      </c>
      <c r="D721" s="14" t="s">
        <v>410</v>
      </c>
      <c r="E721" s="1">
        <v>114.87</v>
      </c>
      <c r="F721" s="2"/>
      <c r="G721" s="1"/>
      <c r="H721" s="3"/>
      <c r="I721" s="14" t="s">
        <v>1793</v>
      </c>
    </row>
    <row r="722" spans="1:9" ht="18.75" customHeight="1" x14ac:dyDescent="0.4">
      <c r="A722" s="14" t="s">
        <v>1925</v>
      </c>
      <c r="B722" s="16" t="str">
        <f>TRIM("特別養護老人ホームケアセンター水都ホーム・春日出地域在宅サービスステーション")</f>
        <v>特別養護老人ホームケアセンター水都ホーム・春日出地域在宅サービスステーション</v>
      </c>
      <c r="C722" s="14" t="s">
        <v>1515</v>
      </c>
      <c r="D722" s="14" t="s">
        <v>410</v>
      </c>
      <c r="E722" s="1">
        <v>1311.88</v>
      </c>
      <c r="F722" s="2"/>
      <c r="G722" s="1"/>
      <c r="H722" s="3"/>
      <c r="I722" s="14" t="s">
        <v>1654</v>
      </c>
    </row>
    <row r="723" spans="1:9" ht="18.75" customHeight="1" x14ac:dyDescent="0.4">
      <c r="A723" s="14" t="s">
        <v>2918</v>
      </c>
      <c r="B723" s="16" t="str">
        <f>TRIM("　西九条上公園")</f>
        <v>西九条上公園</v>
      </c>
      <c r="C723" s="14" t="s">
        <v>1515</v>
      </c>
      <c r="D723" s="14" t="s">
        <v>410</v>
      </c>
      <c r="E723" s="1">
        <v>3012.89</v>
      </c>
      <c r="F723" s="2"/>
      <c r="G723" s="1"/>
      <c r="H723" s="3"/>
      <c r="I723" s="14" t="s">
        <v>2177</v>
      </c>
    </row>
    <row r="724" spans="1:9" ht="18.75" customHeight="1" x14ac:dyDescent="0.4">
      <c r="A724" s="14" t="s">
        <v>6453</v>
      </c>
      <c r="B724" s="16" t="str">
        <f>TRIM("西九条住宅")</f>
        <v>西九条住宅</v>
      </c>
      <c r="C724" s="14" t="s">
        <v>1515</v>
      </c>
      <c r="D724" s="14" t="s">
        <v>771</v>
      </c>
      <c r="E724" s="1">
        <v>1453.77</v>
      </c>
      <c r="F724" s="2">
        <v>1367</v>
      </c>
      <c r="G724" s="1">
        <v>1469.93</v>
      </c>
      <c r="H724" s="3"/>
      <c r="I724" s="14" t="s">
        <v>6177</v>
      </c>
    </row>
    <row r="725" spans="1:9" ht="18.75" customHeight="1" x14ac:dyDescent="0.4">
      <c r="A725" s="14" t="s">
        <v>2183</v>
      </c>
      <c r="B725" s="16" t="str">
        <f>TRIM("安治川河底トンネル北岸事務所")</f>
        <v>安治川河底トンネル北岸事務所</v>
      </c>
      <c r="C725" s="14" t="s">
        <v>1515</v>
      </c>
      <c r="D725" s="14" t="s">
        <v>771</v>
      </c>
      <c r="E725" s="1">
        <v>74.47</v>
      </c>
      <c r="F725" s="2"/>
      <c r="G725" s="1"/>
      <c r="H725" s="3"/>
      <c r="I725" s="14" t="s">
        <v>2177</v>
      </c>
    </row>
    <row r="726" spans="1:9" ht="18.75" customHeight="1" x14ac:dyDescent="0.4">
      <c r="A726" s="14" t="s">
        <v>2920</v>
      </c>
      <c r="B726" s="16" t="str">
        <f>TRIM("　西九条南公園")</f>
        <v>西九条南公園</v>
      </c>
      <c r="C726" s="14" t="s">
        <v>1515</v>
      </c>
      <c r="D726" s="14" t="s">
        <v>771</v>
      </c>
      <c r="E726" s="1">
        <v>1204.79</v>
      </c>
      <c r="F726" s="2"/>
      <c r="G726" s="1"/>
      <c r="H726" s="3"/>
      <c r="I726" s="14" t="s">
        <v>2177</v>
      </c>
    </row>
    <row r="727" spans="1:9" ht="18.75" customHeight="1" x14ac:dyDescent="0.4">
      <c r="A727" s="14" t="s">
        <v>2345</v>
      </c>
      <c r="B727" s="16" t="str">
        <f>TRIM("道路(此花)(もと交通局)")</f>
        <v>道路(此花)(もと交通局)</v>
      </c>
      <c r="C727" s="14" t="s">
        <v>1515</v>
      </c>
      <c r="D727" s="14" t="s">
        <v>969</v>
      </c>
      <c r="E727" s="1">
        <v>9.64</v>
      </c>
      <c r="F727" s="2"/>
      <c r="G727" s="1"/>
      <c r="H727" s="3"/>
      <c r="I727" s="14" t="s">
        <v>2177</v>
      </c>
    </row>
    <row r="728" spans="1:9" ht="18.75" customHeight="1" x14ac:dyDescent="0.4">
      <c r="A728" s="14" t="s">
        <v>2915</v>
      </c>
      <c r="B728" s="16" t="str">
        <f>TRIM("　西九条3開発公園")</f>
        <v>西九条3開発公園</v>
      </c>
      <c r="C728" s="14" t="s">
        <v>1515</v>
      </c>
      <c r="D728" s="14" t="s">
        <v>969</v>
      </c>
      <c r="E728" s="1">
        <v>141.99</v>
      </c>
      <c r="F728" s="2"/>
      <c r="G728" s="1"/>
      <c r="H728" s="3"/>
      <c r="I728" s="14" t="s">
        <v>2177</v>
      </c>
    </row>
    <row r="729" spans="1:9" ht="18.75" customHeight="1" x14ac:dyDescent="0.4">
      <c r="A729" s="14" t="s">
        <v>2917</v>
      </c>
      <c r="B729" s="16" t="str">
        <f>TRIM("　西九条小公園")</f>
        <v>西九条小公園</v>
      </c>
      <c r="C729" s="14" t="s">
        <v>1515</v>
      </c>
      <c r="D729" s="14" t="s">
        <v>969</v>
      </c>
      <c r="E729" s="1">
        <v>325.35000000000002</v>
      </c>
      <c r="F729" s="2"/>
      <c r="G729" s="1"/>
      <c r="H729" s="3"/>
      <c r="I729" s="14" t="s">
        <v>2177</v>
      </c>
    </row>
    <row r="730" spans="1:9" ht="18.75" customHeight="1" x14ac:dyDescent="0.4">
      <c r="A730" s="14" t="s">
        <v>4388</v>
      </c>
      <c r="B730" s="16" t="str">
        <f>TRIM("西九条第10町会集会所")</f>
        <v>西九条第10町会集会所</v>
      </c>
      <c r="C730" s="14" t="s">
        <v>1515</v>
      </c>
      <c r="D730" s="14" t="s">
        <v>969</v>
      </c>
      <c r="E730" s="1">
        <v>74.27</v>
      </c>
      <c r="F730" s="2"/>
      <c r="G730" s="1"/>
      <c r="H730" s="3"/>
      <c r="I730" s="14" t="s">
        <v>1793</v>
      </c>
    </row>
    <row r="731" spans="1:9" ht="18.75" customHeight="1" x14ac:dyDescent="0.4">
      <c r="A731" s="14" t="s">
        <v>4910</v>
      </c>
      <c r="B731" s="16" t="str">
        <f>TRIM("西九条小学校")</f>
        <v>西九条小学校</v>
      </c>
      <c r="C731" s="14" t="s">
        <v>1515</v>
      </c>
      <c r="D731" s="14" t="s">
        <v>1111</v>
      </c>
      <c r="E731" s="1">
        <v>8742.56</v>
      </c>
      <c r="F731" s="2"/>
      <c r="G731" s="1">
        <v>5141.24</v>
      </c>
      <c r="H731" s="3"/>
      <c r="I731" s="14" t="s">
        <v>4689</v>
      </c>
    </row>
    <row r="732" spans="1:9" ht="18.75" customHeight="1" x14ac:dyDescent="0.4">
      <c r="A732" s="14" t="s">
        <v>2408</v>
      </c>
      <c r="B732" s="16" t="str">
        <f>TRIM("西九条ポンプ場")</f>
        <v>西九条ポンプ場</v>
      </c>
      <c r="C732" s="14" t="s">
        <v>1515</v>
      </c>
      <c r="D732" s="14" t="s">
        <v>1111</v>
      </c>
      <c r="E732" s="1"/>
      <c r="F732" s="2"/>
      <c r="G732" s="1">
        <v>8</v>
      </c>
      <c r="H732" s="3"/>
      <c r="I732" s="14" t="s">
        <v>2177</v>
      </c>
    </row>
    <row r="733" spans="1:9" ht="18.75" customHeight="1" x14ac:dyDescent="0.4">
      <c r="A733" s="14" t="s">
        <v>2919</v>
      </c>
      <c r="B733" s="16" t="str">
        <f>TRIM("　西九条西公園")</f>
        <v>西九条西公園</v>
      </c>
      <c r="C733" s="14" t="s">
        <v>1515</v>
      </c>
      <c r="D733" s="14" t="s">
        <v>1111</v>
      </c>
      <c r="E733" s="1">
        <v>3570.11</v>
      </c>
      <c r="F733" s="2"/>
      <c r="G733" s="1"/>
      <c r="H733" s="3"/>
      <c r="I733" s="14" t="s">
        <v>2177</v>
      </c>
    </row>
    <row r="734" spans="1:9" ht="18.75" customHeight="1" x14ac:dyDescent="0.4">
      <c r="A734" s="14" t="s">
        <v>3596</v>
      </c>
      <c r="B734" s="16" t="str">
        <f>TRIM("　西九条西公園")</f>
        <v>西九条西公園</v>
      </c>
      <c r="C734" s="14" t="s">
        <v>1515</v>
      </c>
      <c r="D734" s="14" t="s">
        <v>1111</v>
      </c>
      <c r="E734" s="1"/>
      <c r="F734" s="2"/>
      <c r="G734" s="1">
        <v>19.2</v>
      </c>
      <c r="H734" s="3"/>
      <c r="I734" s="14" t="s">
        <v>2177</v>
      </c>
    </row>
    <row r="735" spans="1:9" ht="18.75" customHeight="1" x14ac:dyDescent="0.4">
      <c r="A735" s="14" t="s">
        <v>1857</v>
      </c>
      <c r="B735" s="16" t="str">
        <f>TRIM("もと介護老人保健施設おとしよりすこやかセンター（西部館）")</f>
        <v>もと介護老人保健施設おとしよりすこやかセンター（西部館）</v>
      </c>
      <c r="C735" s="14" t="s">
        <v>1515</v>
      </c>
      <c r="D735" s="14" t="s">
        <v>146</v>
      </c>
      <c r="E735" s="1">
        <v>2608.25</v>
      </c>
      <c r="F735" s="2"/>
      <c r="G735" s="1">
        <v>5659.03</v>
      </c>
      <c r="H735" s="3"/>
      <c r="I735" s="14" t="s">
        <v>1654</v>
      </c>
    </row>
    <row r="736" spans="1:9" ht="18.75" customHeight="1" x14ac:dyDescent="0.4">
      <c r="A736" s="14" t="s">
        <v>4061</v>
      </c>
      <c r="B736" s="16" t="str">
        <f>TRIM("西野田材料置場")</f>
        <v>西野田材料置場</v>
      </c>
      <c r="C736" s="14" t="s">
        <v>1515</v>
      </c>
      <c r="D736" s="14" t="s">
        <v>146</v>
      </c>
      <c r="E736" s="1">
        <v>1734.3</v>
      </c>
      <c r="F736" s="2"/>
      <c r="G736" s="1">
        <v>9.93</v>
      </c>
      <c r="H736" s="3"/>
      <c r="I736" s="14" t="s">
        <v>2177</v>
      </c>
    </row>
    <row r="737" spans="1:9" ht="18.75" customHeight="1" x14ac:dyDescent="0.4">
      <c r="A737" s="14" t="s">
        <v>4063</v>
      </c>
      <c r="B737" s="16" t="str">
        <f>TRIM("西野田抽水所")</f>
        <v>西野田抽水所</v>
      </c>
      <c r="C737" s="14" t="s">
        <v>1515</v>
      </c>
      <c r="D737" s="14" t="s">
        <v>146</v>
      </c>
      <c r="E737" s="1">
        <v>3360.52</v>
      </c>
      <c r="F737" s="2"/>
      <c r="G737" s="1">
        <v>68.75</v>
      </c>
      <c r="H737" s="3"/>
      <c r="I737" s="14" t="s">
        <v>2177</v>
      </c>
    </row>
    <row r="738" spans="1:9" ht="18.75" customHeight="1" x14ac:dyDescent="0.4">
      <c r="A738" s="14" t="s">
        <v>5235</v>
      </c>
      <c r="B738" s="16" t="str">
        <f>TRIM("此花消防署西九条出張所")</f>
        <v>此花消防署西九条出張所</v>
      </c>
      <c r="C738" s="14" t="s">
        <v>1515</v>
      </c>
      <c r="D738" s="14" t="s">
        <v>146</v>
      </c>
      <c r="E738" s="1">
        <v>562.98</v>
      </c>
      <c r="F738" s="2"/>
      <c r="G738" s="1">
        <v>1693.58</v>
      </c>
      <c r="H738" s="3"/>
      <c r="I738" s="14" t="s">
        <v>5219</v>
      </c>
    </row>
    <row r="739" spans="1:9" ht="18.75" customHeight="1" x14ac:dyDescent="0.4">
      <c r="A739" s="14" t="s">
        <v>6076</v>
      </c>
      <c r="B739" s="16" t="str">
        <f>TRIM("此花屋内プール")</f>
        <v>此花屋内プール</v>
      </c>
      <c r="C739" s="14" t="s">
        <v>1515</v>
      </c>
      <c r="D739" s="14" t="s">
        <v>146</v>
      </c>
      <c r="E739" s="1">
        <v>950.61</v>
      </c>
      <c r="F739" s="2"/>
      <c r="G739" s="1">
        <v>2577.7800000000002</v>
      </c>
      <c r="H739" s="3"/>
      <c r="I739" s="14" t="s">
        <v>5977</v>
      </c>
    </row>
    <row r="740" spans="1:9" ht="18.75" customHeight="1" x14ac:dyDescent="0.4">
      <c r="A740" s="14" t="s">
        <v>6086</v>
      </c>
      <c r="B740" s="16" t="str">
        <f>TRIM("此花会館")</f>
        <v>此花会館</v>
      </c>
      <c r="C740" s="14" t="s">
        <v>1515</v>
      </c>
      <c r="D740" s="14" t="s">
        <v>146</v>
      </c>
      <c r="E740" s="1">
        <v>1261.42</v>
      </c>
      <c r="F740" s="2"/>
      <c r="G740" s="1">
        <v>3294.23</v>
      </c>
      <c r="H740" s="3"/>
      <c r="I740" s="14" t="s">
        <v>5977</v>
      </c>
    </row>
    <row r="741" spans="1:9" ht="18.75" customHeight="1" x14ac:dyDescent="0.4">
      <c r="A741" s="14" t="s">
        <v>6095</v>
      </c>
      <c r="B741" s="16" t="str">
        <f>TRIM("此花倉庫")</f>
        <v>此花倉庫</v>
      </c>
      <c r="C741" s="14" t="s">
        <v>1515</v>
      </c>
      <c r="D741" s="14" t="s">
        <v>146</v>
      </c>
      <c r="E741" s="1">
        <v>50.58</v>
      </c>
      <c r="F741" s="2"/>
      <c r="G741" s="1">
        <v>39.520000000000003</v>
      </c>
      <c r="H741" s="3"/>
      <c r="I741" s="14" t="s">
        <v>5977</v>
      </c>
    </row>
    <row r="742" spans="1:9" ht="18.75" customHeight="1" x14ac:dyDescent="0.4">
      <c r="A742" s="14" t="s">
        <v>6669</v>
      </c>
      <c r="B742" s="16" t="str">
        <f>TRIM("木場住宅")</f>
        <v>木場住宅</v>
      </c>
      <c r="C742" s="14" t="s">
        <v>1515</v>
      </c>
      <c r="D742" s="14" t="s">
        <v>146</v>
      </c>
      <c r="E742" s="1">
        <v>23935.94</v>
      </c>
      <c r="F742" s="2"/>
      <c r="G742" s="1">
        <v>18613.830000000002</v>
      </c>
      <c r="H742" s="3"/>
      <c r="I742" s="14" t="s">
        <v>6177</v>
      </c>
    </row>
    <row r="743" spans="1:9" ht="18.75" customHeight="1" x14ac:dyDescent="0.4">
      <c r="A743" s="14" t="s">
        <v>6970</v>
      </c>
      <c r="B743" s="16" t="str">
        <f>TRIM("  西九条休日急病診療所")</f>
        <v>西九条休日急病診療所</v>
      </c>
      <c r="C743" s="14" t="s">
        <v>1515</v>
      </c>
      <c r="D743" s="14" t="s">
        <v>146</v>
      </c>
      <c r="E743" s="1">
        <v>144.38999999999999</v>
      </c>
      <c r="F743" s="2"/>
      <c r="G743" s="1">
        <v>371.23</v>
      </c>
      <c r="H743" s="3"/>
      <c r="I743" s="14" t="s">
        <v>2402</v>
      </c>
    </row>
    <row r="744" spans="1:9" ht="18.75" customHeight="1" x14ac:dyDescent="0.4">
      <c r="A744" s="14" t="s">
        <v>2916</v>
      </c>
      <c r="B744" s="16" t="str">
        <f>TRIM("　西九条公園")</f>
        <v>西九条公園</v>
      </c>
      <c r="C744" s="14" t="s">
        <v>1515</v>
      </c>
      <c r="D744" s="14" t="s">
        <v>146</v>
      </c>
      <c r="E744" s="1">
        <v>2407.98</v>
      </c>
      <c r="F744" s="2"/>
      <c r="G744" s="1"/>
      <c r="H744" s="3"/>
      <c r="I744" s="14" t="s">
        <v>2177</v>
      </c>
    </row>
    <row r="745" spans="1:9" ht="18.75" customHeight="1" x14ac:dyDescent="0.4">
      <c r="A745" s="14" t="s">
        <v>3595</v>
      </c>
      <c r="B745" s="16" t="str">
        <f>TRIM("　西九条公園")</f>
        <v>西九条公園</v>
      </c>
      <c r="C745" s="14" t="s">
        <v>1515</v>
      </c>
      <c r="D745" s="14" t="s">
        <v>146</v>
      </c>
      <c r="E745" s="1"/>
      <c r="F745" s="2"/>
      <c r="G745" s="1">
        <v>18</v>
      </c>
      <c r="H745" s="3"/>
      <c r="I745" s="14" t="s">
        <v>2177</v>
      </c>
    </row>
    <row r="746" spans="1:9" ht="18.75" customHeight="1" x14ac:dyDescent="0.4">
      <c r="A746" s="14" t="s">
        <v>3823</v>
      </c>
      <c r="B746" s="16" t="str">
        <f>TRIM("自転車保管所関連用地（此花区西九条）")</f>
        <v>自転車保管所関連用地（此花区西九条）</v>
      </c>
      <c r="C746" s="14" t="s">
        <v>1515</v>
      </c>
      <c r="D746" s="14" t="s">
        <v>146</v>
      </c>
      <c r="E746" s="1">
        <v>92.8</v>
      </c>
      <c r="F746" s="2"/>
      <c r="G746" s="1"/>
      <c r="H746" s="3"/>
      <c r="I746" s="14" t="s">
        <v>2177</v>
      </c>
    </row>
    <row r="747" spans="1:9" ht="18.75" customHeight="1" x14ac:dyDescent="0.4">
      <c r="A747" s="14" t="s">
        <v>5385</v>
      </c>
      <c r="B747" s="16" t="str">
        <f>TRIM("もと此花保健所")</f>
        <v>もと此花保健所</v>
      </c>
      <c r="C747" s="14" t="s">
        <v>1515</v>
      </c>
      <c r="D747" s="14" t="s">
        <v>146</v>
      </c>
      <c r="E747" s="1">
        <v>431.12</v>
      </c>
      <c r="F747" s="2"/>
      <c r="G747" s="1"/>
      <c r="H747" s="3"/>
      <c r="I747" s="14" t="s">
        <v>5349</v>
      </c>
    </row>
    <row r="748" spans="1:9" ht="18.75" customHeight="1" x14ac:dyDescent="0.4">
      <c r="A748" s="14" t="s">
        <v>5430</v>
      </c>
      <c r="B748" s="16" t="str">
        <f>TRIM("もと福島警察署木場寮")</f>
        <v>もと福島警察署木場寮</v>
      </c>
      <c r="C748" s="14" t="s">
        <v>1515</v>
      </c>
      <c r="D748" s="14" t="s">
        <v>146</v>
      </c>
      <c r="E748" s="1">
        <v>73.959999999999994</v>
      </c>
      <c r="F748" s="2"/>
      <c r="G748" s="1"/>
      <c r="H748" s="3"/>
      <c r="I748" s="14" t="s">
        <v>5349</v>
      </c>
    </row>
    <row r="749" spans="1:9" ht="18.75" customHeight="1" x14ac:dyDescent="0.4">
      <c r="A749" s="14" t="s">
        <v>5580</v>
      </c>
      <c r="B749" s="16" t="str">
        <f>TRIM("もと西九条休日急病診療所")</f>
        <v>もと西九条休日急病診療所</v>
      </c>
      <c r="C749" s="14" t="s">
        <v>1515</v>
      </c>
      <c r="D749" s="14" t="s">
        <v>146</v>
      </c>
      <c r="E749" s="1">
        <v>388.79</v>
      </c>
      <c r="F749" s="2"/>
      <c r="G749" s="1"/>
      <c r="H749" s="3"/>
      <c r="I749" s="14" t="s">
        <v>5349</v>
      </c>
    </row>
    <row r="750" spans="1:9" ht="18.75" customHeight="1" x14ac:dyDescent="0.4">
      <c r="A750" s="14" t="s">
        <v>6960</v>
      </c>
      <c r="B750" s="16" t="str">
        <f>TRIM("もと北市民病院")</f>
        <v>もと北市民病院</v>
      </c>
      <c r="C750" s="14" t="s">
        <v>1515</v>
      </c>
      <c r="D750" s="14" t="s">
        <v>146</v>
      </c>
      <c r="E750" s="1">
        <v>5959.63</v>
      </c>
      <c r="F750" s="2"/>
      <c r="G750" s="1"/>
      <c r="H750" s="3"/>
      <c r="I750" s="14" t="s">
        <v>2402</v>
      </c>
    </row>
    <row r="751" spans="1:9" ht="18.75" customHeight="1" x14ac:dyDescent="0.4">
      <c r="A751" s="14" t="s">
        <v>6961</v>
      </c>
      <c r="B751" s="16" t="str">
        <f>TRIM("もと北市民病院看護師寮")</f>
        <v>もと北市民病院看護師寮</v>
      </c>
      <c r="C751" s="14" t="s">
        <v>1515</v>
      </c>
      <c r="D751" s="14" t="s">
        <v>146</v>
      </c>
      <c r="E751" s="1">
        <v>481.51</v>
      </c>
      <c r="F751" s="2"/>
      <c r="G751" s="1"/>
      <c r="H751" s="3"/>
      <c r="I751" s="14" t="s">
        <v>2402</v>
      </c>
    </row>
    <row r="752" spans="1:9" ht="18.75" customHeight="1" x14ac:dyDescent="0.4">
      <c r="A752" s="14" t="s">
        <v>3061</v>
      </c>
      <c r="B752" s="16" t="str">
        <f>TRIM("　朝日橋公園")</f>
        <v>朝日橋公園</v>
      </c>
      <c r="C752" s="14" t="s">
        <v>1515</v>
      </c>
      <c r="D752" s="14" t="s">
        <v>73</v>
      </c>
      <c r="E752" s="1">
        <v>15000</v>
      </c>
      <c r="F752" s="2">
        <v>63</v>
      </c>
      <c r="G752" s="1"/>
      <c r="H752" s="3"/>
      <c r="I752" s="14" t="s">
        <v>2177</v>
      </c>
    </row>
    <row r="753" spans="1:9" ht="18.75" customHeight="1" x14ac:dyDescent="0.4">
      <c r="A753" s="14" t="s">
        <v>1620</v>
      </c>
      <c r="B753" s="16" t="str">
        <f>TRIM("男女共同参画センター西部館 クレオ大阪西")</f>
        <v>男女共同参画センター西部館 クレオ大阪西</v>
      </c>
      <c r="C753" s="14" t="s">
        <v>1515</v>
      </c>
      <c r="D753" s="14" t="s">
        <v>73</v>
      </c>
      <c r="E753" s="1">
        <v>2910.68</v>
      </c>
      <c r="F753" s="2"/>
      <c r="G753" s="1">
        <v>1589.58</v>
      </c>
      <c r="H753" s="3"/>
      <c r="I753" s="14" t="s">
        <v>1598</v>
      </c>
    </row>
    <row r="754" spans="1:9" ht="18.75" customHeight="1" x14ac:dyDescent="0.4">
      <c r="A754" s="14" t="s">
        <v>7099</v>
      </c>
      <c r="B754" s="16" t="str">
        <f>TRIM("此花スポーツセンター")</f>
        <v>此花スポーツセンター</v>
      </c>
      <c r="C754" s="14" t="s">
        <v>1515</v>
      </c>
      <c r="D754" s="14" t="s">
        <v>73</v>
      </c>
      <c r="E754" s="1">
        <v>3000</v>
      </c>
      <c r="F754" s="2"/>
      <c r="G754" s="1">
        <v>2057.04</v>
      </c>
      <c r="H754" s="3"/>
      <c r="I754" s="14" t="s">
        <v>4115</v>
      </c>
    </row>
    <row r="755" spans="1:9" ht="18.75" customHeight="1" x14ac:dyDescent="0.4">
      <c r="A755" s="14" t="s">
        <v>1642</v>
      </c>
      <c r="B755" s="16" t="str">
        <f>TRIM("西九条市街地整備事業用地")</f>
        <v>西九条市街地整備事業用地</v>
      </c>
      <c r="C755" s="14" t="s">
        <v>1515</v>
      </c>
      <c r="D755" s="14" t="s">
        <v>73</v>
      </c>
      <c r="E755" s="1">
        <v>5970.04</v>
      </c>
      <c r="F755" s="2"/>
      <c r="G755" s="1"/>
      <c r="H755" s="3"/>
      <c r="I755" s="14" t="s">
        <v>1633</v>
      </c>
    </row>
    <row r="756" spans="1:9" ht="18.75" customHeight="1" x14ac:dyDescent="0.4">
      <c r="A756" s="14" t="s">
        <v>3621</v>
      </c>
      <c r="B756" s="16" t="str">
        <f>TRIM("　朝日橋公園")</f>
        <v>朝日橋公園</v>
      </c>
      <c r="C756" s="14" t="s">
        <v>1515</v>
      </c>
      <c r="D756" s="14" t="s">
        <v>73</v>
      </c>
      <c r="E756" s="1"/>
      <c r="F756" s="2"/>
      <c r="G756" s="1">
        <v>279.07</v>
      </c>
      <c r="H756" s="3"/>
      <c r="I756" s="14" t="s">
        <v>2177</v>
      </c>
    </row>
    <row r="757" spans="1:9" ht="18.75" customHeight="1" x14ac:dyDescent="0.4">
      <c r="A757" s="14" t="s">
        <v>4378</v>
      </c>
      <c r="B757" s="16" t="str">
        <f>TRIM("此花区子供会育成連合協議会集会所")</f>
        <v>此花区子供会育成連合協議会集会所</v>
      </c>
      <c r="C757" s="14" t="s">
        <v>1515</v>
      </c>
      <c r="D757" s="14" t="s">
        <v>73</v>
      </c>
      <c r="E757" s="1"/>
      <c r="F757" s="2"/>
      <c r="G757" s="1">
        <v>41.4</v>
      </c>
      <c r="H757" s="3"/>
      <c r="I757" s="14" t="s">
        <v>1793</v>
      </c>
    </row>
    <row r="758" spans="1:9" ht="18.75" customHeight="1" x14ac:dyDescent="0.4">
      <c r="A758" s="14" t="s">
        <v>4382</v>
      </c>
      <c r="B758" s="16" t="str">
        <f>TRIM("西九条振興会館")</f>
        <v>西九条振興会館</v>
      </c>
      <c r="C758" s="14" t="s">
        <v>1515</v>
      </c>
      <c r="D758" s="14" t="s">
        <v>73</v>
      </c>
      <c r="E758" s="1"/>
      <c r="F758" s="2"/>
      <c r="G758" s="1">
        <v>147.72999999999999</v>
      </c>
      <c r="H758" s="3"/>
      <c r="I758" s="14" t="s">
        <v>1793</v>
      </c>
    </row>
    <row r="759" spans="1:9" ht="18.75" customHeight="1" x14ac:dyDescent="0.4">
      <c r="A759" s="14" t="s">
        <v>4823</v>
      </c>
      <c r="B759" s="16" t="str">
        <f>TRIM("もと咲くやこの花中学校　咲くやこの花高等学校")</f>
        <v>もと咲くやこの花中学校　咲くやこの花高等学校</v>
      </c>
      <c r="C759" s="14" t="s">
        <v>1515</v>
      </c>
      <c r="D759" s="14" t="s">
        <v>73</v>
      </c>
      <c r="E759" s="1">
        <v>596.12</v>
      </c>
      <c r="F759" s="2"/>
      <c r="G759" s="1"/>
      <c r="H759" s="3"/>
      <c r="I759" s="14" t="s">
        <v>4689</v>
      </c>
    </row>
    <row r="760" spans="1:9" ht="18.75" customHeight="1" x14ac:dyDescent="0.4">
      <c r="A760" s="14" t="s">
        <v>5628</v>
      </c>
      <c r="B760" s="16" t="str">
        <f>TRIM("こども文化センター")</f>
        <v>こども文化センター</v>
      </c>
      <c r="C760" s="14" t="s">
        <v>1515</v>
      </c>
      <c r="D760" s="14" t="s">
        <v>73</v>
      </c>
      <c r="E760" s="1"/>
      <c r="F760" s="2"/>
      <c r="G760" s="1">
        <v>2377.46</v>
      </c>
      <c r="H760" s="3"/>
      <c r="I760" s="14" t="s">
        <v>5617</v>
      </c>
    </row>
    <row r="761" spans="1:9" ht="18.75" customHeight="1" x14ac:dyDescent="0.4">
      <c r="A761" s="14" t="s">
        <v>3228</v>
      </c>
      <c r="B761" s="16" t="str">
        <f>TRIM("　梅香東公園")</f>
        <v>梅香東公園</v>
      </c>
      <c r="C761" s="14" t="s">
        <v>1515</v>
      </c>
      <c r="D761" s="14" t="s">
        <v>1217</v>
      </c>
      <c r="E761" s="1">
        <v>3887</v>
      </c>
      <c r="F761" s="2"/>
      <c r="G761" s="1"/>
      <c r="H761" s="3"/>
      <c r="I761" s="14" t="s">
        <v>2177</v>
      </c>
    </row>
    <row r="762" spans="1:9" ht="18.75" customHeight="1" x14ac:dyDescent="0.4">
      <c r="A762" s="14" t="s">
        <v>3662</v>
      </c>
      <c r="B762" s="16" t="str">
        <f>TRIM("　梅香東公園")</f>
        <v>梅香東公園</v>
      </c>
      <c r="C762" s="14" t="s">
        <v>1515</v>
      </c>
      <c r="D762" s="14" t="s">
        <v>1217</v>
      </c>
      <c r="E762" s="1"/>
      <c r="F762" s="2"/>
      <c r="G762" s="1">
        <v>18.5</v>
      </c>
      <c r="H762" s="3"/>
      <c r="I762" s="14" t="s">
        <v>2177</v>
      </c>
    </row>
    <row r="763" spans="1:9" ht="18.75" customHeight="1" x14ac:dyDescent="0.4">
      <c r="A763" s="14" t="s">
        <v>4386</v>
      </c>
      <c r="B763" s="16" t="str">
        <f>TRIM("梅香連合集会所")</f>
        <v>梅香連合集会所</v>
      </c>
      <c r="C763" s="14" t="s">
        <v>1515</v>
      </c>
      <c r="D763" s="14" t="s">
        <v>148</v>
      </c>
      <c r="E763" s="1">
        <v>314.67</v>
      </c>
      <c r="F763" s="2"/>
      <c r="G763" s="1">
        <v>119.88</v>
      </c>
      <c r="H763" s="3"/>
      <c r="I763" s="14" t="s">
        <v>1793</v>
      </c>
    </row>
    <row r="764" spans="1:9" ht="18.75" customHeight="1" x14ac:dyDescent="0.4">
      <c r="A764" s="14" t="s">
        <v>5388</v>
      </c>
      <c r="B764" s="16" t="str">
        <f>TRIM("もと四貫島詰所")</f>
        <v>もと四貫島詰所</v>
      </c>
      <c r="C764" s="14" t="s">
        <v>1515</v>
      </c>
      <c r="D764" s="14" t="s">
        <v>148</v>
      </c>
      <c r="E764" s="1">
        <v>642.15</v>
      </c>
      <c r="F764" s="2"/>
      <c r="G764" s="1"/>
      <c r="H764" s="3"/>
      <c r="I764" s="14" t="s">
        <v>5349</v>
      </c>
    </row>
    <row r="765" spans="1:9" ht="18.75" customHeight="1" x14ac:dyDescent="0.4">
      <c r="A765" s="14" t="s">
        <v>5062</v>
      </c>
      <c r="B765" s="16" t="str">
        <f>TRIM("梅香小学校")</f>
        <v>梅香小学校</v>
      </c>
      <c r="C765" s="14" t="s">
        <v>1515</v>
      </c>
      <c r="D765" s="14" t="s">
        <v>574</v>
      </c>
      <c r="E765" s="1">
        <v>7076</v>
      </c>
      <c r="F765" s="2"/>
      <c r="G765" s="1">
        <v>5141.4799999999996</v>
      </c>
      <c r="H765" s="3"/>
      <c r="I765" s="14" t="s">
        <v>4689</v>
      </c>
    </row>
    <row r="766" spans="1:9" ht="18.75" customHeight="1" x14ac:dyDescent="0.4">
      <c r="A766" s="14" t="s">
        <v>6622</v>
      </c>
      <c r="B766" s="16" t="str">
        <f>TRIM("梅香住宅")</f>
        <v>梅香住宅</v>
      </c>
      <c r="C766" s="14" t="s">
        <v>1515</v>
      </c>
      <c r="D766" s="14" t="s">
        <v>574</v>
      </c>
      <c r="E766" s="1">
        <v>5253</v>
      </c>
      <c r="F766" s="2"/>
      <c r="G766" s="1">
        <v>5369</v>
      </c>
      <c r="H766" s="3"/>
      <c r="I766" s="14" t="s">
        <v>6177</v>
      </c>
    </row>
    <row r="767" spans="1:9" ht="18.75" customHeight="1" x14ac:dyDescent="0.4">
      <c r="A767" s="14" t="s">
        <v>1832</v>
      </c>
      <c r="B767" s="16" t="str">
        <f>TRIM("梅香憩の家")</f>
        <v>梅香憩の家</v>
      </c>
      <c r="C767" s="14" t="s">
        <v>1515</v>
      </c>
      <c r="D767" s="14" t="s">
        <v>574</v>
      </c>
      <c r="E767" s="1"/>
      <c r="F767" s="2"/>
      <c r="G767" s="1">
        <v>89.45</v>
      </c>
      <c r="H767" s="3"/>
      <c r="I767" s="14" t="s">
        <v>1654</v>
      </c>
    </row>
    <row r="768" spans="1:9" ht="18.75" customHeight="1" x14ac:dyDescent="0.4">
      <c r="A768" s="14" t="s">
        <v>3227</v>
      </c>
      <c r="B768" s="16" t="str">
        <f>TRIM("　梅香公園")</f>
        <v>梅香公園</v>
      </c>
      <c r="C768" s="14" t="s">
        <v>1515</v>
      </c>
      <c r="D768" s="14" t="s">
        <v>574</v>
      </c>
      <c r="E768" s="1">
        <v>4189</v>
      </c>
      <c r="F768" s="2"/>
      <c r="G768" s="1"/>
      <c r="H768" s="3"/>
      <c r="I768" s="14" t="s">
        <v>2177</v>
      </c>
    </row>
    <row r="769" spans="1:9" ht="18.75" customHeight="1" x14ac:dyDescent="0.4">
      <c r="A769" s="14" t="s">
        <v>3661</v>
      </c>
      <c r="B769" s="16" t="str">
        <f>TRIM("　梅香公園")</f>
        <v>梅香公園</v>
      </c>
      <c r="C769" s="14" t="s">
        <v>1515</v>
      </c>
      <c r="D769" s="14" t="s">
        <v>574</v>
      </c>
      <c r="E769" s="1"/>
      <c r="F769" s="2"/>
      <c r="G769" s="1">
        <v>19.2</v>
      </c>
      <c r="H769" s="3"/>
      <c r="I769" s="14" t="s">
        <v>2177</v>
      </c>
    </row>
    <row r="770" spans="1:9" ht="18.75" customHeight="1" x14ac:dyDescent="0.4">
      <c r="A770" s="14" t="s">
        <v>5862</v>
      </c>
      <c r="B770" s="16" t="str">
        <f>TRIM("もと四貫島保育所")</f>
        <v>もと四貫島保育所</v>
      </c>
      <c r="C770" s="14" t="s">
        <v>1515</v>
      </c>
      <c r="D770" s="14" t="s">
        <v>574</v>
      </c>
      <c r="E770" s="1">
        <v>469.2</v>
      </c>
      <c r="F770" s="2"/>
      <c r="G770" s="1"/>
      <c r="H770" s="3"/>
      <c r="I770" s="14" t="s">
        <v>5617</v>
      </c>
    </row>
    <row r="771" spans="1:9" ht="18.75" customHeight="1" x14ac:dyDescent="0.4">
      <c r="A771" s="14" t="s">
        <v>5956</v>
      </c>
      <c r="B771" s="16" t="str">
        <f>TRIM("四貫島保育園")</f>
        <v>四貫島保育園</v>
      </c>
      <c r="C771" s="14" t="s">
        <v>1515</v>
      </c>
      <c r="D771" s="14" t="s">
        <v>574</v>
      </c>
      <c r="E771" s="1">
        <v>772.31</v>
      </c>
      <c r="F771" s="2"/>
      <c r="G771" s="1"/>
      <c r="H771" s="3"/>
      <c r="I771" s="14" t="s">
        <v>5617</v>
      </c>
    </row>
    <row r="772" spans="1:9" ht="18.75" customHeight="1" x14ac:dyDescent="0.4">
      <c r="A772" s="14" t="s">
        <v>7048</v>
      </c>
      <c r="B772" s="16" t="str">
        <f>TRIM("此花小売市場民営活性化事業施設")</f>
        <v>此花小売市場民営活性化事業施設</v>
      </c>
      <c r="C772" s="14" t="s">
        <v>1515</v>
      </c>
      <c r="D772" s="14" t="s">
        <v>574</v>
      </c>
      <c r="E772" s="1"/>
      <c r="F772" s="2"/>
      <c r="G772" s="1">
        <v>2044.66</v>
      </c>
      <c r="H772" s="3"/>
      <c r="I772" s="14" t="s">
        <v>4115</v>
      </c>
    </row>
    <row r="773" spans="1:9" ht="18.75" customHeight="1" x14ac:dyDescent="0.4">
      <c r="A773" s="14" t="s">
        <v>2330</v>
      </c>
      <c r="B773" s="16" t="str">
        <f>TRIM("福島桜島線（此花）（管財課）")</f>
        <v>福島桜島線（此花）（管財課）</v>
      </c>
      <c r="C773" s="14" t="s">
        <v>1515</v>
      </c>
      <c r="D773" s="14" t="s">
        <v>964</v>
      </c>
      <c r="E773" s="1">
        <v>9401.9</v>
      </c>
      <c r="F773" s="2"/>
      <c r="G773" s="1"/>
      <c r="H773" s="3"/>
      <c r="I773" s="14" t="s">
        <v>2177</v>
      </c>
    </row>
    <row r="774" spans="1:9" ht="18.75" customHeight="1" x14ac:dyDescent="0.4">
      <c r="A774" s="14" t="s">
        <v>3499</v>
      </c>
      <c r="B774" s="16" t="str">
        <f>TRIM("北港運河公園")</f>
        <v>北港運河公園</v>
      </c>
      <c r="C774" s="14" t="s">
        <v>1515</v>
      </c>
      <c r="D774" s="14" t="s">
        <v>964</v>
      </c>
      <c r="E774" s="1">
        <v>8055.54</v>
      </c>
      <c r="F774" s="2"/>
      <c r="G774" s="1"/>
      <c r="H774" s="3"/>
      <c r="I774" s="14" t="s">
        <v>2177</v>
      </c>
    </row>
    <row r="775" spans="1:9" ht="18.75" customHeight="1" x14ac:dyDescent="0.4">
      <c r="A775" s="14" t="s">
        <v>4292</v>
      </c>
      <c r="B775" s="16" t="str">
        <f>TRIM("港湾局賃貸地（此花・港営）")</f>
        <v>港湾局賃貸地（此花・港営）</v>
      </c>
      <c r="C775" s="14" t="s">
        <v>1515</v>
      </c>
      <c r="D775" s="14" t="s">
        <v>1324</v>
      </c>
      <c r="E775" s="1">
        <v>124503.35</v>
      </c>
      <c r="F775" s="2">
        <v>1656</v>
      </c>
      <c r="G775" s="12"/>
      <c r="H775" s="3"/>
      <c r="I775" s="14" t="s">
        <v>4117</v>
      </c>
    </row>
    <row r="776" spans="1:9" ht="18.75" customHeight="1" x14ac:dyDescent="0.4">
      <c r="A776" s="14" t="s">
        <v>4048</v>
      </c>
      <c r="B776" s="16" t="str">
        <f>TRIM("桜島抽水所")</f>
        <v>桜島抽水所</v>
      </c>
      <c r="C776" s="14" t="s">
        <v>1515</v>
      </c>
      <c r="D776" s="14" t="s">
        <v>1324</v>
      </c>
      <c r="E776" s="1">
        <v>1110.79</v>
      </c>
      <c r="F776" s="2"/>
      <c r="G776" s="1">
        <v>456.49</v>
      </c>
      <c r="H776" s="3"/>
      <c r="I776" s="14" t="s">
        <v>2177</v>
      </c>
    </row>
    <row r="777" spans="1:9" ht="18.75" customHeight="1" x14ac:dyDescent="0.4">
      <c r="A777" s="14" t="s">
        <v>3740</v>
      </c>
      <c r="B777" s="16" t="str">
        <f>TRIM(" 北港自転車保管所管理ボックス")</f>
        <v>北港自転車保管所管理ボックス</v>
      </c>
      <c r="C777" s="14" t="s">
        <v>1515</v>
      </c>
      <c r="D777" s="14" t="s">
        <v>1324</v>
      </c>
      <c r="E777" s="1"/>
      <c r="F777" s="2"/>
      <c r="G777" s="1">
        <v>5.25</v>
      </c>
      <c r="H777" s="3"/>
      <c r="I777" s="14" t="s">
        <v>2177</v>
      </c>
    </row>
    <row r="778" spans="1:9" ht="18.75" customHeight="1" x14ac:dyDescent="0.4">
      <c r="A778" s="14" t="s">
        <v>3741</v>
      </c>
      <c r="B778" s="16" t="str">
        <f>TRIM(" 北港自転車保管所管理事務所")</f>
        <v>北港自転車保管所管理事務所</v>
      </c>
      <c r="C778" s="14" t="s">
        <v>1515</v>
      </c>
      <c r="D778" s="14" t="s">
        <v>1324</v>
      </c>
      <c r="E778" s="1"/>
      <c r="F778" s="2"/>
      <c r="G778" s="1">
        <v>25.65</v>
      </c>
      <c r="H778" s="3"/>
      <c r="I778" s="14" t="s">
        <v>2177</v>
      </c>
    </row>
    <row r="779" spans="1:9" ht="18.75" customHeight="1" x14ac:dyDescent="0.4">
      <c r="A779" s="14" t="s">
        <v>4130</v>
      </c>
      <c r="B779" s="16" t="str">
        <f>TRIM("もと鉄道敷")</f>
        <v>もと鉄道敷</v>
      </c>
      <c r="C779" s="14" t="s">
        <v>1515</v>
      </c>
      <c r="D779" s="14" t="s">
        <v>1324</v>
      </c>
      <c r="E779" s="1">
        <v>10388.43</v>
      </c>
      <c r="F779" s="2"/>
      <c r="G779" s="1"/>
      <c r="H779" s="3"/>
      <c r="I779" s="14" t="s">
        <v>4117</v>
      </c>
    </row>
    <row r="780" spans="1:9" ht="18.75" customHeight="1" x14ac:dyDescent="0.4">
      <c r="A780" s="14" t="s">
        <v>4191</v>
      </c>
      <c r="B780" s="16" t="str">
        <f>TRIM("此花大橋")</f>
        <v>此花大橋</v>
      </c>
      <c r="C780" s="14" t="s">
        <v>1515</v>
      </c>
      <c r="D780" s="14" t="s">
        <v>1324</v>
      </c>
      <c r="E780" s="1">
        <v>8415.33</v>
      </c>
      <c r="F780" s="2"/>
      <c r="G780" s="1"/>
      <c r="H780" s="3"/>
      <c r="I780" s="14" t="s">
        <v>4117</v>
      </c>
    </row>
    <row r="781" spans="1:9" ht="18.75" customHeight="1" x14ac:dyDescent="0.4">
      <c r="A781" s="14" t="s">
        <v>4200</v>
      </c>
      <c r="B781" s="16" t="str">
        <f>TRIM("防潮堤（此花）")</f>
        <v>防潮堤（此花）</v>
      </c>
      <c r="C781" s="14" t="s">
        <v>1515</v>
      </c>
      <c r="D781" s="14" t="s">
        <v>1324</v>
      </c>
      <c r="E781" s="1">
        <v>25268.6</v>
      </c>
      <c r="F781" s="2"/>
      <c r="G781" s="1"/>
      <c r="H781" s="3"/>
      <c r="I781" s="14" t="s">
        <v>4117</v>
      </c>
    </row>
    <row r="782" spans="1:9" ht="18.75" customHeight="1" x14ac:dyDescent="0.4">
      <c r="A782" s="14" t="s">
        <v>4311</v>
      </c>
      <c r="B782" s="16" t="str">
        <f>TRIM("貯炭場")</f>
        <v>貯炭場</v>
      </c>
      <c r="C782" s="14" t="s">
        <v>1515</v>
      </c>
      <c r="D782" s="14" t="s">
        <v>1324</v>
      </c>
      <c r="E782" s="1">
        <v>32914.129999999997</v>
      </c>
      <c r="F782" s="2"/>
      <c r="G782" s="12"/>
      <c r="H782" s="3"/>
      <c r="I782" s="14" t="s">
        <v>4117</v>
      </c>
    </row>
    <row r="783" spans="1:9" ht="18.75" customHeight="1" x14ac:dyDescent="0.4">
      <c r="A783" s="14" t="s">
        <v>4321</v>
      </c>
      <c r="B783" s="16" t="str">
        <f>TRIM("北港白津1号上屋・北港白津2号上屋")</f>
        <v>北港白津1号上屋・北港白津2号上屋</v>
      </c>
      <c r="C783" s="14" t="s">
        <v>1515</v>
      </c>
      <c r="D783" s="14" t="s">
        <v>685</v>
      </c>
      <c r="E783" s="1">
        <v>24244.67</v>
      </c>
      <c r="F783" s="2"/>
      <c r="G783" s="12">
        <v>24543.489999999998</v>
      </c>
      <c r="H783" s="3"/>
      <c r="I783" s="14" t="s">
        <v>4117</v>
      </c>
    </row>
    <row r="784" spans="1:9" ht="18.75" customHeight="1" x14ac:dyDescent="0.4">
      <c r="A784" s="14" t="s">
        <v>4159</v>
      </c>
      <c r="B784" s="16" t="str">
        <f>TRIM("北港白津ふ頭港湾労働者休憩所")</f>
        <v>北港白津ふ頭港湾労働者休憩所</v>
      </c>
      <c r="C784" s="14" t="s">
        <v>1515</v>
      </c>
      <c r="D784" s="14" t="s">
        <v>685</v>
      </c>
      <c r="E784" s="1"/>
      <c r="F784" s="2"/>
      <c r="G784" s="1">
        <v>189.52</v>
      </c>
      <c r="H784" s="3"/>
      <c r="I784" s="14" t="s">
        <v>4117</v>
      </c>
    </row>
    <row r="785" spans="1:9" ht="18.75" customHeight="1" x14ac:dyDescent="0.4">
      <c r="A785" s="14" t="s">
        <v>4160</v>
      </c>
      <c r="B785" s="16" t="str">
        <f>TRIM("北港白津ふ頭港湾労働者休憩所用地")</f>
        <v>北港白津ふ頭港湾労働者休憩所用地</v>
      </c>
      <c r="C785" s="14" t="s">
        <v>1515</v>
      </c>
      <c r="D785" s="14" t="s">
        <v>685</v>
      </c>
      <c r="E785" s="1">
        <v>1960.92</v>
      </c>
      <c r="F785" s="2"/>
      <c r="G785" s="1"/>
      <c r="H785" s="3"/>
      <c r="I785" s="14" t="s">
        <v>4117</v>
      </c>
    </row>
    <row r="786" spans="1:9" ht="18.75" customHeight="1" x14ac:dyDescent="0.4">
      <c r="A786" s="14" t="s">
        <v>4179</v>
      </c>
      <c r="B786" s="16" t="str">
        <f>TRIM("夢舞大橋電気室（舞州）")</f>
        <v>夢舞大橋電気室（舞州）</v>
      </c>
      <c r="C786" s="14" t="s">
        <v>1515</v>
      </c>
      <c r="D786" s="14" t="s">
        <v>685</v>
      </c>
      <c r="E786" s="1"/>
      <c r="F786" s="2"/>
      <c r="G786" s="1">
        <v>168.72</v>
      </c>
      <c r="H786" s="3"/>
      <c r="I786" s="14" t="s">
        <v>4117</v>
      </c>
    </row>
    <row r="787" spans="1:9" ht="18.75" customHeight="1" x14ac:dyDescent="0.4">
      <c r="A787" s="14" t="s">
        <v>4286</v>
      </c>
      <c r="B787" s="16" t="str">
        <f>TRIM("荷捌地（此花・港営）")</f>
        <v>荷捌地（此花・港営）</v>
      </c>
      <c r="C787" s="14" t="s">
        <v>1515</v>
      </c>
      <c r="D787" s="14" t="s">
        <v>685</v>
      </c>
      <c r="E787" s="1">
        <v>132285.71</v>
      </c>
      <c r="F787" s="2"/>
      <c r="G787" s="12"/>
      <c r="H787" s="3"/>
      <c r="I787" s="14" t="s">
        <v>4117</v>
      </c>
    </row>
    <row r="788" spans="1:9" ht="18.75" customHeight="1" x14ac:dyDescent="0.4">
      <c r="A788" s="14" t="s">
        <v>6073</v>
      </c>
      <c r="B788" s="16" t="str">
        <f>TRIM("舞洲工場")</f>
        <v>舞洲工場</v>
      </c>
      <c r="C788" s="14" t="s">
        <v>1515</v>
      </c>
      <c r="D788" s="14" t="s">
        <v>685</v>
      </c>
      <c r="E788" s="1">
        <v>32876.620000000003</v>
      </c>
      <c r="F788" s="2"/>
      <c r="G788" s="1"/>
      <c r="H788" s="3"/>
      <c r="I788" s="14" t="s">
        <v>5977</v>
      </c>
    </row>
    <row r="789" spans="1:9" ht="18.75" customHeight="1" x14ac:dyDescent="0.4">
      <c r="A789" s="14" t="s">
        <v>6094</v>
      </c>
      <c r="B789" s="16" t="str">
        <f>TRIM("舞洲工場（局管理分）")</f>
        <v>舞洲工場（局管理分）</v>
      </c>
      <c r="C789" s="14" t="s">
        <v>1515</v>
      </c>
      <c r="D789" s="14" t="s">
        <v>685</v>
      </c>
      <c r="E789" s="1">
        <v>123.45</v>
      </c>
      <c r="F789" s="2"/>
      <c r="G789" s="1"/>
      <c r="H789" s="3"/>
      <c r="I789" s="14" t="s">
        <v>5977</v>
      </c>
    </row>
    <row r="790" spans="1:9" ht="18.75" customHeight="1" x14ac:dyDescent="0.4">
      <c r="A790" s="14"/>
      <c r="B790" s="14" t="s">
        <v>7189</v>
      </c>
      <c r="C790" s="14" t="s">
        <v>1515</v>
      </c>
      <c r="D790" s="1" t="s">
        <v>685</v>
      </c>
      <c r="E790" s="1"/>
      <c r="F790" s="2"/>
      <c r="G790" s="1">
        <v>802.42</v>
      </c>
      <c r="H790" s="1"/>
      <c r="I790" s="14" t="s">
        <v>7190</v>
      </c>
    </row>
    <row r="791" spans="1:9" ht="18.75" customHeight="1" x14ac:dyDescent="0.4">
      <c r="A791" s="14" t="s">
        <v>4098</v>
      </c>
      <c r="B791" s="16" t="str">
        <f>TRIM("舞洲スラッジセンター")</f>
        <v>舞洲スラッジセンター</v>
      </c>
      <c r="C791" s="14" t="s">
        <v>1515</v>
      </c>
      <c r="D791" s="14" t="s">
        <v>344</v>
      </c>
      <c r="E791" s="1">
        <v>33931.33</v>
      </c>
      <c r="F791" s="2"/>
      <c r="G791" s="1">
        <v>41309.03</v>
      </c>
      <c r="H791" s="3"/>
      <c r="I791" s="14" t="s">
        <v>2177</v>
      </c>
    </row>
    <row r="792" spans="1:9" ht="18.75" customHeight="1" x14ac:dyDescent="0.4">
      <c r="A792" s="14" t="s">
        <v>4111</v>
      </c>
      <c r="B792" s="16" t="str">
        <f>TRIM("舞洲抽水所")</f>
        <v>舞洲抽水所</v>
      </c>
      <c r="C792" s="14" t="s">
        <v>1515</v>
      </c>
      <c r="D792" s="14" t="s">
        <v>344</v>
      </c>
      <c r="E792" s="1">
        <v>3857.66</v>
      </c>
      <c r="F792" s="2"/>
      <c r="G792" s="1">
        <v>838.77</v>
      </c>
      <c r="H792" s="3"/>
      <c r="I792" s="14" t="s">
        <v>2177</v>
      </c>
    </row>
    <row r="793" spans="1:9" ht="18.75" customHeight="1" x14ac:dyDescent="0.4">
      <c r="A793" s="14" t="s">
        <v>1709</v>
      </c>
      <c r="B793" s="16" t="str">
        <f>TRIM("社会福祉施設用地（此花区北港白津）")</f>
        <v>社会福祉施設用地（此花区北港白津）</v>
      </c>
      <c r="C793" s="14" t="s">
        <v>1515</v>
      </c>
      <c r="D793" s="14" t="s">
        <v>344</v>
      </c>
      <c r="E793" s="1">
        <v>22961.68</v>
      </c>
      <c r="F793" s="2"/>
      <c r="G793" s="1"/>
      <c r="H793" s="3"/>
      <c r="I793" s="14" t="s">
        <v>1654</v>
      </c>
    </row>
    <row r="794" spans="1:9" ht="18.75" customHeight="1" x14ac:dyDescent="0.4">
      <c r="A794" s="14" t="s">
        <v>1756</v>
      </c>
      <c r="B794" s="16" t="str">
        <f>TRIM("舞洲障害者スポーツセンター")</f>
        <v>舞洲障害者スポーツセンター</v>
      </c>
      <c r="C794" s="14" t="s">
        <v>1515</v>
      </c>
      <c r="D794" s="14" t="s">
        <v>344</v>
      </c>
      <c r="E794" s="1"/>
      <c r="F794" s="2"/>
      <c r="G794" s="1">
        <v>14374.08</v>
      </c>
      <c r="H794" s="3"/>
      <c r="I794" s="14" t="s">
        <v>1654</v>
      </c>
    </row>
    <row r="795" spans="1:9" ht="18.75" customHeight="1" x14ac:dyDescent="0.4">
      <c r="A795" s="14" t="s">
        <v>4168</v>
      </c>
      <c r="B795" s="16" t="str">
        <f>TRIM("常吉大橋電気室")</f>
        <v>常吉大橋電気室</v>
      </c>
      <c r="C795" s="14" t="s">
        <v>1515</v>
      </c>
      <c r="D795" s="14" t="s">
        <v>344</v>
      </c>
      <c r="E795" s="1"/>
      <c r="F795" s="2"/>
      <c r="G795" s="1">
        <v>12.5</v>
      </c>
      <c r="H795" s="3"/>
      <c r="I795" s="14" t="s">
        <v>4117</v>
      </c>
    </row>
    <row r="796" spans="1:9" ht="18.75" customHeight="1" x14ac:dyDescent="0.4">
      <c r="A796" s="14"/>
      <c r="B796" s="14" t="s">
        <v>7227</v>
      </c>
      <c r="C796" s="14" t="s">
        <v>7228</v>
      </c>
      <c r="D796" s="1" t="s">
        <v>7229</v>
      </c>
      <c r="E796" s="1"/>
      <c r="F796" s="2"/>
      <c r="G796" s="1">
        <v>1102.24</v>
      </c>
      <c r="H796" s="1"/>
      <c r="I796" s="14" t="s">
        <v>7190</v>
      </c>
    </row>
    <row r="797" spans="1:9" ht="18.75" customHeight="1" x14ac:dyDescent="0.4">
      <c r="A797" s="14"/>
      <c r="B797" s="14" t="s">
        <v>7230</v>
      </c>
      <c r="C797" s="14" t="s">
        <v>7228</v>
      </c>
      <c r="D797" s="1" t="s">
        <v>7229</v>
      </c>
      <c r="E797" s="1"/>
      <c r="F797" s="2"/>
      <c r="G797" s="1">
        <v>555.65</v>
      </c>
      <c r="H797" s="1"/>
      <c r="I797" s="14" t="s">
        <v>7190</v>
      </c>
    </row>
    <row r="798" spans="1:9" ht="18.75" customHeight="1" x14ac:dyDescent="0.4">
      <c r="A798" s="14" t="s">
        <v>5339</v>
      </c>
      <c r="B798" s="16" t="str">
        <f>TRIM("高度専門教育訓練センター用地")</f>
        <v>高度専門教育訓練センター用地</v>
      </c>
      <c r="C798" s="14" t="s">
        <v>1515</v>
      </c>
      <c r="D798" s="14" t="s">
        <v>1346</v>
      </c>
      <c r="E798" s="1">
        <v>36146.910000000003</v>
      </c>
      <c r="F798" s="2">
        <v>76</v>
      </c>
      <c r="G798" s="1"/>
      <c r="H798" s="3"/>
      <c r="I798" s="14" t="s">
        <v>5219</v>
      </c>
    </row>
    <row r="799" spans="1:9" ht="18.75" customHeight="1" x14ac:dyDescent="0.4">
      <c r="A799" s="14" t="s">
        <v>4176</v>
      </c>
      <c r="B799" s="16" t="str">
        <f>TRIM("舞洲緑地")</f>
        <v>舞洲緑地</v>
      </c>
      <c r="C799" s="14" t="s">
        <v>1515</v>
      </c>
      <c r="D799" s="14" t="s">
        <v>1346</v>
      </c>
      <c r="E799" s="1">
        <v>91926.5</v>
      </c>
      <c r="F799" s="2"/>
      <c r="G799" s="1">
        <v>259.89</v>
      </c>
      <c r="H799" s="3"/>
      <c r="I799" s="14" t="s">
        <v>4117</v>
      </c>
    </row>
    <row r="800" spans="1:9" ht="18.75" customHeight="1" x14ac:dyDescent="0.4">
      <c r="A800" s="14" t="s">
        <v>4318</v>
      </c>
      <c r="B800" s="16" t="str">
        <f>TRIM("舞洲体育館")</f>
        <v>舞洲体育館</v>
      </c>
      <c r="C800" s="14" t="s">
        <v>1515</v>
      </c>
      <c r="D800" s="14" t="s">
        <v>1346</v>
      </c>
      <c r="E800" s="1">
        <v>57179.14</v>
      </c>
      <c r="F800" s="2"/>
      <c r="G800" s="12">
        <v>17318.75</v>
      </c>
      <c r="H800" s="3"/>
      <c r="I800" s="14" t="s">
        <v>4117</v>
      </c>
    </row>
    <row r="801" spans="1:9" ht="18.75" customHeight="1" x14ac:dyDescent="0.4">
      <c r="A801" s="14" t="s">
        <v>4177</v>
      </c>
      <c r="B801" s="16" t="str">
        <f>TRIM("舞洲緑道付帯施設")</f>
        <v>舞洲緑道付帯施設</v>
      </c>
      <c r="C801" s="14" t="s">
        <v>1515</v>
      </c>
      <c r="D801" s="14" t="s">
        <v>1346</v>
      </c>
      <c r="E801" s="1"/>
      <c r="F801" s="2"/>
      <c r="G801" s="1">
        <v>638.15</v>
      </c>
      <c r="H801" s="3"/>
      <c r="I801" s="14" t="s">
        <v>4117</v>
      </c>
    </row>
    <row r="802" spans="1:9" ht="18.75" customHeight="1" x14ac:dyDescent="0.4">
      <c r="A802" s="14" t="s">
        <v>4193</v>
      </c>
      <c r="B802" s="16" t="str">
        <f>TRIM("舞洲緑道")</f>
        <v>舞洲緑道</v>
      </c>
      <c r="C802" s="14" t="s">
        <v>1515</v>
      </c>
      <c r="D802" s="14" t="s">
        <v>1346</v>
      </c>
      <c r="E802" s="1">
        <v>69539.97</v>
      </c>
      <c r="F802" s="2"/>
      <c r="G802" s="1"/>
      <c r="H802" s="3"/>
      <c r="I802" s="14" t="s">
        <v>4117</v>
      </c>
    </row>
    <row r="803" spans="1:9" ht="18.75" customHeight="1" x14ac:dyDescent="0.4">
      <c r="A803" s="14" t="s">
        <v>4207</v>
      </c>
      <c r="B803" s="16" t="str">
        <f>TRIM("新夕陽丘緑地")</f>
        <v>新夕陽丘緑地</v>
      </c>
      <c r="C803" s="14" t="s">
        <v>1515</v>
      </c>
      <c r="D803" s="14" t="s">
        <v>1346</v>
      </c>
      <c r="E803" s="1">
        <v>39913.519999999997</v>
      </c>
      <c r="F803" s="2"/>
      <c r="G803" s="1"/>
      <c r="H803" s="3"/>
      <c r="I803" s="14" t="s">
        <v>4117</v>
      </c>
    </row>
    <row r="804" spans="1:9" ht="18.75" customHeight="1" x14ac:dyDescent="0.4">
      <c r="A804" s="14" t="s">
        <v>4252</v>
      </c>
      <c r="B804" s="16" t="str">
        <f>TRIM("もと舞洲事務所")</f>
        <v>もと舞洲事務所</v>
      </c>
      <c r="C804" s="14" t="s">
        <v>1515</v>
      </c>
      <c r="D804" s="14" t="s">
        <v>1346</v>
      </c>
      <c r="E804" s="1"/>
      <c r="F804" s="2"/>
      <c r="G804" s="1">
        <v>704.33</v>
      </c>
      <c r="H804" s="3" t="s">
        <v>7353</v>
      </c>
      <c r="I804" s="14" t="s">
        <v>4117</v>
      </c>
    </row>
    <row r="805" spans="1:9" ht="18.75" customHeight="1" x14ac:dyDescent="0.4">
      <c r="A805" s="14" t="s">
        <v>4319</v>
      </c>
      <c r="B805" s="16" t="str">
        <f>TRIM("舞洲埋立地")</f>
        <v>舞洲埋立地</v>
      </c>
      <c r="C805" s="14" t="s">
        <v>1515</v>
      </c>
      <c r="D805" s="14" t="s">
        <v>1346</v>
      </c>
      <c r="E805" s="1">
        <v>875127.89</v>
      </c>
      <c r="F805" s="2"/>
      <c r="G805" s="12"/>
      <c r="H805" s="3"/>
      <c r="I805" s="14" t="s">
        <v>4117</v>
      </c>
    </row>
    <row r="806" spans="1:9" ht="18.75" customHeight="1" x14ac:dyDescent="0.4">
      <c r="A806" s="14" t="s">
        <v>4320</v>
      </c>
      <c r="B806" s="16" t="str">
        <f>TRIM("舞洲野球場")</f>
        <v>舞洲野球場</v>
      </c>
      <c r="C806" s="14" t="s">
        <v>1515</v>
      </c>
      <c r="D806" s="14" t="s">
        <v>1346</v>
      </c>
      <c r="E806" s="1">
        <v>55429.86</v>
      </c>
      <c r="F806" s="2"/>
      <c r="G806" s="12"/>
      <c r="H806" s="3"/>
      <c r="I806" s="14" t="s">
        <v>4117</v>
      </c>
    </row>
    <row r="807" spans="1:9" ht="18.75" customHeight="1" x14ac:dyDescent="0.4">
      <c r="A807" s="14"/>
      <c r="B807" s="14" t="s">
        <v>7191</v>
      </c>
      <c r="C807" s="14" t="s">
        <v>1515</v>
      </c>
      <c r="D807" s="1" t="s">
        <v>1346</v>
      </c>
      <c r="E807" s="1"/>
      <c r="F807" s="2"/>
      <c r="G807" s="1">
        <v>360.95</v>
      </c>
      <c r="H807" s="1"/>
      <c r="I807" s="14" t="s">
        <v>7190</v>
      </c>
    </row>
    <row r="808" spans="1:9" ht="18.75" customHeight="1" x14ac:dyDescent="0.4">
      <c r="A808" s="14"/>
      <c r="B808" s="14" t="s">
        <v>7232</v>
      </c>
      <c r="C808" s="14" t="s">
        <v>7228</v>
      </c>
      <c r="D808" s="1" t="s">
        <v>7231</v>
      </c>
      <c r="E808" s="1"/>
      <c r="F808" s="2"/>
      <c r="G808" s="1">
        <v>7.42</v>
      </c>
      <c r="H808" s="1"/>
      <c r="I808" s="14" t="s">
        <v>7190</v>
      </c>
    </row>
    <row r="809" spans="1:9" ht="18.75" customHeight="1" x14ac:dyDescent="0.4">
      <c r="A809" s="14"/>
      <c r="B809" s="14" t="s">
        <v>7233</v>
      </c>
      <c r="C809" s="14" t="s">
        <v>7228</v>
      </c>
      <c r="D809" s="1" t="s">
        <v>7231</v>
      </c>
      <c r="E809" s="1"/>
      <c r="F809" s="2"/>
      <c r="G809" s="1">
        <v>194.8</v>
      </c>
      <c r="H809" s="1"/>
      <c r="I809" s="14" t="s">
        <v>7190</v>
      </c>
    </row>
    <row r="810" spans="1:9" ht="18.75" customHeight="1" x14ac:dyDescent="0.4">
      <c r="A810" s="14" t="s">
        <v>4211</v>
      </c>
      <c r="B810" s="16" t="str">
        <f>TRIM("夢洲駅")</f>
        <v>夢洲駅</v>
      </c>
      <c r="C810" s="14" t="s">
        <v>1515</v>
      </c>
      <c r="D810" s="14" t="s">
        <v>4212</v>
      </c>
      <c r="E810" s="1"/>
      <c r="F810" s="2"/>
      <c r="G810" s="1">
        <v>7419.48</v>
      </c>
      <c r="H810" s="3"/>
      <c r="I810" s="14" t="s">
        <v>4117</v>
      </c>
    </row>
    <row r="811" spans="1:9" ht="18.75" customHeight="1" x14ac:dyDescent="0.4">
      <c r="A811" s="14" t="s">
        <v>4235</v>
      </c>
      <c r="B811" s="16" t="str">
        <f>TRIM("夢洲船客上屋")</f>
        <v>夢洲船客上屋</v>
      </c>
      <c r="C811" s="14" t="s">
        <v>1515</v>
      </c>
      <c r="D811" s="14" t="s">
        <v>4212</v>
      </c>
      <c r="E811" s="1"/>
      <c r="F811" s="2"/>
      <c r="G811" s="1">
        <v>207.5</v>
      </c>
      <c r="H811" s="3"/>
      <c r="I811" s="14" t="s">
        <v>4117</v>
      </c>
    </row>
    <row r="812" spans="1:9" ht="18.75" customHeight="1" x14ac:dyDescent="0.4">
      <c r="A812" s="14" t="s">
        <v>4322</v>
      </c>
      <c r="B812" s="16" t="str">
        <f>TRIM("夢洲埋立地")</f>
        <v>夢洲埋立地</v>
      </c>
      <c r="C812" s="14" t="s">
        <v>1515</v>
      </c>
      <c r="D812" s="14" t="s">
        <v>4212</v>
      </c>
      <c r="E812" s="1">
        <v>1415034.28</v>
      </c>
      <c r="F812" s="2"/>
      <c r="G812" s="12"/>
      <c r="H812" s="3"/>
      <c r="I812" s="14" t="s">
        <v>4117</v>
      </c>
    </row>
    <row r="813" spans="1:9" ht="18.75" customHeight="1" x14ac:dyDescent="0.4">
      <c r="A813" s="14" t="s">
        <v>4325</v>
      </c>
      <c r="B813" s="16" t="str">
        <f>TRIM("臨港道路（此花・港営）")</f>
        <v>臨港道路（此花・港営）</v>
      </c>
      <c r="C813" s="14" t="s">
        <v>1515</v>
      </c>
      <c r="D813" s="14" t="s">
        <v>4212</v>
      </c>
      <c r="E813" s="1">
        <v>17653.580000000002</v>
      </c>
      <c r="F813" s="2"/>
      <c r="G813" s="12"/>
      <c r="H813" s="3"/>
      <c r="I813" s="14" t="s">
        <v>4117</v>
      </c>
    </row>
    <row r="814" spans="1:9" ht="18.75" customHeight="1" x14ac:dyDescent="0.4">
      <c r="A814" s="14" t="s">
        <v>4334</v>
      </c>
      <c r="B814" s="16" t="str">
        <f>TRIM("臨港緑地（予定地）")</f>
        <v>臨港緑地（予定地）</v>
      </c>
      <c r="C814" s="14" t="s">
        <v>1515</v>
      </c>
      <c r="D814" s="14" t="s">
        <v>4212</v>
      </c>
      <c r="E814" s="1">
        <v>34617.360000000001</v>
      </c>
      <c r="F814" s="2"/>
      <c r="G814" s="14"/>
      <c r="H814" s="3"/>
      <c r="I814" s="14" t="s">
        <v>4117</v>
      </c>
    </row>
    <row r="815" spans="1:9" ht="18.75" customHeight="1" x14ac:dyDescent="0.4">
      <c r="A815" s="14" t="s">
        <v>4180</v>
      </c>
      <c r="B815" s="16" t="str">
        <f>TRIM("夢舞大橋電気室（夢洲）")</f>
        <v>夢舞大橋電気室（夢洲）</v>
      </c>
      <c r="C815" s="14" t="s">
        <v>1515</v>
      </c>
      <c r="D815" s="14" t="s">
        <v>4181</v>
      </c>
      <c r="E815" s="1"/>
      <c r="F815" s="2"/>
      <c r="G815" s="1">
        <v>144.21</v>
      </c>
      <c r="H815" s="3"/>
      <c r="I815" s="14" t="s">
        <v>4117</v>
      </c>
    </row>
    <row r="816" spans="1:9" ht="18.75" customHeight="1" x14ac:dyDescent="0.4">
      <c r="A816" s="14" t="s">
        <v>4183</v>
      </c>
      <c r="B816" s="16" t="str">
        <f>TRIM("臨港道路（此花）")</f>
        <v>臨港道路（此花）</v>
      </c>
      <c r="C816" s="14" t="s">
        <v>1515</v>
      </c>
      <c r="D816" s="14" t="s">
        <v>4181</v>
      </c>
      <c r="E816" s="1">
        <v>537699.29</v>
      </c>
      <c r="F816" s="2"/>
      <c r="G816" s="1"/>
      <c r="H816" s="3"/>
      <c r="I816" s="14" t="s">
        <v>4117</v>
      </c>
    </row>
    <row r="817" spans="1:9" ht="18.75" customHeight="1" x14ac:dyDescent="0.4">
      <c r="A817" s="14" t="s">
        <v>4268</v>
      </c>
      <c r="B817" s="16" t="str">
        <f>TRIM("コンテナ搬送用台車置場（此花）")</f>
        <v>コンテナ搬送用台車置場（此花）</v>
      </c>
      <c r="C817" s="14" t="s">
        <v>1515</v>
      </c>
      <c r="D817" s="14" t="s">
        <v>4181</v>
      </c>
      <c r="E817" s="1">
        <v>39290.58</v>
      </c>
      <c r="F817" s="2"/>
      <c r="G817" s="1"/>
      <c r="H817" s="3"/>
      <c r="I817" s="14" t="s">
        <v>4117</v>
      </c>
    </row>
    <row r="818" spans="1:9" ht="18.75" customHeight="1" x14ac:dyDescent="0.4">
      <c r="A818" s="14" t="s">
        <v>4289</v>
      </c>
      <c r="B818" s="16" t="str">
        <f>TRIM("共同溝用地")</f>
        <v>共同溝用地</v>
      </c>
      <c r="C818" s="14" t="s">
        <v>1515</v>
      </c>
      <c r="D818" s="14" t="s">
        <v>4181</v>
      </c>
      <c r="E818" s="1">
        <v>869.55</v>
      </c>
      <c r="F818" s="2"/>
      <c r="G818" s="12"/>
      <c r="H818" s="3"/>
      <c r="I818" s="14" t="s">
        <v>4117</v>
      </c>
    </row>
    <row r="819" spans="1:9" ht="18.75" customHeight="1" x14ac:dyDescent="0.4">
      <c r="A819" s="14" t="s">
        <v>4316</v>
      </c>
      <c r="B819" s="16" t="str">
        <f>TRIM("埠頭（此花）")</f>
        <v>埠頭（此花）</v>
      </c>
      <c r="C819" s="14" t="s">
        <v>1515</v>
      </c>
      <c r="D819" s="14" t="s">
        <v>4181</v>
      </c>
      <c r="E819" s="1">
        <v>157697.85999999999</v>
      </c>
      <c r="F819" s="2"/>
      <c r="G819" s="12"/>
      <c r="H819" s="3"/>
      <c r="I819" s="14" t="s">
        <v>4117</v>
      </c>
    </row>
    <row r="820" spans="1:9" ht="18.75" customHeight="1" x14ac:dyDescent="0.4">
      <c r="A820" s="14" t="s">
        <v>4326</v>
      </c>
      <c r="B820" s="16" t="str">
        <f>TRIM("護岸敷（此花・港営）")</f>
        <v>護岸敷（此花・港営）</v>
      </c>
      <c r="C820" s="14" t="s">
        <v>1515</v>
      </c>
      <c r="D820" s="14" t="s">
        <v>4181</v>
      </c>
      <c r="E820" s="1">
        <v>10894.3</v>
      </c>
      <c r="F820" s="2"/>
      <c r="G820" s="12"/>
      <c r="H820" s="3"/>
      <c r="I820" s="14" t="s">
        <v>4117</v>
      </c>
    </row>
    <row r="821" spans="1:9" ht="18.75" customHeight="1" x14ac:dyDescent="0.4">
      <c r="A821" s="14" t="s">
        <v>4333</v>
      </c>
      <c r="B821" s="16" t="str">
        <f>TRIM("木津川浚渫土砂管理地")</f>
        <v>木津川浚渫土砂管理地</v>
      </c>
      <c r="C821" s="14" t="s">
        <v>1515</v>
      </c>
      <c r="D821" s="14" t="s">
        <v>4181</v>
      </c>
      <c r="E821" s="1">
        <v>57575.360000000001</v>
      </c>
      <c r="F821" s="2"/>
      <c r="G821" s="14"/>
      <c r="H821" s="3"/>
      <c r="I821" s="14" t="s">
        <v>4117</v>
      </c>
    </row>
    <row r="822" spans="1:9" ht="18.75" customHeight="1" x14ac:dyDescent="0.4">
      <c r="A822" s="14" t="s">
        <v>4335</v>
      </c>
      <c r="B822" s="16" t="str">
        <f>TRIM("もとコンテナ搬送用台車置場（此花）")</f>
        <v>もとコンテナ搬送用台車置場（此花）</v>
      </c>
      <c r="C822" s="14" t="s">
        <v>1515</v>
      </c>
      <c r="D822" s="14" t="s">
        <v>4181</v>
      </c>
      <c r="E822" s="1">
        <v>7000.75</v>
      </c>
      <c r="F822" s="2"/>
      <c r="G822" s="14"/>
      <c r="H822" s="3"/>
      <c r="I822" s="14" t="s">
        <v>4117</v>
      </c>
    </row>
    <row r="823" spans="1:9" ht="18.75" customHeight="1" x14ac:dyDescent="0.4">
      <c r="A823" s="14" t="s">
        <v>2377</v>
      </c>
      <c r="B823" s="16" t="str">
        <f>TRIM("安土町駐車場")</f>
        <v>安土町駐車場</v>
      </c>
      <c r="C823" s="14" t="s">
        <v>1518</v>
      </c>
      <c r="D823" s="14" t="s">
        <v>982</v>
      </c>
      <c r="E823" s="1">
        <v>2090.5100000000002</v>
      </c>
      <c r="F823" s="2"/>
      <c r="G823" s="1"/>
      <c r="H823" s="3"/>
      <c r="I823" s="14" t="s">
        <v>2177</v>
      </c>
    </row>
    <row r="824" spans="1:9" ht="18.75" customHeight="1" x14ac:dyDescent="0.4">
      <c r="A824" s="14" t="s">
        <v>2389</v>
      </c>
      <c r="B824" s="16" t="str">
        <f>TRIM("安土町複合施設")</f>
        <v>安土町複合施設</v>
      </c>
      <c r="C824" s="14" t="s">
        <v>1518</v>
      </c>
      <c r="D824" s="14" t="s">
        <v>982</v>
      </c>
      <c r="E824" s="1">
        <v>1437.61</v>
      </c>
      <c r="F824" s="2"/>
      <c r="G824" s="1"/>
      <c r="H824" s="3"/>
      <c r="I824" s="14" t="s">
        <v>2177</v>
      </c>
    </row>
    <row r="825" spans="1:9" ht="18.75" customHeight="1" x14ac:dyDescent="0.4">
      <c r="A825" s="14" t="s">
        <v>2397</v>
      </c>
      <c r="B825" s="16" t="str">
        <f>TRIM("安土町地下駐車場")</f>
        <v>安土町地下駐車場</v>
      </c>
      <c r="C825" s="14" t="s">
        <v>1518</v>
      </c>
      <c r="D825" s="14" t="s">
        <v>982</v>
      </c>
      <c r="E825" s="1"/>
      <c r="F825" s="2"/>
      <c r="G825" s="1">
        <v>9274</v>
      </c>
      <c r="H825" s="3"/>
      <c r="I825" s="14" t="s">
        <v>2177</v>
      </c>
    </row>
    <row r="826" spans="1:9" ht="18.75" customHeight="1" x14ac:dyDescent="0.4">
      <c r="A826" s="14" t="s">
        <v>6998</v>
      </c>
      <c r="B826" s="16" t="str">
        <f>TRIM("安土町複合施設（保健所）")</f>
        <v>安土町複合施設（保健所）</v>
      </c>
      <c r="C826" s="14" t="s">
        <v>1518</v>
      </c>
      <c r="D826" s="14" t="s">
        <v>982</v>
      </c>
      <c r="E826" s="1"/>
      <c r="F826" s="2"/>
      <c r="G826" s="1">
        <v>10493.88</v>
      </c>
      <c r="H826" s="3"/>
      <c r="I826" s="14" t="s">
        <v>2402</v>
      </c>
    </row>
    <row r="827" spans="1:9" ht="18.75" customHeight="1" x14ac:dyDescent="0.4">
      <c r="A827" s="14" t="s">
        <v>2213</v>
      </c>
      <c r="B827" s="16" t="str">
        <f>TRIM("国道２５号（中央）（管財課）")</f>
        <v>国道２５号（中央）（管財課）</v>
      </c>
      <c r="C827" s="14" t="s">
        <v>1518</v>
      </c>
      <c r="D827" s="14" t="s">
        <v>912</v>
      </c>
      <c r="E827" s="1">
        <v>45190.87</v>
      </c>
      <c r="F827" s="2"/>
      <c r="G827" s="1"/>
      <c r="H827" s="3"/>
      <c r="I827" s="14" t="s">
        <v>2177</v>
      </c>
    </row>
    <row r="828" spans="1:9" ht="18.75" customHeight="1" x14ac:dyDescent="0.4">
      <c r="A828" s="14" t="s">
        <v>6030</v>
      </c>
      <c r="B828" s="16" t="str">
        <f>TRIM("中央区内北部公衆便所")</f>
        <v>中央区内北部公衆便所</v>
      </c>
      <c r="C828" s="14" t="s">
        <v>1518</v>
      </c>
      <c r="D828" s="14" t="s">
        <v>1475</v>
      </c>
      <c r="E828" s="1"/>
      <c r="F828" s="2"/>
      <c r="G828" s="1">
        <v>5.95</v>
      </c>
      <c r="H828" s="3"/>
      <c r="I828" s="14" t="s">
        <v>5977</v>
      </c>
    </row>
    <row r="829" spans="1:9" ht="18.75" customHeight="1" x14ac:dyDescent="0.4">
      <c r="A829" s="14" t="s">
        <v>3894</v>
      </c>
      <c r="B829" s="16" t="str">
        <f>TRIM("谷町六丁目駅自転車駐車場管理事務所")</f>
        <v>谷町六丁目駅自転車駐車場管理事務所</v>
      </c>
      <c r="C829" s="14" t="s">
        <v>1518</v>
      </c>
      <c r="D829" s="14" t="s">
        <v>1498</v>
      </c>
      <c r="E829" s="1"/>
      <c r="F829" s="2"/>
      <c r="G829" s="1">
        <v>9.7200000000000006</v>
      </c>
      <c r="H829" s="3"/>
      <c r="I829" s="14" t="s">
        <v>2177</v>
      </c>
    </row>
    <row r="830" spans="1:9" ht="18.75" customHeight="1" x14ac:dyDescent="0.4">
      <c r="A830" s="14" t="s">
        <v>5049</v>
      </c>
      <c r="B830" s="16" t="str">
        <f>TRIM("南大江小学校")</f>
        <v>南大江小学校</v>
      </c>
      <c r="C830" s="14" t="s">
        <v>1518</v>
      </c>
      <c r="D830" s="14" t="s">
        <v>1149</v>
      </c>
      <c r="E830" s="1">
        <v>7749.53</v>
      </c>
      <c r="F830" s="2"/>
      <c r="G830" s="1">
        <v>8745.3799999999992</v>
      </c>
      <c r="H830" s="3"/>
      <c r="I830" s="14" t="s">
        <v>4689</v>
      </c>
    </row>
    <row r="831" spans="1:9" ht="18.75" customHeight="1" x14ac:dyDescent="0.4">
      <c r="A831" s="14" t="s">
        <v>3029</v>
      </c>
      <c r="B831" s="16" t="str">
        <f>TRIM("　谷四錦郷公園")</f>
        <v>谷四錦郷公園</v>
      </c>
      <c r="C831" s="14" t="s">
        <v>1518</v>
      </c>
      <c r="D831" s="14" t="s">
        <v>1149</v>
      </c>
      <c r="E831" s="1">
        <v>3922</v>
      </c>
      <c r="F831" s="2"/>
      <c r="G831" s="1"/>
      <c r="H831" s="3"/>
      <c r="I831" s="14" t="s">
        <v>2177</v>
      </c>
    </row>
    <row r="832" spans="1:9" ht="18.75" customHeight="1" x14ac:dyDescent="0.4">
      <c r="A832" s="14" t="s">
        <v>4965</v>
      </c>
      <c r="B832" s="16" t="str">
        <f>TRIM("中大江小学校")</f>
        <v>中大江小学校</v>
      </c>
      <c r="C832" s="14" t="s">
        <v>1518</v>
      </c>
      <c r="D832" s="14" t="s">
        <v>176</v>
      </c>
      <c r="E832" s="1">
        <v>5705.78</v>
      </c>
      <c r="F832" s="2"/>
      <c r="G832" s="1">
        <v>6862.62</v>
      </c>
      <c r="H832" s="3"/>
      <c r="I832" s="14" t="s">
        <v>4689</v>
      </c>
    </row>
    <row r="833" spans="1:9" ht="18.75" customHeight="1" x14ac:dyDescent="0.4">
      <c r="A833" s="14" t="s">
        <v>5803</v>
      </c>
      <c r="B833" s="16" t="str">
        <f>TRIM("中大江幼稚園")</f>
        <v>中大江幼稚園</v>
      </c>
      <c r="C833" s="14" t="s">
        <v>1518</v>
      </c>
      <c r="D833" s="14" t="s">
        <v>176</v>
      </c>
      <c r="E833" s="1">
        <v>1567</v>
      </c>
      <c r="F833" s="2"/>
      <c r="G833" s="1">
        <v>754.92</v>
      </c>
      <c r="H833" s="3"/>
      <c r="I833" s="14" t="s">
        <v>5617</v>
      </c>
    </row>
    <row r="834" spans="1:9" ht="18.75" customHeight="1" x14ac:dyDescent="0.4">
      <c r="A834" s="14" t="s">
        <v>2088</v>
      </c>
      <c r="B834" s="16" t="str">
        <f>TRIM("中大江地域集会所（もと中大江老人憩の家）")</f>
        <v>中大江地域集会所（もと中大江老人憩の家）</v>
      </c>
      <c r="C834" s="14" t="s">
        <v>1518</v>
      </c>
      <c r="D834" s="14" t="s">
        <v>176</v>
      </c>
      <c r="E834" s="1"/>
      <c r="F834" s="2"/>
      <c r="G834" s="1">
        <v>100.57</v>
      </c>
      <c r="H834" s="3"/>
      <c r="I834" s="14" t="s">
        <v>2011</v>
      </c>
    </row>
    <row r="835" spans="1:9" ht="18.75" customHeight="1" x14ac:dyDescent="0.4">
      <c r="A835" s="14" t="s">
        <v>3046</v>
      </c>
      <c r="B835" s="16" t="str">
        <f>TRIM("　中大江公園")</f>
        <v>中大江公園</v>
      </c>
      <c r="C835" s="14" t="s">
        <v>1518</v>
      </c>
      <c r="D835" s="14" t="s">
        <v>176</v>
      </c>
      <c r="E835" s="1">
        <v>10590.03</v>
      </c>
      <c r="F835" s="2"/>
      <c r="G835" s="1"/>
      <c r="H835" s="3"/>
      <c r="I835" s="14" t="s">
        <v>2177</v>
      </c>
    </row>
    <row r="836" spans="1:9" ht="18.75" customHeight="1" x14ac:dyDescent="0.4">
      <c r="A836" s="14" t="s">
        <v>4395</v>
      </c>
      <c r="B836" s="16" t="str">
        <f>TRIM("中大江地域集会所")</f>
        <v>中大江地域集会所</v>
      </c>
      <c r="C836" s="14" t="s">
        <v>1518</v>
      </c>
      <c r="D836" s="14" t="s">
        <v>176</v>
      </c>
      <c r="E836" s="1"/>
      <c r="F836" s="2"/>
      <c r="G836" s="1">
        <v>100.57</v>
      </c>
      <c r="H836" s="3"/>
      <c r="I836" s="14" t="s">
        <v>2011</v>
      </c>
    </row>
    <row r="837" spans="1:9" ht="18.75" customHeight="1" x14ac:dyDescent="0.4">
      <c r="A837" s="14" t="s">
        <v>5423</v>
      </c>
      <c r="B837" s="16" t="str">
        <f>TRIM("もと東署長公舎（コミュニティ用地等）")</f>
        <v>もと東署長公舎（コミュニティ用地等）</v>
      </c>
      <c r="C837" s="14" t="s">
        <v>1518</v>
      </c>
      <c r="D837" s="14" t="s">
        <v>176</v>
      </c>
      <c r="E837" s="1">
        <v>366.94</v>
      </c>
      <c r="F837" s="2"/>
      <c r="G837" s="1"/>
      <c r="H837" s="3"/>
      <c r="I837" s="14" t="s">
        <v>5349</v>
      </c>
    </row>
    <row r="838" spans="1:9" ht="18.75" customHeight="1" x14ac:dyDescent="0.4">
      <c r="A838" s="14" t="s">
        <v>4759</v>
      </c>
      <c r="B838" s="16" t="str">
        <f>TRIM("開平小学校")</f>
        <v>開平小学校</v>
      </c>
      <c r="C838" s="14" t="s">
        <v>1518</v>
      </c>
      <c r="D838" s="14" t="s">
        <v>1388</v>
      </c>
      <c r="E838" s="1">
        <v>3686.5</v>
      </c>
      <c r="F838" s="2"/>
      <c r="G838" s="1">
        <v>7935.69</v>
      </c>
      <c r="H838" s="3"/>
      <c r="I838" s="14" t="s">
        <v>4689</v>
      </c>
    </row>
    <row r="839" spans="1:9" ht="18.75" customHeight="1" x14ac:dyDescent="0.4">
      <c r="A839" s="14" t="s">
        <v>5778</v>
      </c>
      <c r="B839" s="16" t="str">
        <f>TRIM("愛珠幼稚園")</f>
        <v>愛珠幼稚園</v>
      </c>
      <c r="C839" s="14" t="s">
        <v>1518</v>
      </c>
      <c r="D839" s="14" t="s">
        <v>493</v>
      </c>
      <c r="E839" s="1">
        <v>1934.99</v>
      </c>
      <c r="F839" s="2"/>
      <c r="G839" s="1">
        <v>1023.6</v>
      </c>
      <c r="H839" s="3"/>
      <c r="I839" s="14" t="s">
        <v>5617</v>
      </c>
    </row>
    <row r="840" spans="1:9" ht="18.75" customHeight="1" x14ac:dyDescent="0.4">
      <c r="A840" s="14" t="s">
        <v>2436</v>
      </c>
      <c r="B840" s="16" t="str">
        <f>TRIM("東野田河堀口線（上町）")</f>
        <v>東野田河堀口線（上町）</v>
      </c>
      <c r="C840" s="14" t="s">
        <v>1518</v>
      </c>
      <c r="D840" s="14" t="s">
        <v>986</v>
      </c>
      <c r="E840" s="1">
        <v>62.46</v>
      </c>
      <c r="F840" s="2"/>
      <c r="G840" s="1"/>
      <c r="H840" s="3"/>
      <c r="I840" s="14" t="s">
        <v>2177</v>
      </c>
    </row>
    <row r="841" spans="1:9" ht="18.75" customHeight="1" x14ac:dyDescent="0.4">
      <c r="A841" s="14" t="s">
        <v>2114</v>
      </c>
      <c r="B841" s="16" t="str">
        <f>TRIM("桃谷地域集会所（もと桃谷会館老人憩の家）")</f>
        <v>桃谷地域集会所（もと桃谷会館老人憩の家）</v>
      </c>
      <c r="C841" s="14" t="s">
        <v>1518</v>
      </c>
      <c r="D841" s="14" t="s">
        <v>393</v>
      </c>
      <c r="E841" s="1">
        <v>600.24</v>
      </c>
      <c r="F841" s="2"/>
      <c r="G841" s="1">
        <v>145.82</v>
      </c>
      <c r="H841" s="3"/>
      <c r="I841" s="14" t="s">
        <v>2011</v>
      </c>
    </row>
    <row r="842" spans="1:9" ht="18.75" customHeight="1" x14ac:dyDescent="0.4">
      <c r="A842" s="14" t="s">
        <v>1900</v>
      </c>
      <c r="B842" s="16" t="str">
        <f>TRIM("中央区在宅サービスセンター")</f>
        <v>中央区在宅サービスセンター</v>
      </c>
      <c r="C842" s="14" t="s">
        <v>1518</v>
      </c>
      <c r="D842" s="14" t="s">
        <v>393</v>
      </c>
      <c r="E842" s="1">
        <v>1143.8</v>
      </c>
      <c r="F842" s="2"/>
      <c r="G842" s="1"/>
      <c r="H842" s="3"/>
      <c r="I842" s="14" t="s">
        <v>1654</v>
      </c>
    </row>
    <row r="843" spans="1:9" ht="18.75" customHeight="1" x14ac:dyDescent="0.4">
      <c r="A843" s="14" t="s">
        <v>3419</v>
      </c>
      <c r="B843" s="16" t="str">
        <f>TRIM("空堀桃谷公園")</f>
        <v>空堀桃谷公園</v>
      </c>
      <c r="C843" s="14" t="s">
        <v>1518</v>
      </c>
      <c r="D843" s="14" t="s">
        <v>393</v>
      </c>
      <c r="E843" s="1">
        <v>3094.15</v>
      </c>
      <c r="F843" s="2"/>
      <c r="G843" s="1"/>
      <c r="H843" s="3"/>
      <c r="I843" s="14" t="s">
        <v>2177</v>
      </c>
    </row>
    <row r="844" spans="1:9" ht="18.75" customHeight="1" x14ac:dyDescent="0.4">
      <c r="A844" s="14" t="s">
        <v>4398</v>
      </c>
      <c r="B844" s="16" t="str">
        <f>TRIM("桃谷地域集会所")</f>
        <v>桃谷地域集会所</v>
      </c>
      <c r="C844" s="14" t="s">
        <v>1518</v>
      </c>
      <c r="D844" s="14" t="s">
        <v>393</v>
      </c>
      <c r="E844" s="1"/>
      <c r="F844" s="2"/>
      <c r="G844" s="1">
        <v>120.91</v>
      </c>
      <c r="H844" s="3"/>
      <c r="I844" s="14" t="s">
        <v>2011</v>
      </c>
    </row>
    <row r="845" spans="1:9" ht="18.75" customHeight="1" x14ac:dyDescent="0.4">
      <c r="A845" s="14" t="s">
        <v>4864</v>
      </c>
      <c r="B845" s="16" t="str">
        <f>TRIM("上町中学校")</f>
        <v>上町中学校</v>
      </c>
      <c r="C845" s="14" t="s">
        <v>1518</v>
      </c>
      <c r="D845" s="14" t="s">
        <v>1402</v>
      </c>
      <c r="E845" s="1">
        <v>11310.52</v>
      </c>
      <c r="F845" s="2"/>
      <c r="G845" s="1">
        <v>6414.6</v>
      </c>
      <c r="H845" s="3"/>
      <c r="I845" s="14" t="s">
        <v>4689</v>
      </c>
    </row>
    <row r="846" spans="1:9" ht="18.75" customHeight="1" x14ac:dyDescent="0.4">
      <c r="A846" s="14" t="s">
        <v>3158</v>
      </c>
      <c r="B846" s="16" t="str">
        <f>TRIM("　東平北公園")</f>
        <v>東平北公園</v>
      </c>
      <c r="C846" s="14" t="s">
        <v>1518</v>
      </c>
      <c r="D846" s="14" t="s">
        <v>1196</v>
      </c>
      <c r="E846" s="1">
        <v>2283.02</v>
      </c>
      <c r="F846" s="2"/>
      <c r="G846" s="1"/>
      <c r="H846" s="3"/>
      <c r="I846" s="14" t="s">
        <v>2177</v>
      </c>
    </row>
    <row r="847" spans="1:9" ht="18.75" customHeight="1" x14ac:dyDescent="0.4">
      <c r="A847" s="14" t="s">
        <v>3157</v>
      </c>
      <c r="B847" s="16" t="str">
        <f>TRIM("　東平南公園")</f>
        <v>東平南公園</v>
      </c>
      <c r="C847" s="14" t="s">
        <v>1518</v>
      </c>
      <c r="D847" s="14" t="s">
        <v>250</v>
      </c>
      <c r="E847" s="1">
        <v>2515.66</v>
      </c>
      <c r="F847" s="2"/>
      <c r="G847" s="1"/>
      <c r="H847" s="3"/>
      <c r="I847" s="14" t="s">
        <v>2177</v>
      </c>
    </row>
    <row r="848" spans="1:9" ht="18.75" customHeight="1" x14ac:dyDescent="0.4">
      <c r="A848" s="14" t="s">
        <v>4396</v>
      </c>
      <c r="B848" s="16" t="str">
        <f>TRIM("東平地域集会所（もと東平会館地域集会所・老人憩の家）")</f>
        <v>東平地域集会所（もと東平会館地域集会所・老人憩の家）</v>
      </c>
      <c r="C848" s="14" t="s">
        <v>1518</v>
      </c>
      <c r="D848" s="14" t="s">
        <v>250</v>
      </c>
      <c r="E848" s="1">
        <v>71.959999999999994</v>
      </c>
      <c r="F848" s="2"/>
      <c r="G848" s="1"/>
      <c r="H848" s="3"/>
      <c r="I848" s="14" t="s">
        <v>2011</v>
      </c>
    </row>
    <row r="849" spans="1:9" ht="18.75" customHeight="1" x14ac:dyDescent="0.4">
      <c r="A849" s="14" t="s">
        <v>4703</v>
      </c>
      <c r="B849" s="16" t="str">
        <f>TRIM("もと東平小学校")</f>
        <v>もと東平小学校</v>
      </c>
      <c r="C849" s="14" t="s">
        <v>1518</v>
      </c>
      <c r="D849" s="14" t="s">
        <v>250</v>
      </c>
      <c r="E849" s="1">
        <v>2695.97</v>
      </c>
      <c r="F849" s="2"/>
      <c r="G849" s="1"/>
      <c r="H849" s="3"/>
      <c r="I849" s="14" t="s">
        <v>4689</v>
      </c>
    </row>
    <row r="850" spans="1:9" ht="18.75" customHeight="1" x14ac:dyDescent="0.4">
      <c r="A850" s="14" t="s">
        <v>5166</v>
      </c>
      <c r="B850" s="16" t="str">
        <f>TRIM("もと東平校園文書逓送事務所")</f>
        <v>もと東平校園文書逓送事務所</v>
      </c>
      <c r="C850" s="14" t="s">
        <v>1518</v>
      </c>
      <c r="D850" s="14" t="s">
        <v>250</v>
      </c>
      <c r="E850" s="1"/>
      <c r="F850" s="2"/>
      <c r="G850" s="1">
        <v>94.64</v>
      </c>
      <c r="H850" s="3" t="s">
        <v>7353</v>
      </c>
      <c r="I850" s="14" t="s">
        <v>4689</v>
      </c>
    </row>
    <row r="851" spans="1:9" ht="18.75" customHeight="1" x14ac:dyDescent="0.4">
      <c r="A851" s="14" t="s">
        <v>5528</v>
      </c>
      <c r="B851" s="16" t="str">
        <f>TRIM("南署東平交番")</f>
        <v>南署東平交番</v>
      </c>
      <c r="C851" s="14" t="s">
        <v>1518</v>
      </c>
      <c r="D851" s="14" t="s">
        <v>250</v>
      </c>
      <c r="E851" s="1">
        <v>45.6</v>
      </c>
      <c r="F851" s="2"/>
      <c r="G851" s="1"/>
      <c r="H851" s="3"/>
      <c r="I851" s="14" t="s">
        <v>5349</v>
      </c>
    </row>
    <row r="852" spans="1:9" ht="18.75" customHeight="1" x14ac:dyDescent="0.4">
      <c r="A852" s="14" t="s">
        <v>6773</v>
      </c>
      <c r="B852" s="16" t="str">
        <f>TRIM("上町住宅")</f>
        <v>上町住宅</v>
      </c>
      <c r="C852" s="14" t="s">
        <v>1518</v>
      </c>
      <c r="D852" s="14" t="s">
        <v>870</v>
      </c>
      <c r="E852" s="1">
        <v>9681.75</v>
      </c>
      <c r="F852" s="2"/>
      <c r="G852" s="1">
        <v>14093.36</v>
      </c>
      <c r="H852" s="3"/>
      <c r="I852" s="14" t="s">
        <v>6177</v>
      </c>
    </row>
    <row r="853" spans="1:9" ht="18.75" customHeight="1" x14ac:dyDescent="0.4">
      <c r="A853" s="14" t="s">
        <v>2692</v>
      </c>
      <c r="B853" s="16" t="str">
        <f>TRIM("　広小路公園")</f>
        <v>広小路公園</v>
      </c>
      <c r="C853" s="14" t="s">
        <v>1518</v>
      </c>
      <c r="D853" s="14" t="s">
        <v>1037</v>
      </c>
      <c r="E853" s="1">
        <v>4304.3599999999997</v>
      </c>
      <c r="F853" s="2"/>
      <c r="G853" s="1"/>
      <c r="H853" s="3"/>
      <c r="I853" s="14" t="s">
        <v>2177</v>
      </c>
    </row>
    <row r="854" spans="1:9" ht="18.75" customHeight="1" x14ac:dyDescent="0.4">
      <c r="A854" s="14" t="s">
        <v>2768</v>
      </c>
      <c r="B854" s="16" t="str">
        <f>TRIM("　寺山公園")</f>
        <v>寺山公園</v>
      </c>
      <c r="C854" s="14" t="s">
        <v>1518</v>
      </c>
      <c r="D854" s="14" t="s">
        <v>1037</v>
      </c>
      <c r="E854" s="1">
        <v>2019.4</v>
      </c>
      <c r="F854" s="2"/>
      <c r="G854" s="1"/>
      <c r="H854" s="3"/>
      <c r="I854" s="14" t="s">
        <v>2177</v>
      </c>
    </row>
    <row r="855" spans="1:9" ht="18.75" customHeight="1" x14ac:dyDescent="0.4">
      <c r="A855" s="14" t="s">
        <v>5813</v>
      </c>
      <c r="B855" s="16" t="str">
        <f>TRIM("銅座幼稚園")</f>
        <v>銅座幼稚園</v>
      </c>
      <c r="C855" s="14" t="s">
        <v>1518</v>
      </c>
      <c r="D855" s="14" t="s">
        <v>517</v>
      </c>
      <c r="E855" s="1">
        <v>1405.42</v>
      </c>
      <c r="F855" s="2"/>
      <c r="G855" s="1">
        <v>703.56</v>
      </c>
      <c r="H855" s="3"/>
      <c r="I855" s="14" t="s">
        <v>5617</v>
      </c>
    </row>
    <row r="856" spans="1:9" ht="18.75" customHeight="1" x14ac:dyDescent="0.4">
      <c r="A856" s="14" t="s">
        <v>3170</v>
      </c>
      <c r="B856" s="16" t="str">
        <f>TRIM("　銅座公園")</f>
        <v>銅座公園</v>
      </c>
      <c r="C856" s="14" t="s">
        <v>1518</v>
      </c>
      <c r="D856" s="14" t="s">
        <v>517</v>
      </c>
      <c r="E856" s="1">
        <v>5117.76</v>
      </c>
      <c r="F856" s="2"/>
      <c r="G856" s="1"/>
      <c r="H856" s="3"/>
      <c r="I856" s="14" t="s">
        <v>2177</v>
      </c>
    </row>
    <row r="857" spans="1:9" ht="18.75" customHeight="1" x14ac:dyDescent="0.4">
      <c r="A857" s="14" t="s">
        <v>2350</v>
      </c>
      <c r="B857" s="16" t="str">
        <f>TRIM("もと軌道敷(靭本町線)")</f>
        <v>もと軌道敷(靭本町線)</v>
      </c>
      <c r="C857" s="14" t="s">
        <v>1518</v>
      </c>
      <c r="D857" s="14" t="s">
        <v>973</v>
      </c>
      <c r="E857" s="1">
        <v>43898.58</v>
      </c>
      <c r="F857" s="2"/>
      <c r="G857" s="1"/>
      <c r="H857" s="3"/>
      <c r="I857" s="14" t="s">
        <v>2177</v>
      </c>
    </row>
    <row r="858" spans="1:9" ht="18.75" customHeight="1" x14ac:dyDescent="0.4">
      <c r="A858" s="14" t="s">
        <v>5269</v>
      </c>
      <c r="B858" s="16" t="str">
        <f>TRIM("中央消防署")</f>
        <v>中央消防署</v>
      </c>
      <c r="C858" s="14" t="s">
        <v>1518</v>
      </c>
      <c r="D858" s="14" t="s">
        <v>1365</v>
      </c>
      <c r="E858" s="1">
        <v>619.55999999999995</v>
      </c>
      <c r="F858" s="2"/>
      <c r="G858" s="1">
        <v>1890.3</v>
      </c>
      <c r="H858" s="3"/>
      <c r="I858" s="14" t="s">
        <v>5219</v>
      </c>
    </row>
    <row r="859" spans="1:9" ht="18.75" customHeight="1" x14ac:dyDescent="0.4">
      <c r="A859" s="14" t="s">
        <v>2990</v>
      </c>
      <c r="B859" s="16" t="str">
        <f>TRIM("　大阪城公園")</f>
        <v>大阪城公園</v>
      </c>
      <c r="C859" s="14" t="s">
        <v>1518</v>
      </c>
      <c r="D859" s="14" t="s">
        <v>1131</v>
      </c>
      <c r="E859" s="1">
        <v>157191.1</v>
      </c>
      <c r="F859" s="2"/>
      <c r="G859" s="1"/>
      <c r="H859" s="3"/>
      <c r="I859" s="14" t="s">
        <v>2177</v>
      </c>
    </row>
    <row r="860" spans="1:9" ht="18.75" customHeight="1" x14ac:dyDescent="0.4">
      <c r="A860" s="14" t="s">
        <v>3608</v>
      </c>
      <c r="B860" s="16" t="str">
        <f>TRIM("　大阪城公園")</f>
        <v>大阪城公園</v>
      </c>
      <c r="C860" s="14" t="s">
        <v>1518</v>
      </c>
      <c r="D860" s="14" t="s">
        <v>1131</v>
      </c>
      <c r="E860" s="1"/>
      <c r="F860" s="2"/>
      <c r="G860" s="1">
        <v>27111.42</v>
      </c>
      <c r="H860" s="3"/>
      <c r="I860" s="14" t="s">
        <v>2177</v>
      </c>
    </row>
    <row r="861" spans="1:9" ht="18.75" customHeight="1" x14ac:dyDescent="0.4">
      <c r="A861" s="14" t="s">
        <v>3712</v>
      </c>
      <c r="B861" s="16" t="str">
        <f>TRIM("もと大阪城公園")</f>
        <v>もと大阪城公園</v>
      </c>
      <c r="C861" s="14" t="s">
        <v>1518</v>
      </c>
      <c r="D861" s="14" t="s">
        <v>1131</v>
      </c>
      <c r="E861" s="1"/>
      <c r="F861" s="2"/>
      <c r="G861" s="1">
        <v>564.02</v>
      </c>
      <c r="H861" s="3"/>
      <c r="I861" s="14" t="s">
        <v>2177</v>
      </c>
    </row>
    <row r="862" spans="1:9" ht="18.75" customHeight="1" x14ac:dyDescent="0.4">
      <c r="A862" s="14" t="s">
        <v>3855</v>
      </c>
      <c r="B862" s="16" t="str">
        <f>TRIM("森ノ宮駅自転車駐車場管理事務所")</f>
        <v>森ノ宮駅自転車駐車場管理事務所</v>
      </c>
      <c r="C862" s="14" t="s">
        <v>1518</v>
      </c>
      <c r="D862" s="14" t="s">
        <v>1131</v>
      </c>
      <c r="E862" s="1"/>
      <c r="F862" s="2"/>
      <c r="G862" s="1">
        <v>12.56</v>
      </c>
      <c r="H862" s="3"/>
      <c r="I862" s="14" t="s">
        <v>2177</v>
      </c>
    </row>
    <row r="863" spans="1:9" ht="18.75" customHeight="1" x14ac:dyDescent="0.4">
      <c r="A863" s="14" t="s">
        <v>4023</v>
      </c>
      <c r="B863" s="16" t="str">
        <f>TRIM("下水道用地（中央）")</f>
        <v>下水道用地（中央）</v>
      </c>
      <c r="C863" s="14" t="s">
        <v>1518</v>
      </c>
      <c r="D863" s="14" t="s">
        <v>1131</v>
      </c>
      <c r="E863" s="1">
        <v>44922.03</v>
      </c>
      <c r="F863" s="2"/>
      <c r="G863" s="1"/>
      <c r="H863" s="3"/>
      <c r="I863" s="14" t="s">
        <v>2177</v>
      </c>
    </row>
    <row r="864" spans="1:9" ht="18.75" customHeight="1" x14ac:dyDescent="0.4">
      <c r="A864" s="14" t="s">
        <v>5181</v>
      </c>
      <c r="B864" s="16" t="str">
        <f>TRIM("大阪国際平和センター")</f>
        <v>大阪国際平和センター</v>
      </c>
      <c r="C864" s="14" t="s">
        <v>1518</v>
      </c>
      <c r="D864" s="14" t="s">
        <v>1131</v>
      </c>
      <c r="E864" s="1">
        <v>1256.95</v>
      </c>
      <c r="F864" s="2"/>
      <c r="G864" s="1"/>
      <c r="H864" s="3"/>
      <c r="I864" s="14" t="s">
        <v>4689</v>
      </c>
    </row>
    <row r="865" spans="1:9" ht="18.75" customHeight="1" x14ac:dyDescent="0.4">
      <c r="A865" s="14" t="s">
        <v>5182</v>
      </c>
      <c r="B865" s="16" t="str">
        <f>TRIM("大阪城音楽堂事務所")</f>
        <v>大阪城音楽堂事務所</v>
      </c>
      <c r="C865" s="14" t="s">
        <v>1518</v>
      </c>
      <c r="D865" s="14" t="s">
        <v>1131</v>
      </c>
      <c r="E865" s="1"/>
      <c r="F865" s="2"/>
      <c r="G865" s="1">
        <v>1257.77</v>
      </c>
      <c r="H865" s="3"/>
      <c r="I865" s="14" t="s">
        <v>4689</v>
      </c>
    </row>
    <row r="866" spans="1:9" ht="18.75" customHeight="1" x14ac:dyDescent="0.4">
      <c r="A866" s="14" t="s">
        <v>5183</v>
      </c>
      <c r="B866" s="16" t="str">
        <f>TRIM("大阪城音楽堂")</f>
        <v>大阪城音楽堂</v>
      </c>
      <c r="C866" s="14" t="s">
        <v>1518</v>
      </c>
      <c r="D866" s="14" t="s">
        <v>1131</v>
      </c>
      <c r="E866" s="1"/>
      <c r="F866" s="2"/>
      <c r="G866" s="1">
        <v>952.66</v>
      </c>
      <c r="H866" s="3"/>
      <c r="I866" s="14" t="s">
        <v>4689</v>
      </c>
    </row>
    <row r="867" spans="1:9" ht="18.75" customHeight="1" x14ac:dyDescent="0.4">
      <c r="A867" s="14" t="s">
        <v>7014</v>
      </c>
      <c r="B867" s="16" t="str">
        <f>TRIM("大阪城天守閣")</f>
        <v>大阪城天守閣</v>
      </c>
      <c r="C867" s="14" t="s">
        <v>1518</v>
      </c>
      <c r="D867" s="14" t="s">
        <v>1131</v>
      </c>
      <c r="E867" s="1"/>
      <c r="F867" s="2"/>
      <c r="G867" s="1">
        <v>5944.2</v>
      </c>
      <c r="H867" s="3"/>
      <c r="I867" s="14" t="s">
        <v>4115</v>
      </c>
    </row>
    <row r="868" spans="1:9" ht="18.75" customHeight="1" x14ac:dyDescent="0.4">
      <c r="A868" s="14" t="s">
        <v>7100</v>
      </c>
      <c r="B868" s="16" t="str">
        <f>TRIM("修道館")</f>
        <v>修道館</v>
      </c>
      <c r="C868" s="14" t="s">
        <v>1518</v>
      </c>
      <c r="D868" s="14" t="s">
        <v>1131</v>
      </c>
      <c r="E868" s="1"/>
      <c r="F868" s="2"/>
      <c r="G868" s="1">
        <v>1752.04</v>
      </c>
      <c r="H868" s="3"/>
      <c r="I868" s="14" t="s">
        <v>4115</v>
      </c>
    </row>
    <row r="869" spans="1:9" ht="18.75" customHeight="1" x14ac:dyDescent="0.4">
      <c r="A869" s="14" t="s">
        <v>7141</v>
      </c>
      <c r="B869" s="16" t="str">
        <f>TRIM("弓道場")</f>
        <v>弓道場</v>
      </c>
      <c r="C869" s="14" t="s">
        <v>1518</v>
      </c>
      <c r="D869" s="14" t="s">
        <v>1131</v>
      </c>
      <c r="E869" s="1"/>
      <c r="F869" s="2"/>
      <c r="G869" s="1">
        <v>908</v>
      </c>
      <c r="H869" s="3"/>
      <c r="I869" s="14" t="s">
        <v>4115</v>
      </c>
    </row>
    <row r="870" spans="1:9" ht="18.75" customHeight="1" x14ac:dyDescent="0.4">
      <c r="A870" s="14" t="s">
        <v>2455</v>
      </c>
      <c r="B870" s="16" t="str">
        <f>TRIM("東野田河堀口線（大手前）")</f>
        <v>東野田河堀口線（大手前）</v>
      </c>
      <c r="C870" s="14" t="s">
        <v>1518</v>
      </c>
      <c r="D870" s="14" t="s">
        <v>989</v>
      </c>
      <c r="E870" s="1">
        <v>149.78</v>
      </c>
      <c r="F870" s="2"/>
      <c r="G870" s="1"/>
      <c r="H870" s="3"/>
      <c r="I870" s="14" t="s">
        <v>2177</v>
      </c>
    </row>
    <row r="871" spans="1:9" ht="18.75" customHeight="1" x14ac:dyDescent="0.4">
      <c r="A871" s="14" t="s">
        <v>2483</v>
      </c>
      <c r="B871" s="16" t="str">
        <f>TRIM("共同物揚場（中央）")</f>
        <v>共同物揚場（中央）</v>
      </c>
      <c r="C871" s="14" t="s">
        <v>1518</v>
      </c>
      <c r="D871" s="14" t="s">
        <v>989</v>
      </c>
      <c r="E871" s="1">
        <v>63.39</v>
      </c>
      <c r="F871" s="2"/>
      <c r="G871" s="1"/>
      <c r="H871" s="3"/>
      <c r="I871" s="14" t="s">
        <v>2177</v>
      </c>
    </row>
    <row r="872" spans="1:9" ht="18.75" customHeight="1" x14ac:dyDescent="0.4">
      <c r="A872" s="14" t="s">
        <v>5562</v>
      </c>
      <c r="B872" s="16" t="str">
        <f>TRIM("府警本部庁舎")</f>
        <v>府警本部庁舎</v>
      </c>
      <c r="C872" s="14" t="s">
        <v>1518</v>
      </c>
      <c r="D872" s="14" t="s">
        <v>279</v>
      </c>
      <c r="E872" s="1">
        <v>10167.23</v>
      </c>
      <c r="F872" s="2"/>
      <c r="G872" s="1"/>
      <c r="H872" s="3"/>
      <c r="I872" s="14" t="s">
        <v>5349</v>
      </c>
    </row>
    <row r="873" spans="1:9" ht="18.75" customHeight="1" x14ac:dyDescent="0.4">
      <c r="A873" s="14" t="s">
        <v>5024</v>
      </c>
      <c r="B873" s="16" t="str">
        <f>TRIM("東中学校")</f>
        <v>東中学校</v>
      </c>
      <c r="C873" s="14" t="s">
        <v>1518</v>
      </c>
      <c r="D873" s="14" t="s">
        <v>17</v>
      </c>
      <c r="E873" s="1">
        <v>11238.55</v>
      </c>
      <c r="F873" s="2"/>
      <c r="G873" s="1">
        <v>9873.36</v>
      </c>
      <c r="H873" s="3"/>
      <c r="I873" s="14" t="s">
        <v>4689</v>
      </c>
    </row>
    <row r="874" spans="1:9" ht="18.75" customHeight="1" x14ac:dyDescent="0.4">
      <c r="A874" s="14" t="s">
        <v>3490</v>
      </c>
      <c r="B874" s="16" t="str">
        <f>TRIM("難波宮跡公園　")</f>
        <v>難波宮跡公園</v>
      </c>
      <c r="C874" s="14" t="s">
        <v>1518</v>
      </c>
      <c r="D874" s="14" t="s">
        <v>17</v>
      </c>
      <c r="E874" s="1">
        <v>11017.13</v>
      </c>
      <c r="F874" s="2"/>
      <c r="G874" s="1"/>
      <c r="H874" s="3"/>
      <c r="I874" s="14" t="s">
        <v>2177</v>
      </c>
    </row>
    <row r="875" spans="1:9" ht="18.75" customHeight="1" x14ac:dyDescent="0.4">
      <c r="A875" s="14" t="s">
        <v>3973</v>
      </c>
      <c r="B875" s="16" t="str">
        <f>TRIM("谷町4丁目自転車駐車場管理事務所")</f>
        <v>谷町4丁目自転車駐車場管理事務所</v>
      </c>
      <c r="C875" s="14" t="s">
        <v>1518</v>
      </c>
      <c r="D875" s="14" t="s">
        <v>17</v>
      </c>
      <c r="E875" s="1"/>
      <c r="F875" s="2"/>
      <c r="G875" s="1">
        <v>6.48</v>
      </c>
      <c r="H875" s="3"/>
      <c r="I875" s="14" t="s">
        <v>2177</v>
      </c>
    </row>
    <row r="876" spans="1:9" ht="18.75" customHeight="1" x14ac:dyDescent="0.4">
      <c r="A876" s="14" t="s">
        <v>7024</v>
      </c>
      <c r="B876" s="16" t="str">
        <f>TRIM("もと大阪歴史博物館")</f>
        <v>もと大阪歴史博物館</v>
      </c>
      <c r="C876" s="14" t="s">
        <v>1518</v>
      </c>
      <c r="D876" s="14" t="s">
        <v>17</v>
      </c>
      <c r="E876" s="1">
        <v>4320.03</v>
      </c>
      <c r="F876" s="2"/>
      <c r="G876" s="1"/>
      <c r="H876" s="3"/>
      <c r="I876" s="14" t="s">
        <v>4115</v>
      </c>
    </row>
    <row r="877" spans="1:9" ht="18.75" customHeight="1" x14ac:dyDescent="0.4">
      <c r="A877" s="14" t="s">
        <v>5371</v>
      </c>
      <c r="B877" s="16" t="str">
        <f>TRIM("もと河川敷及び曳船道（中央）")</f>
        <v>もと河川敷及び曳船道（中央）</v>
      </c>
      <c r="C877" s="14" t="s">
        <v>1518</v>
      </c>
      <c r="D877" s="14" t="s">
        <v>134</v>
      </c>
      <c r="E877" s="1">
        <v>1.39</v>
      </c>
      <c r="F877" s="2"/>
      <c r="G877" s="1"/>
      <c r="H877" s="3"/>
      <c r="I877" s="14" t="s">
        <v>5349</v>
      </c>
    </row>
    <row r="878" spans="1:9" ht="18.75" customHeight="1" x14ac:dyDescent="0.4">
      <c r="A878" s="14" t="s">
        <v>4962</v>
      </c>
      <c r="B878" s="16" t="str">
        <f>TRIM("中央小学校")</f>
        <v>中央小学校</v>
      </c>
      <c r="C878" s="14" t="s">
        <v>1518</v>
      </c>
      <c r="D878" s="14" t="s">
        <v>681</v>
      </c>
      <c r="E878" s="1">
        <v>6943.83</v>
      </c>
      <c r="F878" s="2"/>
      <c r="G878" s="1">
        <v>8973.27</v>
      </c>
      <c r="H878" s="3"/>
      <c r="I878" s="14" t="s">
        <v>4689</v>
      </c>
    </row>
    <row r="879" spans="1:9" ht="18.75" customHeight="1" x14ac:dyDescent="0.4">
      <c r="A879" s="14" t="s">
        <v>2633</v>
      </c>
      <c r="B879" s="16" t="str">
        <f>TRIM("　瓦屋町公園")</f>
        <v>瓦屋町公園</v>
      </c>
      <c r="C879" s="14" t="s">
        <v>1518</v>
      </c>
      <c r="D879" s="14" t="s">
        <v>681</v>
      </c>
      <c r="E879" s="1">
        <v>4895.6000000000004</v>
      </c>
      <c r="F879" s="2"/>
      <c r="G879" s="1"/>
      <c r="H879" s="3"/>
      <c r="I879" s="14" t="s">
        <v>2177</v>
      </c>
    </row>
    <row r="880" spans="1:9" ht="18.75" customHeight="1" x14ac:dyDescent="0.4">
      <c r="A880" s="14" t="s">
        <v>3544</v>
      </c>
      <c r="B880" s="16" t="str">
        <f>TRIM("　瓦屋町公園")</f>
        <v>瓦屋町公園</v>
      </c>
      <c r="C880" s="14" t="s">
        <v>1518</v>
      </c>
      <c r="D880" s="14" t="s">
        <v>681</v>
      </c>
      <c r="E880" s="1"/>
      <c r="F880" s="2"/>
      <c r="G880" s="1">
        <v>11.48</v>
      </c>
      <c r="H880" s="3"/>
      <c r="I880" s="14" t="s">
        <v>2177</v>
      </c>
    </row>
    <row r="881" spans="1:9" ht="18.75" customHeight="1" x14ac:dyDescent="0.4">
      <c r="A881" s="14" t="s">
        <v>6066</v>
      </c>
      <c r="B881" s="16" t="str">
        <f>TRIM("中央事務所詰所駐車場")</f>
        <v>中央事務所詰所駐車場</v>
      </c>
      <c r="C881" s="14" t="s">
        <v>1518</v>
      </c>
      <c r="D881" s="14" t="s">
        <v>681</v>
      </c>
      <c r="E881" s="1">
        <v>153.09</v>
      </c>
      <c r="F881" s="2"/>
      <c r="G881" s="1"/>
      <c r="H881" s="3"/>
      <c r="I881" s="14" t="s">
        <v>5977</v>
      </c>
    </row>
    <row r="882" spans="1:9" ht="18.75" customHeight="1" x14ac:dyDescent="0.4">
      <c r="A882" s="14" t="s">
        <v>4401</v>
      </c>
      <c r="B882" s="16" t="str">
        <f>TRIM("船場浪華会館")</f>
        <v>船場浪華会館</v>
      </c>
      <c r="C882" s="14" t="s">
        <v>1518</v>
      </c>
      <c r="D882" s="14" t="s">
        <v>1547</v>
      </c>
      <c r="E882" s="1">
        <v>349.43</v>
      </c>
      <c r="F882" s="2"/>
      <c r="G882" s="1"/>
      <c r="H882" s="3"/>
      <c r="I882" s="14" t="s">
        <v>2011</v>
      </c>
    </row>
    <row r="883" spans="1:9" ht="18.75" customHeight="1" x14ac:dyDescent="0.4">
      <c r="A883" s="14" t="s">
        <v>2648</v>
      </c>
      <c r="B883" s="16" t="str">
        <f>TRIM("　久宝公園")</f>
        <v>久宝公園</v>
      </c>
      <c r="C883" s="14" t="s">
        <v>1518</v>
      </c>
      <c r="D883" s="14" t="s">
        <v>1026</v>
      </c>
      <c r="E883" s="1">
        <v>1239.73</v>
      </c>
      <c r="F883" s="2"/>
      <c r="G883" s="1"/>
      <c r="H883" s="3"/>
      <c r="I883" s="14" t="s">
        <v>2177</v>
      </c>
    </row>
    <row r="884" spans="1:9" ht="18.75" customHeight="1" x14ac:dyDescent="0.4">
      <c r="A884" s="14" t="s">
        <v>5400</v>
      </c>
      <c r="B884" s="16" t="str">
        <f>TRIM("もと塵芥置場")</f>
        <v>もと塵芥置場</v>
      </c>
      <c r="C884" s="14" t="s">
        <v>1518</v>
      </c>
      <c r="D884" s="14" t="s">
        <v>159</v>
      </c>
      <c r="E884" s="1">
        <v>81.88</v>
      </c>
      <c r="F884" s="2"/>
      <c r="G884" s="1"/>
      <c r="H884" s="3"/>
      <c r="I884" s="14" t="s">
        <v>5349</v>
      </c>
    </row>
    <row r="885" spans="1:9" ht="18.75" customHeight="1" x14ac:dyDescent="0.4">
      <c r="A885" s="14" t="s">
        <v>2352</v>
      </c>
      <c r="B885" s="16" t="str">
        <f>TRIM("もと軌道敷(北浜線)")</f>
        <v>もと軌道敷(北浜線)</v>
      </c>
      <c r="C885" s="14" t="s">
        <v>1518</v>
      </c>
      <c r="D885" s="14" t="s">
        <v>974</v>
      </c>
      <c r="E885" s="1">
        <v>2978.37</v>
      </c>
      <c r="F885" s="2"/>
      <c r="G885" s="1"/>
      <c r="H885" s="3"/>
      <c r="I885" s="14" t="s">
        <v>2177</v>
      </c>
    </row>
    <row r="886" spans="1:9" ht="18.75" customHeight="1" x14ac:dyDescent="0.4">
      <c r="A886" s="14" t="s">
        <v>2376</v>
      </c>
      <c r="B886" s="16" t="str">
        <f>TRIM("廃道（中央）")</f>
        <v>廃道（中央）</v>
      </c>
      <c r="C886" s="14" t="s">
        <v>1518</v>
      </c>
      <c r="D886" s="14" t="s">
        <v>16</v>
      </c>
      <c r="E886" s="1">
        <v>137.02000000000001</v>
      </c>
      <c r="F886" s="2"/>
      <c r="G886" s="1"/>
      <c r="H886" s="3"/>
      <c r="I886" s="14" t="s">
        <v>2177</v>
      </c>
    </row>
    <row r="887" spans="1:9" ht="18.75" customHeight="1" x14ac:dyDescent="0.4">
      <c r="A887" s="14" t="s">
        <v>7023</v>
      </c>
      <c r="B887" s="16" t="str">
        <f>TRIM("児童公園（中央区北浜）")</f>
        <v>児童公園（中央区北浜）</v>
      </c>
      <c r="C887" s="14" t="s">
        <v>1518</v>
      </c>
      <c r="D887" s="14" t="s">
        <v>16</v>
      </c>
      <c r="E887" s="1">
        <v>309.39</v>
      </c>
      <c r="F887" s="2"/>
      <c r="G887" s="1"/>
      <c r="H887" s="3"/>
      <c r="I887" s="14" t="s">
        <v>4115</v>
      </c>
    </row>
    <row r="888" spans="1:9" ht="18.75" customHeight="1" x14ac:dyDescent="0.4">
      <c r="A888" s="14" t="s">
        <v>2488</v>
      </c>
      <c r="B888" s="16" t="str">
        <f>TRIM("西横堀川埋立地（中央）")</f>
        <v>西横堀川埋立地（中央）</v>
      </c>
      <c r="C888" s="14" t="s">
        <v>1518</v>
      </c>
      <c r="D888" s="14" t="s">
        <v>262</v>
      </c>
      <c r="E888" s="1">
        <v>608.26</v>
      </c>
      <c r="F888" s="2"/>
      <c r="G888" s="1"/>
      <c r="H888" s="3"/>
      <c r="I888" s="14" t="s">
        <v>2177</v>
      </c>
    </row>
    <row r="889" spans="1:9" ht="18.75" customHeight="1" x14ac:dyDescent="0.4">
      <c r="A889" s="14" t="s">
        <v>5543</v>
      </c>
      <c r="B889" s="16" t="str">
        <f>TRIM("廃道（中央）")</f>
        <v>廃道（中央）</v>
      </c>
      <c r="C889" s="14" t="s">
        <v>1518</v>
      </c>
      <c r="D889" s="14" t="s">
        <v>262</v>
      </c>
      <c r="E889" s="1">
        <v>23</v>
      </c>
      <c r="F889" s="2"/>
      <c r="G889" s="1"/>
      <c r="H889" s="3"/>
      <c r="I889" s="14" t="s">
        <v>5349</v>
      </c>
    </row>
    <row r="890" spans="1:9" ht="18.75" customHeight="1" x14ac:dyDescent="0.4">
      <c r="A890" s="14" t="s">
        <v>2237</v>
      </c>
      <c r="B890" s="16" t="str">
        <f>TRIM("石切大阪線（中央）（管財課）")</f>
        <v>石切大阪線（中央）（管財課）</v>
      </c>
      <c r="C890" s="14" t="s">
        <v>1518</v>
      </c>
      <c r="D890" s="14" t="s">
        <v>921</v>
      </c>
      <c r="E890" s="1">
        <v>828.3</v>
      </c>
      <c r="F890" s="2"/>
      <c r="G890" s="1"/>
      <c r="H890" s="3"/>
      <c r="I890" s="14" t="s">
        <v>2177</v>
      </c>
    </row>
    <row r="891" spans="1:9" ht="18.75" customHeight="1" x14ac:dyDescent="0.4">
      <c r="A891" s="14" t="s">
        <v>3108</v>
      </c>
      <c r="B891" s="16" t="str">
        <f>TRIM("　天満橋緑道")</f>
        <v>天満橋緑道</v>
      </c>
      <c r="C891" s="14" t="s">
        <v>1518</v>
      </c>
      <c r="D891" s="14" t="s">
        <v>921</v>
      </c>
      <c r="E891" s="1">
        <v>71.150000000000006</v>
      </c>
      <c r="F891" s="2"/>
      <c r="G891" s="1"/>
      <c r="H891" s="3"/>
      <c r="I891" s="14" t="s">
        <v>2177</v>
      </c>
    </row>
    <row r="892" spans="1:9" ht="18.75" customHeight="1" x14ac:dyDescent="0.4">
      <c r="A892" s="14" t="s">
        <v>3391</v>
      </c>
      <c r="B892" s="16" t="str">
        <f>TRIM("　將棋島街園")</f>
        <v>將棋島街園</v>
      </c>
      <c r="C892" s="14" t="s">
        <v>1518</v>
      </c>
      <c r="D892" s="14" t="s">
        <v>921</v>
      </c>
      <c r="E892" s="1">
        <v>262.37</v>
      </c>
      <c r="F892" s="2"/>
      <c r="G892" s="1"/>
      <c r="H892" s="3"/>
      <c r="I892" s="14" t="s">
        <v>2177</v>
      </c>
    </row>
    <row r="893" spans="1:9" ht="18.75" customHeight="1" x14ac:dyDescent="0.4">
      <c r="A893" s="14" t="s">
        <v>4389</v>
      </c>
      <c r="B893" s="16" t="str">
        <f>TRIM("中央区役所")</f>
        <v>中央区役所</v>
      </c>
      <c r="C893" s="14" t="s">
        <v>1518</v>
      </c>
      <c r="D893" s="14" t="s">
        <v>1379</v>
      </c>
      <c r="E893" s="1">
        <v>4768.4799999999996</v>
      </c>
      <c r="F893" s="2"/>
      <c r="G893" s="1">
        <v>8263.19</v>
      </c>
      <c r="H893" s="3"/>
      <c r="I893" s="14" t="s">
        <v>2011</v>
      </c>
    </row>
    <row r="894" spans="1:9" ht="18.75" customHeight="1" x14ac:dyDescent="0.4">
      <c r="A894" s="14" t="s">
        <v>4390</v>
      </c>
      <c r="B894" s="16" t="str">
        <f>TRIM("中央区保健福祉センター")</f>
        <v>中央区保健福祉センター</v>
      </c>
      <c r="C894" s="14" t="s">
        <v>1518</v>
      </c>
      <c r="D894" s="14" t="s">
        <v>1379</v>
      </c>
      <c r="E894" s="1"/>
      <c r="F894" s="2"/>
      <c r="G894" s="1">
        <v>1989.06</v>
      </c>
      <c r="H894" s="3"/>
      <c r="I894" s="14" t="s">
        <v>2011</v>
      </c>
    </row>
    <row r="895" spans="1:9" ht="18.75" customHeight="1" x14ac:dyDescent="0.4">
      <c r="A895" s="14" t="s">
        <v>4394</v>
      </c>
      <c r="B895" s="16" t="str">
        <f>TRIM("中央区民センター")</f>
        <v>中央区民センター</v>
      </c>
      <c r="C895" s="14" t="s">
        <v>1518</v>
      </c>
      <c r="D895" s="14" t="s">
        <v>1379</v>
      </c>
      <c r="E895" s="1"/>
      <c r="F895" s="2"/>
      <c r="G895" s="1">
        <v>2471.04</v>
      </c>
      <c r="H895" s="3"/>
      <c r="I895" s="14" t="s">
        <v>2011</v>
      </c>
    </row>
    <row r="896" spans="1:9" ht="18.75" customHeight="1" x14ac:dyDescent="0.4">
      <c r="A896" s="14" t="s">
        <v>2512</v>
      </c>
      <c r="B896" s="16" t="str">
        <f>TRIM("東横堀川水門詰所")</f>
        <v>東横堀川水門詰所</v>
      </c>
      <c r="C896" s="14" t="s">
        <v>1518</v>
      </c>
      <c r="D896" s="14" t="s">
        <v>1041</v>
      </c>
      <c r="E896" s="1"/>
      <c r="F896" s="2"/>
      <c r="G896" s="1">
        <v>59.01</v>
      </c>
      <c r="H896" s="3"/>
      <c r="I896" s="14" t="s">
        <v>2177</v>
      </c>
    </row>
    <row r="897" spans="1:9" ht="18.75" customHeight="1" x14ac:dyDescent="0.4">
      <c r="A897" s="14" t="s">
        <v>2712</v>
      </c>
      <c r="B897" s="16" t="str">
        <f>TRIM("　高津公園")</f>
        <v>高津公園</v>
      </c>
      <c r="C897" s="14" t="s">
        <v>1518</v>
      </c>
      <c r="D897" s="14" t="s">
        <v>1041</v>
      </c>
      <c r="E897" s="1">
        <v>10038.969999999999</v>
      </c>
      <c r="F897" s="2"/>
      <c r="G897" s="1"/>
      <c r="H897" s="3"/>
      <c r="I897" s="14" t="s">
        <v>2177</v>
      </c>
    </row>
    <row r="898" spans="1:9" ht="18.75" customHeight="1" x14ac:dyDescent="0.4">
      <c r="A898" s="14" t="s">
        <v>5427</v>
      </c>
      <c r="B898" s="16" t="str">
        <f>TRIM("もと南区内小学校替地（コミュニティ用地等）")</f>
        <v>もと南区内小学校替地（コミュニティ用地等）</v>
      </c>
      <c r="C898" s="14" t="s">
        <v>1518</v>
      </c>
      <c r="D898" s="14" t="s">
        <v>181</v>
      </c>
      <c r="E898" s="1">
        <v>218.82</v>
      </c>
      <c r="F898" s="2">
        <v>86</v>
      </c>
      <c r="G898" s="1"/>
      <c r="H898" s="3"/>
      <c r="I898" s="14" t="s">
        <v>5349</v>
      </c>
    </row>
    <row r="899" spans="1:9" ht="18.75" customHeight="1" x14ac:dyDescent="0.4">
      <c r="A899" s="14" t="s">
        <v>4808</v>
      </c>
      <c r="B899" s="16" t="str">
        <f>TRIM("高津小学校")</f>
        <v>高津小学校</v>
      </c>
      <c r="C899" s="14" t="s">
        <v>1518</v>
      </c>
      <c r="D899" s="14" t="s">
        <v>181</v>
      </c>
      <c r="E899" s="1">
        <v>4613.92</v>
      </c>
      <c r="F899" s="2"/>
      <c r="G899" s="1">
        <v>6289.99</v>
      </c>
      <c r="H899" s="3"/>
      <c r="I899" s="14" t="s">
        <v>4689</v>
      </c>
    </row>
    <row r="900" spans="1:9" ht="18.75" customHeight="1" x14ac:dyDescent="0.4">
      <c r="A900" s="14" t="s">
        <v>3720</v>
      </c>
      <c r="B900" s="16" t="str">
        <f>TRIM(" 高津自転車保管所管理事務所")</f>
        <v>高津自転車保管所管理事務所</v>
      </c>
      <c r="C900" s="14" t="s">
        <v>1518</v>
      </c>
      <c r="D900" s="14" t="s">
        <v>181</v>
      </c>
      <c r="E900" s="1"/>
      <c r="F900" s="2"/>
      <c r="G900" s="1">
        <v>28.38</v>
      </c>
      <c r="H900" s="3"/>
      <c r="I900" s="14" t="s">
        <v>2177</v>
      </c>
    </row>
    <row r="901" spans="1:9" ht="18.75" customHeight="1" x14ac:dyDescent="0.4">
      <c r="A901" s="14" t="s">
        <v>5486</v>
      </c>
      <c r="B901" s="16" t="str">
        <f>TRIM("高津入堀川埋立地（中央）")</f>
        <v>高津入堀川埋立地（中央）</v>
      </c>
      <c r="C901" s="14" t="s">
        <v>1518</v>
      </c>
      <c r="D901" s="14" t="s">
        <v>181</v>
      </c>
      <c r="E901" s="1">
        <v>1.03</v>
      </c>
      <c r="F901" s="2"/>
      <c r="G901" s="1"/>
      <c r="H901" s="3"/>
      <c r="I901" s="14" t="s">
        <v>5349</v>
      </c>
    </row>
    <row r="902" spans="1:9" ht="18.75" customHeight="1" x14ac:dyDescent="0.4">
      <c r="A902" s="14" t="s">
        <v>3194</v>
      </c>
      <c r="B902" s="16" t="str">
        <f>TRIM("　南大江公園")</f>
        <v>南大江公園</v>
      </c>
      <c r="C902" s="14" t="s">
        <v>1518</v>
      </c>
      <c r="D902" s="14" t="s">
        <v>1206</v>
      </c>
      <c r="E902" s="1">
        <v>6515.13</v>
      </c>
      <c r="F902" s="2"/>
      <c r="G902" s="1"/>
      <c r="H902" s="3"/>
      <c r="I902" s="14" t="s">
        <v>2177</v>
      </c>
    </row>
    <row r="903" spans="1:9" ht="18.75" customHeight="1" x14ac:dyDescent="0.4">
      <c r="A903" s="14" t="s">
        <v>3300</v>
      </c>
      <c r="B903" s="16" t="str">
        <f>TRIM("　北大江公園")</f>
        <v>北大江公園</v>
      </c>
      <c r="C903" s="14" t="s">
        <v>1518</v>
      </c>
      <c r="D903" s="14" t="s">
        <v>1241</v>
      </c>
      <c r="E903" s="1">
        <v>5484.68</v>
      </c>
      <c r="F903" s="2"/>
      <c r="G903" s="1"/>
      <c r="H903" s="3"/>
      <c r="I903" s="14" t="s">
        <v>2177</v>
      </c>
    </row>
    <row r="904" spans="1:9" ht="18.75" customHeight="1" x14ac:dyDescent="0.4">
      <c r="A904" s="14" t="s">
        <v>5050</v>
      </c>
      <c r="B904" s="16" t="str">
        <f>TRIM("南中学校")</f>
        <v>南中学校</v>
      </c>
      <c r="C904" s="14" t="s">
        <v>1518</v>
      </c>
      <c r="D904" s="14" t="s">
        <v>278</v>
      </c>
      <c r="E904" s="1">
        <v>6528.89</v>
      </c>
      <c r="F904" s="2"/>
      <c r="G904" s="1">
        <v>5183</v>
      </c>
      <c r="H904" s="3"/>
      <c r="I904" s="14" t="s">
        <v>4689</v>
      </c>
    </row>
    <row r="905" spans="1:9" ht="18.75" customHeight="1" x14ac:dyDescent="0.4">
      <c r="A905" s="14" t="s">
        <v>5561</v>
      </c>
      <c r="B905" s="16" t="str">
        <f>TRIM("南警察署別館")</f>
        <v>南警察署別館</v>
      </c>
      <c r="C905" s="14" t="s">
        <v>1518</v>
      </c>
      <c r="D905" s="14" t="s">
        <v>278</v>
      </c>
      <c r="E905" s="1">
        <v>272.42</v>
      </c>
      <c r="F905" s="2"/>
      <c r="G905" s="1"/>
      <c r="H905" s="3"/>
      <c r="I905" s="14" t="s">
        <v>5349</v>
      </c>
    </row>
    <row r="906" spans="1:9" ht="18.75" customHeight="1" x14ac:dyDescent="0.4">
      <c r="A906" s="14" t="s">
        <v>1818</v>
      </c>
      <c r="B906" s="16" t="str">
        <f>TRIM("中央区南老人福祉センター")</f>
        <v>中央区南老人福祉センター</v>
      </c>
      <c r="C906" s="14" t="s">
        <v>1518</v>
      </c>
      <c r="D906" s="14" t="s">
        <v>78</v>
      </c>
      <c r="E906" s="1">
        <v>655.76</v>
      </c>
      <c r="F906" s="2"/>
      <c r="G906" s="1">
        <v>503.71</v>
      </c>
      <c r="H906" s="3"/>
      <c r="I906" s="14" t="s">
        <v>1654</v>
      </c>
    </row>
    <row r="907" spans="1:9" ht="18.75" customHeight="1" x14ac:dyDescent="0.4">
      <c r="A907" s="14" t="s">
        <v>7119</v>
      </c>
      <c r="B907" s="16" t="str">
        <f>TRIM("中央屋内プール")</f>
        <v>中央屋内プール</v>
      </c>
      <c r="C907" s="14" t="s">
        <v>1518</v>
      </c>
      <c r="D907" s="14" t="s">
        <v>78</v>
      </c>
      <c r="E907" s="1">
        <v>1580.16</v>
      </c>
      <c r="F907" s="2"/>
      <c r="G907" s="1">
        <v>3083.62</v>
      </c>
      <c r="H907" s="3"/>
      <c r="I907" s="14" t="s">
        <v>4115</v>
      </c>
    </row>
    <row r="908" spans="1:9" ht="18.75" customHeight="1" x14ac:dyDescent="0.4">
      <c r="A908" s="14" t="s">
        <v>1862</v>
      </c>
      <c r="B908" s="16" t="str">
        <f>TRIM("介護老人保健施設おとしより健康センター")</f>
        <v>介護老人保健施設おとしより健康センター</v>
      </c>
      <c r="C908" s="14" t="s">
        <v>1518</v>
      </c>
      <c r="D908" s="14" t="s">
        <v>78</v>
      </c>
      <c r="E908" s="1">
        <v>1588.37</v>
      </c>
      <c r="F908" s="2"/>
      <c r="G908" s="1"/>
      <c r="H908" s="3"/>
      <c r="I908" s="14" t="s">
        <v>1654</v>
      </c>
    </row>
    <row r="909" spans="1:9" ht="18.75" customHeight="1" x14ac:dyDescent="0.4">
      <c r="A909" s="14" t="s">
        <v>1863</v>
      </c>
      <c r="B909" s="16" t="str">
        <f>TRIM("介護老人保健施設おとしより健康センター地下駐車場")</f>
        <v>介護老人保健施設おとしより健康センター地下駐車場</v>
      </c>
      <c r="C909" s="14" t="s">
        <v>1518</v>
      </c>
      <c r="D909" s="14" t="s">
        <v>78</v>
      </c>
      <c r="E909" s="1"/>
      <c r="F909" s="2"/>
      <c r="G909" s="1">
        <v>2260.67</v>
      </c>
      <c r="H909" s="3"/>
      <c r="I909" s="14" t="s">
        <v>1654</v>
      </c>
    </row>
    <row r="910" spans="1:9" ht="18.75" customHeight="1" x14ac:dyDescent="0.4">
      <c r="A910" s="14" t="s">
        <v>3169</v>
      </c>
      <c r="B910" s="16" t="str">
        <f>TRIM("　道仁公園")</f>
        <v>道仁公園</v>
      </c>
      <c r="C910" s="14" t="s">
        <v>1518</v>
      </c>
      <c r="D910" s="14" t="s">
        <v>78</v>
      </c>
      <c r="E910" s="1">
        <v>1652.06</v>
      </c>
      <c r="F910" s="2"/>
      <c r="G910" s="1"/>
      <c r="H910" s="3"/>
      <c r="I910" s="14" t="s">
        <v>2177</v>
      </c>
    </row>
    <row r="911" spans="1:9" ht="18.75" customHeight="1" x14ac:dyDescent="0.4">
      <c r="A911" s="14" t="s">
        <v>4393</v>
      </c>
      <c r="B911" s="16" t="str">
        <f>TRIM("中央会館")</f>
        <v>中央会館</v>
      </c>
      <c r="C911" s="14" t="s">
        <v>1518</v>
      </c>
      <c r="D911" s="14" t="s">
        <v>78</v>
      </c>
      <c r="E911" s="1"/>
      <c r="F911" s="2"/>
      <c r="G911" s="1">
        <v>1504.63</v>
      </c>
      <c r="H911" s="3"/>
      <c r="I911" s="14" t="s">
        <v>2011</v>
      </c>
    </row>
    <row r="912" spans="1:9" ht="18.75" customHeight="1" x14ac:dyDescent="0.4">
      <c r="A912" s="14" t="s">
        <v>4704</v>
      </c>
      <c r="B912" s="16" t="str">
        <f>TRIM("もと道仁小学校")</f>
        <v>もと道仁小学校</v>
      </c>
      <c r="C912" s="14" t="s">
        <v>1518</v>
      </c>
      <c r="D912" s="14" t="s">
        <v>78</v>
      </c>
      <c r="E912" s="1">
        <v>1933.09</v>
      </c>
      <c r="F912" s="2"/>
      <c r="G912" s="1"/>
      <c r="H912" s="3"/>
      <c r="I912" s="14" t="s">
        <v>4689</v>
      </c>
    </row>
    <row r="913" spans="1:9" ht="18.75" customHeight="1" x14ac:dyDescent="0.4">
      <c r="A913" s="14" t="s">
        <v>5200</v>
      </c>
      <c r="B913" s="16" t="str">
        <f>TRIM("島之内図書館")</f>
        <v>島之内図書館</v>
      </c>
      <c r="C913" s="14" t="s">
        <v>1518</v>
      </c>
      <c r="D913" s="14" t="s">
        <v>78</v>
      </c>
      <c r="E913" s="1"/>
      <c r="F913" s="2"/>
      <c r="G913" s="1">
        <v>872.19</v>
      </c>
      <c r="H913" s="3"/>
      <c r="I913" s="14" t="s">
        <v>4689</v>
      </c>
    </row>
    <row r="914" spans="1:9" ht="18.75" customHeight="1" x14ac:dyDescent="0.4">
      <c r="A914" s="14" t="s">
        <v>5685</v>
      </c>
      <c r="B914" s="16" t="str">
        <f>TRIM("もと南勤労青少年ホーム")</f>
        <v>もと南勤労青少年ホーム</v>
      </c>
      <c r="C914" s="14" t="s">
        <v>1518</v>
      </c>
      <c r="D914" s="14" t="s">
        <v>78</v>
      </c>
      <c r="E914" s="1"/>
      <c r="F914" s="2"/>
      <c r="G914" s="1">
        <v>612.48</v>
      </c>
      <c r="H914" s="3" t="s">
        <v>7353</v>
      </c>
      <c r="I914" s="14" t="s">
        <v>5617</v>
      </c>
    </row>
    <row r="915" spans="1:9" ht="18.75" customHeight="1" x14ac:dyDescent="0.4">
      <c r="A915" s="14" t="s">
        <v>7118</v>
      </c>
      <c r="B915" s="16" t="str">
        <f>TRIM("中央スポーツセンター")</f>
        <v>中央スポーツセンター</v>
      </c>
      <c r="C915" s="14" t="s">
        <v>1518</v>
      </c>
      <c r="D915" s="14" t="s">
        <v>78</v>
      </c>
      <c r="E915" s="1"/>
      <c r="F915" s="2"/>
      <c r="G915" s="1">
        <v>2181.48</v>
      </c>
      <c r="H915" s="3"/>
      <c r="I915" s="14" t="s">
        <v>4115</v>
      </c>
    </row>
    <row r="916" spans="1:9" ht="18.75" customHeight="1" x14ac:dyDescent="0.4">
      <c r="A916" s="14" t="s">
        <v>4104</v>
      </c>
      <c r="B916" s="16" t="str">
        <f>TRIM("弁天抽水所")</f>
        <v>弁天抽水所</v>
      </c>
      <c r="C916" s="14" t="s">
        <v>1518</v>
      </c>
      <c r="D916" s="14" t="s">
        <v>1088</v>
      </c>
      <c r="E916" s="1">
        <v>5687.8</v>
      </c>
      <c r="F916" s="2"/>
      <c r="G916" s="1">
        <v>16548.63</v>
      </c>
      <c r="H916" s="3"/>
      <c r="I916" s="14" t="s">
        <v>2177</v>
      </c>
    </row>
    <row r="917" spans="1:9" ht="18.75" customHeight="1" x14ac:dyDescent="0.4">
      <c r="A917" s="14" t="s">
        <v>2828</v>
      </c>
      <c r="B917" s="16" t="str">
        <f>TRIM("　城見緑道")</f>
        <v>城見緑道</v>
      </c>
      <c r="C917" s="14" t="s">
        <v>1518</v>
      </c>
      <c r="D917" s="14" t="s">
        <v>1088</v>
      </c>
      <c r="E917" s="1">
        <v>7039</v>
      </c>
      <c r="F917" s="2"/>
      <c r="G917" s="1"/>
      <c r="H917" s="3"/>
      <c r="I917" s="14" t="s">
        <v>2177</v>
      </c>
    </row>
    <row r="918" spans="1:9" ht="18.75" customHeight="1" x14ac:dyDescent="0.4">
      <c r="A918" s="14" t="s">
        <v>5273</v>
      </c>
      <c r="B918" s="16" t="str">
        <f>TRIM("中央消防署南阪町出張所")</f>
        <v>中央消防署南阪町出張所</v>
      </c>
      <c r="C918" s="14" t="s">
        <v>1518</v>
      </c>
      <c r="D918" s="14" t="s">
        <v>1367</v>
      </c>
      <c r="E918" s="1">
        <v>56.26</v>
      </c>
      <c r="F918" s="2"/>
      <c r="G918" s="1">
        <v>257.39999999999998</v>
      </c>
      <c r="H918" s="3"/>
      <c r="I918" s="14" t="s">
        <v>5219</v>
      </c>
    </row>
    <row r="919" spans="1:9" ht="18.75" customHeight="1" x14ac:dyDescent="0.4">
      <c r="A919" s="14" t="s">
        <v>2287</v>
      </c>
      <c r="B919" s="16" t="str">
        <f>TRIM("築港深江線（中央）（管財課）")</f>
        <v>築港深江線（中央）（管財課）</v>
      </c>
      <c r="C919" s="14" t="s">
        <v>1518</v>
      </c>
      <c r="D919" s="14" t="s">
        <v>949</v>
      </c>
      <c r="E919" s="1">
        <v>50574.42</v>
      </c>
      <c r="F919" s="2"/>
      <c r="G919" s="1"/>
      <c r="H919" s="3"/>
      <c r="I919" s="14" t="s">
        <v>2177</v>
      </c>
    </row>
    <row r="920" spans="1:9" ht="18.75" customHeight="1" x14ac:dyDescent="0.4">
      <c r="A920" s="14" t="s">
        <v>1653</v>
      </c>
      <c r="B920" s="16" t="str">
        <f>TRIM("福祉局分室")</f>
        <v>福祉局分室</v>
      </c>
      <c r="C920" s="14" t="s">
        <v>1518</v>
      </c>
      <c r="D920" s="14" t="s">
        <v>1473</v>
      </c>
      <c r="E920" s="1"/>
      <c r="F920" s="2"/>
      <c r="G920" s="1">
        <v>1234.8</v>
      </c>
      <c r="H920" s="3"/>
      <c r="I920" s="14" t="s">
        <v>1654</v>
      </c>
    </row>
    <row r="921" spans="1:9" ht="18.75" customHeight="1" x14ac:dyDescent="0.4">
      <c r="A921" s="14" t="s">
        <v>5619</v>
      </c>
      <c r="B921" s="16" t="str">
        <f>TRIM("こども青少年局分室（船場センタービル）")</f>
        <v>こども青少年局分室（船場センタービル）</v>
      </c>
      <c r="C921" s="14" t="s">
        <v>1518</v>
      </c>
      <c r="D921" s="14" t="s">
        <v>1473</v>
      </c>
      <c r="E921" s="1"/>
      <c r="F921" s="2"/>
      <c r="G921" s="1">
        <v>455.07</v>
      </c>
      <c r="H921" s="3"/>
      <c r="I921" s="14" t="s">
        <v>5617</v>
      </c>
    </row>
    <row r="922" spans="1:9" ht="18.75" customHeight="1" x14ac:dyDescent="0.4">
      <c r="A922" s="14" t="s">
        <v>5767</v>
      </c>
      <c r="B922" s="16" t="str">
        <f>TRIM("こども・子育て支援事務センター")</f>
        <v>こども・子育て支援事務センター</v>
      </c>
      <c r="C922" s="14" t="s">
        <v>1518</v>
      </c>
      <c r="D922" s="14" t="s">
        <v>1473</v>
      </c>
      <c r="E922" s="1"/>
      <c r="F922" s="2"/>
      <c r="G922" s="1">
        <v>71.34</v>
      </c>
      <c r="H922" s="3"/>
      <c r="I922" s="14" t="s">
        <v>5617</v>
      </c>
    </row>
    <row r="923" spans="1:9" ht="18.75" customHeight="1" x14ac:dyDescent="0.4">
      <c r="A923" s="14" t="s">
        <v>6997</v>
      </c>
      <c r="B923" s="16" t="str">
        <f>TRIM("保健衛生検査所")</f>
        <v>保健衛生検査所</v>
      </c>
      <c r="C923" s="14" t="s">
        <v>1518</v>
      </c>
      <c r="D923" s="14" t="s">
        <v>1473</v>
      </c>
      <c r="E923" s="1"/>
      <c r="F923" s="2"/>
      <c r="G923" s="1">
        <v>413.88</v>
      </c>
      <c r="H923" s="3"/>
      <c r="I923" s="14" t="s">
        <v>2402</v>
      </c>
    </row>
    <row r="924" spans="1:9" ht="18.75" customHeight="1" x14ac:dyDescent="0.4">
      <c r="A924" s="14" t="s">
        <v>2359</v>
      </c>
      <c r="B924" s="16" t="str">
        <f>TRIM("もと軌道敷(谷町線)")</f>
        <v>もと軌道敷(谷町線)</v>
      </c>
      <c r="C924" s="14" t="s">
        <v>1518</v>
      </c>
      <c r="D924" s="14" t="s">
        <v>977</v>
      </c>
      <c r="E924" s="1">
        <v>5280.86</v>
      </c>
      <c r="F924" s="2"/>
      <c r="G924" s="1"/>
      <c r="H924" s="3"/>
      <c r="I924" s="14" t="s">
        <v>2177</v>
      </c>
    </row>
    <row r="925" spans="1:9" ht="18.75" customHeight="1" x14ac:dyDescent="0.4">
      <c r="A925" s="14" t="s">
        <v>2396</v>
      </c>
      <c r="B925" s="16" t="str">
        <f>TRIM("谷町筋地下駐車場")</f>
        <v>谷町筋地下駐車場</v>
      </c>
      <c r="C925" s="14" t="s">
        <v>1518</v>
      </c>
      <c r="D925" s="14" t="s">
        <v>163</v>
      </c>
      <c r="E925" s="1"/>
      <c r="F925" s="2"/>
      <c r="G925" s="1">
        <v>6346</v>
      </c>
      <c r="H925" s="3"/>
      <c r="I925" s="14" t="s">
        <v>2177</v>
      </c>
    </row>
    <row r="926" spans="1:9" ht="18.75" customHeight="1" x14ac:dyDescent="0.4">
      <c r="A926" s="14" t="s">
        <v>5405</v>
      </c>
      <c r="B926" s="16" t="str">
        <f>TRIM("もと船場中学校")</f>
        <v>もと船場中学校</v>
      </c>
      <c r="C926" s="14" t="s">
        <v>1518</v>
      </c>
      <c r="D926" s="14" t="s">
        <v>163</v>
      </c>
      <c r="E926" s="1">
        <v>5</v>
      </c>
      <c r="F926" s="2"/>
      <c r="G926" s="1"/>
      <c r="H926" s="3"/>
      <c r="I926" s="14" t="s">
        <v>5349</v>
      </c>
    </row>
    <row r="927" spans="1:9" ht="18.75" customHeight="1" x14ac:dyDescent="0.4">
      <c r="A927" s="14" t="s">
        <v>4397</v>
      </c>
      <c r="B927" s="16" t="str">
        <f>TRIM("桃園地域集会所")</f>
        <v>桃園地域集会所</v>
      </c>
      <c r="C927" s="14" t="s">
        <v>1518</v>
      </c>
      <c r="D927" s="14" t="s">
        <v>54</v>
      </c>
      <c r="E927" s="1">
        <v>450.61</v>
      </c>
      <c r="F927" s="2"/>
      <c r="G927" s="1">
        <v>119.99</v>
      </c>
      <c r="H927" s="3"/>
      <c r="I927" s="14" t="s">
        <v>2011</v>
      </c>
    </row>
    <row r="928" spans="1:9" ht="18.75" customHeight="1" x14ac:dyDescent="0.4">
      <c r="A928" s="14" t="s">
        <v>5043</v>
      </c>
      <c r="B928" s="16" t="str">
        <f>TRIM("もと南高等学校")</f>
        <v>もと南高等学校</v>
      </c>
      <c r="C928" s="14" t="s">
        <v>1518</v>
      </c>
      <c r="D928" s="14" t="s">
        <v>54</v>
      </c>
      <c r="E928" s="1">
        <v>4705.01</v>
      </c>
      <c r="F928" s="2"/>
      <c r="G928" s="1">
        <v>9126.7000000000007</v>
      </c>
      <c r="H928" s="3" t="s">
        <v>7353</v>
      </c>
      <c r="I928" s="14" t="s">
        <v>4689</v>
      </c>
    </row>
    <row r="929" spans="1:9" ht="18.75" customHeight="1" x14ac:dyDescent="0.4">
      <c r="A929" s="14" t="s">
        <v>5812</v>
      </c>
      <c r="B929" s="16" t="str">
        <f>TRIM("桃園幼稚園")</f>
        <v>桃園幼稚園</v>
      </c>
      <c r="C929" s="14" t="s">
        <v>1518</v>
      </c>
      <c r="D929" s="14" t="s">
        <v>54</v>
      </c>
      <c r="E929" s="1">
        <v>2918.64</v>
      </c>
      <c r="F929" s="2"/>
      <c r="G929" s="1">
        <v>774.7</v>
      </c>
      <c r="H929" s="3"/>
      <c r="I929" s="14" t="s">
        <v>5617</v>
      </c>
    </row>
    <row r="930" spans="1:9" ht="18.75" customHeight="1" x14ac:dyDescent="0.4">
      <c r="A930" s="14" t="s">
        <v>2113</v>
      </c>
      <c r="B930" s="16" t="str">
        <f>TRIM("桃園地域集会所（もと桃園会館老人憩の家）")</f>
        <v>桃園地域集会所（もと桃園会館老人憩の家）</v>
      </c>
      <c r="C930" s="14" t="s">
        <v>1518</v>
      </c>
      <c r="D930" s="14" t="s">
        <v>54</v>
      </c>
      <c r="E930" s="1"/>
      <c r="F930" s="2"/>
      <c r="G930" s="1">
        <v>119.99</v>
      </c>
      <c r="H930" s="3"/>
      <c r="I930" s="14" t="s">
        <v>2011</v>
      </c>
    </row>
    <row r="931" spans="1:9" ht="18.75" customHeight="1" x14ac:dyDescent="0.4">
      <c r="A931" s="14" t="s">
        <v>2283</v>
      </c>
      <c r="B931" s="16" t="str">
        <f>TRIM("大阪和泉泉南線（中央）（管財課）")</f>
        <v>大阪和泉泉南線（中央）（管財課）</v>
      </c>
      <c r="C931" s="14" t="s">
        <v>1518</v>
      </c>
      <c r="D931" s="14" t="s">
        <v>54</v>
      </c>
      <c r="E931" s="1">
        <v>9954.2000000000007</v>
      </c>
      <c r="F931" s="2"/>
      <c r="G931" s="1"/>
      <c r="H931" s="3"/>
      <c r="I931" s="14" t="s">
        <v>2177</v>
      </c>
    </row>
    <row r="932" spans="1:9" ht="18.75" customHeight="1" x14ac:dyDescent="0.4">
      <c r="A932" s="14" t="s">
        <v>3163</v>
      </c>
      <c r="B932" s="16" t="str">
        <f>TRIM("　桃園公園")</f>
        <v>桃園公園</v>
      </c>
      <c r="C932" s="14" t="s">
        <v>1518</v>
      </c>
      <c r="D932" s="14" t="s">
        <v>54</v>
      </c>
      <c r="E932" s="1">
        <v>3778.05</v>
      </c>
      <c r="F932" s="2"/>
      <c r="G932" s="1"/>
      <c r="H932" s="3"/>
      <c r="I932" s="14" t="s">
        <v>2177</v>
      </c>
    </row>
    <row r="933" spans="1:9" ht="18.75" customHeight="1" x14ac:dyDescent="0.4">
      <c r="A933" s="14" t="s">
        <v>4003</v>
      </c>
      <c r="B933" s="16" t="str">
        <f>TRIM("谷町分室")</f>
        <v>谷町分室</v>
      </c>
      <c r="C933" s="14" t="s">
        <v>1518</v>
      </c>
      <c r="D933" s="14" t="s">
        <v>1313</v>
      </c>
      <c r="E933" s="1">
        <v>79.959999999999994</v>
      </c>
      <c r="F933" s="2"/>
      <c r="G933" s="1">
        <v>201.73</v>
      </c>
      <c r="H933" s="3"/>
      <c r="I933" s="14" t="s">
        <v>2177</v>
      </c>
    </row>
    <row r="934" spans="1:9" ht="18.75" customHeight="1" x14ac:dyDescent="0.4">
      <c r="A934" s="14" t="s">
        <v>5156</v>
      </c>
      <c r="B934" s="16" t="str">
        <f>TRIM("史跡案内板設置用地")</f>
        <v>史跡案内板設置用地</v>
      </c>
      <c r="C934" s="14" t="s">
        <v>1518</v>
      </c>
      <c r="D934" s="14" t="s">
        <v>1443</v>
      </c>
      <c r="E934" s="1">
        <v>8.2100000000000009</v>
      </c>
      <c r="F934" s="2"/>
      <c r="G934" s="1"/>
      <c r="H934" s="3"/>
      <c r="I934" s="14" t="s">
        <v>4689</v>
      </c>
    </row>
    <row r="935" spans="1:9" ht="18.75" customHeight="1" x14ac:dyDescent="0.4">
      <c r="A935" s="14" t="s">
        <v>5783</v>
      </c>
      <c r="B935" s="16" t="str">
        <f>TRIM("玉造幼稚園")</f>
        <v>玉造幼稚園</v>
      </c>
      <c r="C935" s="14" t="s">
        <v>1518</v>
      </c>
      <c r="D935" s="14" t="s">
        <v>497</v>
      </c>
      <c r="E935" s="1">
        <v>3647.53</v>
      </c>
      <c r="F935" s="2"/>
      <c r="G935" s="1">
        <v>1215.28</v>
      </c>
      <c r="H935" s="3"/>
      <c r="I935" s="14" t="s">
        <v>5617</v>
      </c>
    </row>
    <row r="936" spans="1:9" ht="18.75" customHeight="1" x14ac:dyDescent="0.4">
      <c r="A936" s="14" t="s">
        <v>2010</v>
      </c>
      <c r="B936" s="16" t="str">
        <f>TRIM("たまつくり会館")</f>
        <v>たまつくり会館</v>
      </c>
      <c r="C936" s="14" t="s">
        <v>1518</v>
      </c>
      <c r="D936" s="14" t="s">
        <v>497</v>
      </c>
      <c r="E936" s="1">
        <v>200.09</v>
      </c>
      <c r="F936" s="2"/>
      <c r="G936" s="1"/>
      <c r="H936" s="3"/>
      <c r="I936" s="14" t="s">
        <v>2011</v>
      </c>
    </row>
    <row r="937" spans="1:9" ht="18.75" customHeight="1" x14ac:dyDescent="0.4">
      <c r="A937" s="14" t="s">
        <v>3749</v>
      </c>
      <c r="B937" s="16" t="str">
        <f>TRIM("（地）玉造駅自転車駐車場")</f>
        <v>（地）玉造駅自転車駐車場</v>
      </c>
      <c r="C937" s="14" t="s">
        <v>1518</v>
      </c>
      <c r="D937" s="14" t="s">
        <v>497</v>
      </c>
      <c r="E937" s="1"/>
      <c r="F937" s="2"/>
      <c r="G937" s="1">
        <v>430.1</v>
      </c>
      <c r="H937" s="3"/>
      <c r="I937" s="14" t="s">
        <v>2177</v>
      </c>
    </row>
    <row r="938" spans="1:9" ht="18.75" customHeight="1" x14ac:dyDescent="0.4">
      <c r="A938" s="14" t="s">
        <v>4784</v>
      </c>
      <c r="B938" s="16" t="str">
        <f>TRIM("玉造小学校")</f>
        <v>玉造小学校</v>
      </c>
      <c r="C938" s="14" t="s">
        <v>1518</v>
      </c>
      <c r="D938" s="14" t="s">
        <v>1008</v>
      </c>
      <c r="E938" s="1">
        <v>6362.63</v>
      </c>
      <c r="F938" s="2"/>
      <c r="G938" s="1">
        <v>7729.85</v>
      </c>
      <c r="H938" s="3"/>
      <c r="I938" s="14" t="s">
        <v>4689</v>
      </c>
    </row>
    <row r="939" spans="1:9" ht="18.75" customHeight="1" x14ac:dyDescent="0.4">
      <c r="A939" s="14" t="s">
        <v>5271</v>
      </c>
      <c r="B939" s="16" t="str">
        <f>TRIM("中央消防署東雲出張所")</f>
        <v>中央消防署東雲出張所</v>
      </c>
      <c r="C939" s="14" t="s">
        <v>1518</v>
      </c>
      <c r="D939" s="14" t="s">
        <v>1008</v>
      </c>
      <c r="E939" s="1">
        <v>220.36</v>
      </c>
      <c r="F939" s="2"/>
      <c r="G939" s="1">
        <v>433.12</v>
      </c>
      <c r="H939" s="3"/>
      <c r="I939" s="14" t="s">
        <v>5219</v>
      </c>
    </row>
    <row r="940" spans="1:9" ht="18.75" customHeight="1" x14ac:dyDescent="0.4">
      <c r="A940" s="14" t="s">
        <v>2581</v>
      </c>
      <c r="B940" s="16" t="str">
        <f>TRIM("　越中公園")</f>
        <v>越中公園</v>
      </c>
      <c r="C940" s="14" t="s">
        <v>1518</v>
      </c>
      <c r="D940" s="14" t="s">
        <v>1008</v>
      </c>
      <c r="E940" s="1">
        <v>6765.85</v>
      </c>
      <c r="F940" s="2"/>
      <c r="G940" s="1"/>
      <c r="H940" s="3"/>
      <c r="I940" s="14" t="s">
        <v>2177</v>
      </c>
    </row>
    <row r="941" spans="1:9" ht="18.75" customHeight="1" x14ac:dyDescent="0.4">
      <c r="A941" s="14" t="s">
        <v>2659</v>
      </c>
      <c r="B941" s="16" t="str">
        <f>TRIM("　玉造公園")</f>
        <v>玉造公園</v>
      </c>
      <c r="C941" s="14" t="s">
        <v>1518</v>
      </c>
      <c r="D941" s="14" t="s">
        <v>1008</v>
      </c>
      <c r="E941" s="1">
        <v>5247</v>
      </c>
      <c r="F941" s="2"/>
      <c r="G941" s="1"/>
      <c r="H941" s="3"/>
      <c r="I941" s="14" t="s">
        <v>2177</v>
      </c>
    </row>
    <row r="942" spans="1:9" ht="18.75" customHeight="1" x14ac:dyDescent="0.4">
      <c r="A942" s="14" t="s">
        <v>2347</v>
      </c>
      <c r="B942" s="16" t="str">
        <f>TRIM("もと軌道敷（今橋天満橋線）")</f>
        <v>もと軌道敷（今橋天満橋線）</v>
      </c>
      <c r="C942" s="14" t="s">
        <v>1518</v>
      </c>
      <c r="D942" s="14" t="s">
        <v>971</v>
      </c>
      <c r="E942" s="1">
        <v>6065.39</v>
      </c>
      <c r="F942" s="2"/>
      <c r="G942" s="1"/>
      <c r="H942" s="3"/>
      <c r="I942" s="14" t="s">
        <v>2177</v>
      </c>
    </row>
    <row r="943" spans="1:9" ht="18.75" customHeight="1" x14ac:dyDescent="0.4">
      <c r="A943" s="14" t="s">
        <v>5272</v>
      </c>
      <c r="B943" s="16" t="str">
        <f>TRIM("中央消防署道頓堀出張所")</f>
        <v>中央消防署道頓堀出張所</v>
      </c>
      <c r="C943" s="14" t="s">
        <v>1518</v>
      </c>
      <c r="D943" s="14" t="s">
        <v>657</v>
      </c>
      <c r="E943" s="1">
        <v>119.97</v>
      </c>
      <c r="F943" s="2"/>
      <c r="G943" s="1">
        <v>752.43</v>
      </c>
      <c r="H943" s="3"/>
      <c r="I943" s="14" t="s">
        <v>5219</v>
      </c>
    </row>
    <row r="944" spans="1:9" ht="18.75" customHeight="1" x14ac:dyDescent="0.4">
      <c r="A944" s="14" t="s">
        <v>6029</v>
      </c>
      <c r="B944" s="16" t="str">
        <f>TRIM("中央区内南部公衆便所")</f>
        <v>中央区内南部公衆便所</v>
      </c>
      <c r="C944" s="14" t="s">
        <v>1518</v>
      </c>
      <c r="D944" s="14" t="s">
        <v>657</v>
      </c>
      <c r="E944" s="1">
        <v>33.979999999999997</v>
      </c>
      <c r="F944" s="2"/>
      <c r="G944" s="1">
        <v>26.22</v>
      </c>
      <c r="H944" s="3"/>
      <c r="I944" s="14" t="s">
        <v>5977</v>
      </c>
    </row>
    <row r="945" spans="1:9" ht="18.75" customHeight="1" x14ac:dyDescent="0.4">
      <c r="A945" s="14" t="s">
        <v>4041</v>
      </c>
      <c r="B945" s="16" t="str">
        <f>TRIM("高津入堀貯留水ポンプ場")</f>
        <v>高津入堀貯留水ポンプ場</v>
      </c>
      <c r="C945" s="14" t="s">
        <v>1518</v>
      </c>
      <c r="D945" s="14" t="s">
        <v>657</v>
      </c>
      <c r="E945" s="1">
        <v>150.18</v>
      </c>
      <c r="F945" s="2"/>
      <c r="G945" s="1"/>
      <c r="H945" s="3"/>
      <c r="I945" s="14" t="s">
        <v>2177</v>
      </c>
    </row>
    <row r="946" spans="1:9" ht="18.75" customHeight="1" x14ac:dyDescent="0.4">
      <c r="A946" s="14" t="s">
        <v>6035</v>
      </c>
      <c r="B946" s="16" t="str">
        <f>TRIM("もと中央区内南部公衆便所")</f>
        <v>もと中央区内南部公衆便所</v>
      </c>
      <c r="C946" s="14" t="s">
        <v>1518</v>
      </c>
      <c r="D946" s="14" t="s">
        <v>657</v>
      </c>
      <c r="E946" s="1"/>
      <c r="F946" s="2"/>
      <c r="G946" s="1">
        <v>4.5</v>
      </c>
      <c r="H946" s="3"/>
      <c r="I946" s="14" t="s">
        <v>5977</v>
      </c>
    </row>
    <row r="947" spans="1:9" ht="18.75" customHeight="1" x14ac:dyDescent="0.4">
      <c r="A947" s="14" t="s">
        <v>2464</v>
      </c>
      <c r="B947" s="16" t="str">
        <f>TRIM("もと河川敷（中央）")</f>
        <v>もと河川敷（中央）</v>
      </c>
      <c r="C947" s="14" t="s">
        <v>1518</v>
      </c>
      <c r="D947" s="14" t="s">
        <v>1304</v>
      </c>
      <c r="E947" s="1">
        <v>7.2</v>
      </c>
      <c r="F947" s="2"/>
      <c r="G947" s="1"/>
      <c r="H947" s="3"/>
      <c r="I947" s="14" t="s">
        <v>2177</v>
      </c>
    </row>
    <row r="948" spans="1:9" ht="18.75" customHeight="1" x14ac:dyDescent="0.4">
      <c r="A948" s="14" t="s">
        <v>2477</v>
      </c>
      <c r="B948" s="16" t="str">
        <f>TRIM("河川敷（中央）")</f>
        <v>河川敷（中央）</v>
      </c>
      <c r="C948" s="14" t="s">
        <v>1518</v>
      </c>
      <c r="D948" s="14" t="s">
        <v>1304</v>
      </c>
      <c r="E948" s="1">
        <v>502.44</v>
      </c>
      <c r="F948" s="2"/>
      <c r="G948" s="1"/>
      <c r="H948" s="3"/>
      <c r="I948" s="14" t="s">
        <v>2177</v>
      </c>
    </row>
    <row r="949" spans="1:9" ht="18.75" customHeight="1" x14ac:dyDescent="0.4">
      <c r="A949" s="14" t="s">
        <v>6037</v>
      </c>
      <c r="B949" s="16" t="str">
        <f>TRIM("もと中央区内南部公衆便所")</f>
        <v>もと中央区内南部公衆便所</v>
      </c>
      <c r="C949" s="14" t="s">
        <v>1518</v>
      </c>
      <c r="D949" s="14" t="s">
        <v>1304</v>
      </c>
      <c r="E949" s="1">
        <v>14.63</v>
      </c>
      <c r="F949" s="2"/>
      <c r="G949" s="1"/>
      <c r="H949" s="3"/>
      <c r="I949" s="14" t="s">
        <v>5977</v>
      </c>
    </row>
    <row r="950" spans="1:9" ht="18.75" customHeight="1" x14ac:dyDescent="0.4">
      <c r="A950" s="14" t="s">
        <v>5270</v>
      </c>
      <c r="B950" s="16" t="str">
        <f>TRIM("中央消防署上町出張所")</f>
        <v>中央消防署上町出張所</v>
      </c>
      <c r="C950" s="14" t="s">
        <v>1518</v>
      </c>
      <c r="D950" s="14" t="s">
        <v>1366</v>
      </c>
      <c r="E950" s="1">
        <v>348.92</v>
      </c>
      <c r="F950" s="2"/>
      <c r="G950" s="1">
        <v>689.33</v>
      </c>
      <c r="H950" s="3"/>
      <c r="I950" s="14" t="s">
        <v>5219</v>
      </c>
    </row>
    <row r="951" spans="1:9" ht="18.75" customHeight="1" x14ac:dyDescent="0.4">
      <c r="A951" s="14" t="s">
        <v>2274</v>
      </c>
      <c r="B951" s="16" t="str">
        <f>TRIM("大阪枚岡奈良線（中央）（管財課）")</f>
        <v>大阪枚岡奈良線（中央）（管財課）</v>
      </c>
      <c r="C951" s="14" t="s">
        <v>1518</v>
      </c>
      <c r="D951" s="14" t="s">
        <v>943</v>
      </c>
      <c r="E951" s="1">
        <v>11786.84</v>
      </c>
      <c r="F951" s="2"/>
      <c r="G951" s="1"/>
      <c r="H951" s="3"/>
      <c r="I951" s="14" t="s">
        <v>2177</v>
      </c>
    </row>
    <row r="952" spans="1:9" ht="18.75" customHeight="1" x14ac:dyDescent="0.4">
      <c r="A952" s="14" t="s">
        <v>2366</v>
      </c>
      <c r="B952" s="16" t="str">
        <f>TRIM("もと軌道敷(南北線)")</f>
        <v>もと軌道敷(南北線)</v>
      </c>
      <c r="C952" s="14" t="s">
        <v>1518</v>
      </c>
      <c r="D952" s="14" t="s">
        <v>979</v>
      </c>
      <c r="E952" s="1">
        <v>63986.9</v>
      </c>
      <c r="F952" s="2"/>
      <c r="G952" s="1"/>
      <c r="H952" s="3"/>
      <c r="I952" s="14" t="s">
        <v>2177</v>
      </c>
    </row>
    <row r="953" spans="1:9" ht="18.75" customHeight="1" x14ac:dyDescent="0.4">
      <c r="A953" s="14" t="s">
        <v>4699</v>
      </c>
      <c r="B953" s="16" t="str">
        <f>TRIM("もと精華小学校")</f>
        <v>もと精華小学校</v>
      </c>
      <c r="C953" s="14" t="s">
        <v>1518</v>
      </c>
      <c r="D953" s="14" t="s">
        <v>1378</v>
      </c>
      <c r="E953" s="1">
        <v>330</v>
      </c>
      <c r="F953" s="2" t="s">
        <v>7276</v>
      </c>
      <c r="G953" s="1"/>
      <c r="H953" s="3"/>
      <c r="I953" s="14" t="s">
        <v>4689</v>
      </c>
    </row>
    <row r="954" spans="1:9" ht="18.75" customHeight="1" x14ac:dyDescent="0.4">
      <c r="A954" s="14" t="s">
        <v>3212</v>
      </c>
      <c r="B954" s="16" t="str">
        <f>TRIM("　難波千日前公園")</f>
        <v>難波千日前公園</v>
      </c>
      <c r="C954" s="14" t="s">
        <v>1518</v>
      </c>
      <c r="D954" s="14" t="s">
        <v>1212</v>
      </c>
      <c r="E954" s="1">
        <v>825.81</v>
      </c>
      <c r="F954" s="2"/>
      <c r="G954" s="1"/>
      <c r="H954" s="3"/>
      <c r="I954" s="14" t="s">
        <v>2177</v>
      </c>
    </row>
    <row r="955" spans="1:9" ht="18.75" customHeight="1" x14ac:dyDescent="0.4">
      <c r="A955" s="14" t="s">
        <v>3996</v>
      </c>
      <c r="B955" s="16" t="str">
        <f>TRIM("もと下水道用地（中央）")</f>
        <v>もと下水道用地（中央）</v>
      </c>
      <c r="C955" s="14" t="s">
        <v>1518</v>
      </c>
      <c r="D955" s="14" t="s">
        <v>1311</v>
      </c>
      <c r="E955" s="1">
        <v>325.43</v>
      </c>
      <c r="F955" s="2"/>
      <c r="G955" s="1"/>
      <c r="H955" s="3"/>
      <c r="I955" s="14" t="s">
        <v>2177</v>
      </c>
    </row>
    <row r="956" spans="1:9" ht="18.75" customHeight="1" x14ac:dyDescent="0.4">
      <c r="A956" s="14" t="s">
        <v>4391</v>
      </c>
      <c r="B956" s="16" t="str">
        <f>TRIM("御津会館")</f>
        <v>御津会館</v>
      </c>
      <c r="C956" s="14" t="s">
        <v>1518</v>
      </c>
      <c r="D956" s="14" t="s">
        <v>1311</v>
      </c>
      <c r="E956" s="1">
        <v>735.99</v>
      </c>
      <c r="F956" s="2"/>
      <c r="G956" s="1"/>
      <c r="H956" s="3"/>
      <c r="I956" s="14" t="s">
        <v>2011</v>
      </c>
    </row>
    <row r="957" spans="1:9" ht="18.75" customHeight="1" x14ac:dyDescent="0.4">
      <c r="A957" s="14" t="s">
        <v>4697</v>
      </c>
      <c r="B957" s="16" t="str">
        <f>TRIM("もと御津小学校")</f>
        <v>もと御津小学校</v>
      </c>
      <c r="C957" s="14" t="s">
        <v>1518</v>
      </c>
      <c r="D957" s="14" t="s">
        <v>1311</v>
      </c>
      <c r="E957" s="1">
        <v>21.02</v>
      </c>
      <c r="F957" s="2"/>
      <c r="G957" s="1"/>
      <c r="H957" s="3"/>
      <c r="I957" s="14" t="s">
        <v>4689</v>
      </c>
    </row>
    <row r="958" spans="1:9" ht="18.75" customHeight="1" x14ac:dyDescent="0.4">
      <c r="A958" s="14" t="s">
        <v>2209</v>
      </c>
      <c r="B958" s="16" t="str">
        <f>TRIM("恵美須南森町線（中央）（管財課）")</f>
        <v>恵美須南森町線（中央）（管財課）</v>
      </c>
      <c r="C958" s="14" t="s">
        <v>1518</v>
      </c>
      <c r="D958" s="14" t="s">
        <v>10</v>
      </c>
      <c r="E958" s="1">
        <v>2440.67</v>
      </c>
      <c r="F958" s="2"/>
      <c r="G958" s="1"/>
      <c r="H958" s="3"/>
      <c r="I958" s="14" t="s">
        <v>2177</v>
      </c>
    </row>
    <row r="959" spans="1:9" ht="18.75" customHeight="1" x14ac:dyDescent="0.4">
      <c r="A959" s="14" t="s">
        <v>5408</v>
      </c>
      <c r="B959" s="16" t="str">
        <f>TRIM("もと疎開跡地（中央）")</f>
        <v>もと疎開跡地（中央）</v>
      </c>
      <c r="C959" s="14" t="s">
        <v>1518</v>
      </c>
      <c r="D959" s="14" t="s">
        <v>10</v>
      </c>
      <c r="E959" s="1">
        <v>29.9</v>
      </c>
      <c r="F959" s="2"/>
      <c r="G959" s="1"/>
      <c r="H959" s="3"/>
      <c r="I959" s="14" t="s">
        <v>5349</v>
      </c>
    </row>
    <row r="960" spans="1:9" ht="18.75" customHeight="1" x14ac:dyDescent="0.4">
      <c r="A960" s="14" t="s">
        <v>7017</v>
      </c>
      <c r="B960" s="16" t="str">
        <f>TRIM("国立文楽劇場")</f>
        <v>国立文楽劇場</v>
      </c>
      <c r="C960" s="14" t="s">
        <v>1518</v>
      </c>
      <c r="D960" s="14" t="s">
        <v>10</v>
      </c>
      <c r="E960" s="1">
        <v>4094.74</v>
      </c>
      <c r="F960" s="2"/>
      <c r="G960" s="1"/>
      <c r="H960" s="3"/>
      <c r="I960" s="14" t="s">
        <v>4115</v>
      </c>
    </row>
    <row r="961" spans="1:9" ht="18.75" customHeight="1" x14ac:dyDescent="0.4">
      <c r="A961" s="14" t="s">
        <v>2717</v>
      </c>
      <c r="B961" s="16" t="str">
        <f>TRIM("　黒門公園")</f>
        <v>黒門公園</v>
      </c>
      <c r="C961" s="14" t="s">
        <v>1518</v>
      </c>
      <c r="D961" s="14" t="s">
        <v>1045</v>
      </c>
      <c r="E961" s="1">
        <v>604.85</v>
      </c>
      <c r="F961" s="2"/>
      <c r="G961" s="1"/>
      <c r="H961" s="3"/>
      <c r="I961" s="14" t="s">
        <v>2177</v>
      </c>
    </row>
    <row r="962" spans="1:9" ht="18.75" customHeight="1" x14ac:dyDescent="0.4">
      <c r="A962" s="14" t="s">
        <v>4071</v>
      </c>
      <c r="B962" s="16" t="str">
        <f>TRIM("中央下水道センター")</f>
        <v>中央下水道センター</v>
      </c>
      <c r="C962" s="14" t="s">
        <v>1518</v>
      </c>
      <c r="D962" s="14" t="s">
        <v>412</v>
      </c>
      <c r="E962" s="1">
        <v>50.41</v>
      </c>
      <c r="F962" s="2"/>
      <c r="G962" s="1">
        <v>299.77</v>
      </c>
      <c r="H962" s="3"/>
      <c r="I962" s="14" t="s">
        <v>2177</v>
      </c>
    </row>
    <row r="963" spans="1:9" ht="18.75" customHeight="1" x14ac:dyDescent="0.4">
      <c r="A963" s="14" t="s">
        <v>4400</v>
      </c>
      <c r="B963" s="16" t="str">
        <f>TRIM("南大江地域集会所")</f>
        <v>南大江地域集会所</v>
      </c>
      <c r="C963" s="14" t="s">
        <v>1518</v>
      </c>
      <c r="D963" s="14" t="s">
        <v>412</v>
      </c>
      <c r="E963" s="1">
        <v>200</v>
      </c>
      <c r="F963" s="2"/>
      <c r="G963" s="1">
        <v>121.64</v>
      </c>
      <c r="H963" s="3"/>
      <c r="I963" s="14" t="s">
        <v>2011</v>
      </c>
    </row>
    <row r="964" spans="1:9" ht="18.75" customHeight="1" x14ac:dyDescent="0.4">
      <c r="A964" s="14" t="s">
        <v>5914</v>
      </c>
      <c r="B964" s="16" t="str">
        <f>TRIM("南大江保育所")</f>
        <v>南大江保育所</v>
      </c>
      <c r="C964" s="14" t="s">
        <v>1518</v>
      </c>
      <c r="D964" s="14" t="s">
        <v>412</v>
      </c>
      <c r="E964" s="1">
        <v>1046</v>
      </c>
      <c r="F964" s="2"/>
      <c r="G964" s="1">
        <v>1035.6600000000001</v>
      </c>
      <c r="H964" s="3"/>
      <c r="I964" s="14" t="s">
        <v>5617</v>
      </c>
    </row>
    <row r="965" spans="1:9" ht="18.75" customHeight="1" x14ac:dyDescent="0.4">
      <c r="A965" s="14" t="s">
        <v>1817</v>
      </c>
      <c r="B965" s="16" t="str">
        <f>TRIM("中央区東老人福祉センター")</f>
        <v>中央区東老人福祉センター</v>
      </c>
      <c r="C965" s="14" t="s">
        <v>1518</v>
      </c>
      <c r="D965" s="14" t="s">
        <v>412</v>
      </c>
      <c r="E965" s="1"/>
      <c r="F965" s="2"/>
      <c r="G965" s="1">
        <v>484.7</v>
      </c>
      <c r="H965" s="3"/>
      <c r="I965" s="14" t="s">
        <v>1654</v>
      </c>
    </row>
    <row r="966" spans="1:9" ht="18.75" customHeight="1" x14ac:dyDescent="0.4">
      <c r="A966" s="14" t="s">
        <v>1928</v>
      </c>
      <c r="B966" s="16" t="str">
        <f>TRIM("特別養護老人ホームさくら・南大江地域在宅サービスステーション")</f>
        <v>特別養護老人ホームさくら・南大江地域在宅サービスステーション</v>
      </c>
      <c r="C966" s="14" t="s">
        <v>1518</v>
      </c>
      <c r="D966" s="14" t="s">
        <v>412</v>
      </c>
      <c r="E966" s="1">
        <v>742.27</v>
      </c>
      <c r="F966" s="2"/>
      <c r="G966" s="1"/>
      <c r="H966" s="3"/>
      <c r="I966" s="14" t="s">
        <v>1654</v>
      </c>
    </row>
    <row r="967" spans="1:9" ht="18.75" customHeight="1" x14ac:dyDescent="0.4">
      <c r="A967" s="14" t="s">
        <v>2118</v>
      </c>
      <c r="B967" s="16" t="str">
        <f>TRIM("南大江地域集会所（もと南大江老人憩の家）")</f>
        <v>南大江地域集会所（もと南大江老人憩の家）</v>
      </c>
      <c r="C967" s="14" t="s">
        <v>1518</v>
      </c>
      <c r="D967" s="14" t="s">
        <v>412</v>
      </c>
      <c r="E967" s="1"/>
      <c r="F967" s="2"/>
      <c r="G967" s="1">
        <v>100</v>
      </c>
      <c r="H967" s="3"/>
      <c r="I967" s="14" t="s">
        <v>2011</v>
      </c>
    </row>
    <row r="968" spans="1:9" ht="18.75" customHeight="1" x14ac:dyDescent="0.4">
      <c r="A968" s="14" t="s">
        <v>4096</v>
      </c>
      <c r="B968" s="16" t="str">
        <f>TRIM("背割下水見学施設")</f>
        <v>背割下水見学施設</v>
      </c>
      <c r="C968" s="14" t="s">
        <v>1518</v>
      </c>
      <c r="D968" s="14" t="s">
        <v>412</v>
      </c>
      <c r="E968" s="1">
        <v>30.13</v>
      </c>
      <c r="F968" s="2"/>
      <c r="G968" s="1"/>
      <c r="H968" s="3"/>
      <c r="I968" s="14" t="s">
        <v>2177</v>
      </c>
    </row>
    <row r="969" spans="1:9" ht="18.75" customHeight="1" x14ac:dyDescent="0.4">
      <c r="A969" s="14" t="s">
        <v>2306</v>
      </c>
      <c r="B969" s="16" t="str">
        <f>TRIM("道路（中央）（管財課）")</f>
        <v>道路（中央）（管財課）</v>
      </c>
      <c r="C969" s="14" t="s">
        <v>1518</v>
      </c>
      <c r="D969" s="14" t="s">
        <v>18</v>
      </c>
      <c r="E969" s="1">
        <v>685865.64</v>
      </c>
      <c r="F969" s="2"/>
      <c r="G969" s="1"/>
      <c r="H969" s="3"/>
      <c r="I969" s="14" t="s">
        <v>2177</v>
      </c>
    </row>
    <row r="970" spans="1:9" ht="18.75" customHeight="1" x14ac:dyDescent="0.4">
      <c r="A970" s="14" t="s">
        <v>3510</v>
      </c>
      <c r="B970" s="16" t="str">
        <f>TRIM("難波宮跡公園")</f>
        <v>難波宮跡公園</v>
      </c>
      <c r="C970" s="14" t="s">
        <v>1518</v>
      </c>
      <c r="D970" s="14" t="s">
        <v>18</v>
      </c>
      <c r="E970" s="1">
        <v>15486.04</v>
      </c>
      <c r="F970" s="2"/>
      <c r="G970" s="1"/>
      <c r="H970" s="3"/>
      <c r="I970" s="14" t="s">
        <v>2177</v>
      </c>
    </row>
    <row r="971" spans="1:9" ht="18.75" customHeight="1" x14ac:dyDescent="0.4">
      <c r="A971" s="14" t="s">
        <v>7028</v>
      </c>
      <c r="B971" s="16" t="str">
        <f>TRIM("史跡難波宮跡")</f>
        <v>史跡難波宮跡</v>
      </c>
      <c r="C971" s="14" t="s">
        <v>1518</v>
      </c>
      <c r="D971" s="14" t="s">
        <v>18</v>
      </c>
      <c r="E971" s="1">
        <v>996.86</v>
      </c>
      <c r="F971" s="2"/>
      <c r="G971" s="1"/>
      <c r="H971" s="3"/>
      <c r="I971" s="14" t="s">
        <v>4115</v>
      </c>
    </row>
    <row r="972" spans="1:9" ht="18.75" customHeight="1" x14ac:dyDescent="0.4">
      <c r="A972" s="14" t="s">
        <v>5048</v>
      </c>
      <c r="B972" s="16" t="str">
        <f>TRIM("南小学校")</f>
        <v>南小学校</v>
      </c>
      <c r="C972" s="14" t="s">
        <v>1518</v>
      </c>
      <c r="D972" s="14" t="s">
        <v>131</v>
      </c>
      <c r="E972" s="1">
        <v>4952.34</v>
      </c>
      <c r="F972" s="2"/>
      <c r="G972" s="1">
        <v>5446.69</v>
      </c>
      <c r="H972" s="3"/>
      <c r="I972" s="14" t="s">
        <v>4689</v>
      </c>
    </row>
    <row r="973" spans="1:9" ht="18.75" customHeight="1" x14ac:dyDescent="0.4">
      <c r="A973" s="14" t="s">
        <v>5367</v>
      </c>
      <c r="B973" s="16" t="str">
        <f>TRIM("もと下付下水（中央）")</f>
        <v>もと下付下水（中央）</v>
      </c>
      <c r="C973" s="14" t="s">
        <v>1518</v>
      </c>
      <c r="D973" s="14" t="s">
        <v>131</v>
      </c>
      <c r="E973" s="1">
        <v>38.54</v>
      </c>
      <c r="F973" s="2"/>
      <c r="G973" s="1"/>
      <c r="H973" s="3"/>
      <c r="I973" s="14" t="s">
        <v>5349</v>
      </c>
    </row>
    <row r="974" spans="1:9" ht="18.75" customHeight="1" x14ac:dyDescent="0.4">
      <c r="A974" s="14" t="s">
        <v>5527</v>
      </c>
      <c r="B974" s="16" t="str">
        <f>TRIM("南警察署")</f>
        <v>南警察署</v>
      </c>
      <c r="C974" s="14" t="s">
        <v>1518</v>
      </c>
      <c r="D974" s="14" t="s">
        <v>131</v>
      </c>
      <c r="E974" s="1">
        <v>2237.81</v>
      </c>
      <c r="F974" s="2"/>
      <c r="G974" s="1"/>
      <c r="H974" s="3"/>
      <c r="I974" s="14" t="s">
        <v>5349</v>
      </c>
    </row>
    <row r="975" spans="1:9" ht="18.75" customHeight="1" x14ac:dyDescent="0.4">
      <c r="A975" s="14" t="s">
        <v>5519</v>
      </c>
      <c r="B975" s="16" t="str">
        <f>TRIM("もと東署平野町交番")</f>
        <v>もと東署平野町交番</v>
      </c>
      <c r="C975" s="14" t="s">
        <v>1518</v>
      </c>
      <c r="D975" s="14" t="s">
        <v>247</v>
      </c>
      <c r="E975" s="1">
        <v>7.5</v>
      </c>
      <c r="F975" s="2"/>
      <c r="G975" s="1"/>
      <c r="H975" s="3"/>
      <c r="I975" s="14" t="s">
        <v>5349</v>
      </c>
    </row>
    <row r="976" spans="1:9" ht="18.75" customHeight="1" x14ac:dyDescent="0.4">
      <c r="A976" s="14" t="s">
        <v>2386</v>
      </c>
      <c r="B976" s="16" t="str">
        <f>TRIM("法円坂駐車場")</f>
        <v>法円坂駐車場</v>
      </c>
      <c r="C976" s="14" t="s">
        <v>1518</v>
      </c>
      <c r="D976" s="14" t="s">
        <v>1477</v>
      </c>
      <c r="E976" s="1"/>
      <c r="F976" s="2"/>
      <c r="G976" s="1">
        <v>9663.85</v>
      </c>
      <c r="H976" s="3"/>
      <c r="I976" s="14" t="s">
        <v>2177</v>
      </c>
    </row>
    <row r="977" spans="1:9" ht="18.75" customHeight="1" x14ac:dyDescent="0.4">
      <c r="A977" s="14" t="s">
        <v>7025</v>
      </c>
      <c r="B977" s="16" t="str">
        <f>TRIM("難波宮跡")</f>
        <v>難波宮跡</v>
      </c>
      <c r="C977" s="14" t="s">
        <v>1518</v>
      </c>
      <c r="D977" s="14" t="s">
        <v>15</v>
      </c>
      <c r="E977" s="1">
        <v>36211.660000000003</v>
      </c>
      <c r="F977" s="2"/>
      <c r="G977" s="1">
        <v>27</v>
      </c>
      <c r="H977" s="3"/>
      <c r="I977" s="14" t="s">
        <v>4115</v>
      </c>
    </row>
    <row r="978" spans="1:9" ht="18.75" customHeight="1" x14ac:dyDescent="0.4">
      <c r="A978" s="14" t="s">
        <v>7022</v>
      </c>
      <c r="B978" s="16" t="str">
        <f>TRIM("史跡難波宮跡整備事業")</f>
        <v>史跡難波宮跡整備事業</v>
      </c>
      <c r="C978" s="14" t="s">
        <v>1518</v>
      </c>
      <c r="D978" s="14" t="s">
        <v>15</v>
      </c>
      <c r="E978" s="1">
        <v>16114.27</v>
      </c>
      <c r="F978" s="2"/>
      <c r="G978" s="1"/>
      <c r="H978" s="3"/>
      <c r="I978" s="14" t="s">
        <v>4115</v>
      </c>
    </row>
    <row r="979" spans="1:9" ht="18.75" customHeight="1" x14ac:dyDescent="0.4">
      <c r="A979" s="14" t="s">
        <v>7026</v>
      </c>
      <c r="B979" s="16" t="str">
        <f>TRIM("難波宮跡公園")</f>
        <v>難波宮跡公園</v>
      </c>
      <c r="C979" s="14" t="s">
        <v>1518</v>
      </c>
      <c r="D979" s="14" t="s">
        <v>15</v>
      </c>
      <c r="E979" s="1">
        <v>10128.58</v>
      </c>
      <c r="F979" s="2"/>
      <c r="G979" s="1"/>
      <c r="H979" s="3"/>
      <c r="I979" s="14" t="s">
        <v>4115</v>
      </c>
    </row>
    <row r="980" spans="1:9" ht="18.75" customHeight="1" x14ac:dyDescent="0.4">
      <c r="A980" s="14" t="s">
        <v>7027</v>
      </c>
      <c r="B980" s="16" t="str">
        <f>TRIM("難波宮跡公園　")</f>
        <v>難波宮跡公園</v>
      </c>
      <c r="C980" s="14" t="s">
        <v>1518</v>
      </c>
      <c r="D980" s="14" t="s">
        <v>15</v>
      </c>
      <c r="E980" s="1">
        <v>11081.84</v>
      </c>
      <c r="F980" s="2"/>
      <c r="G980" s="1"/>
      <c r="H980" s="3"/>
      <c r="I980" s="14" t="s">
        <v>4115</v>
      </c>
    </row>
    <row r="981" spans="1:9" ht="18.75" customHeight="1" x14ac:dyDescent="0.4">
      <c r="A981" s="14" t="s">
        <v>7030</v>
      </c>
      <c r="B981" s="16" t="str">
        <f>TRIM("史跡難波宮跡")</f>
        <v>史跡難波宮跡</v>
      </c>
      <c r="C981" s="14" t="s">
        <v>1518</v>
      </c>
      <c r="D981" s="14" t="s">
        <v>15</v>
      </c>
      <c r="E981" s="1">
        <v>15000.04</v>
      </c>
      <c r="F981" s="2"/>
      <c r="G981" s="1"/>
      <c r="H981" s="3"/>
      <c r="I981" s="14" t="s">
        <v>4115</v>
      </c>
    </row>
    <row r="982" spans="1:9" ht="18.75" customHeight="1" x14ac:dyDescent="0.4">
      <c r="A982" s="14" t="s">
        <v>2239</v>
      </c>
      <c r="B982" s="16" t="str">
        <f>TRIM("赤川天王寺線（中央）（管財課）")</f>
        <v>赤川天王寺線（中央）（管財課）</v>
      </c>
      <c r="C982" s="14" t="s">
        <v>1518</v>
      </c>
      <c r="D982" s="14" t="s">
        <v>923</v>
      </c>
      <c r="E982" s="1">
        <v>1159.8499999999999</v>
      </c>
      <c r="F982" s="2"/>
      <c r="G982" s="1"/>
      <c r="H982" s="3"/>
      <c r="I982" s="14" t="s">
        <v>2177</v>
      </c>
    </row>
    <row r="983" spans="1:9" ht="18.75" customHeight="1" x14ac:dyDescent="0.4">
      <c r="A983" s="14" t="s">
        <v>2453</v>
      </c>
      <c r="B983" s="16" t="str">
        <f>TRIM("東野田河堀口線（法円坂）")</f>
        <v>東野田河堀口線（法円坂）</v>
      </c>
      <c r="C983" s="14" t="s">
        <v>1518</v>
      </c>
      <c r="D983" s="14" t="s">
        <v>923</v>
      </c>
      <c r="E983" s="1">
        <v>41.42</v>
      </c>
      <c r="F983" s="2"/>
      <c r="G983" s="1"/>
      <c r="H983" s="3"/>
      <c r="I983" s="14" t="s">
        <v>2177</v>
      </c>
    </row>
    <row r="984" spans="1:9" ht="18.75" customHeight="1" x14ac:dyDescent="0.4">
      <c r="A984" s="14" t="s">
        <v>7091</v>
      </c>
      <c r="B984" s="16" t="str">
        <f>TRIM("大阪産業創造館")</f>
        <v>大阪産業創造館</v>
      </c>
      <c r="C984" s="14" t="s">
        <v>1518</v>
      </c>
      <c r="D984" s="14" t="s">
        <v>70</v>
      </c>
      <c r="E984" s="1">
        <v>2492.75</v>
      </c>
      <c r="F984" s="2"/>
      <c r="G984" s="1">
        <v>21548.94</v>
      </c>
      <c r="H984" s="3"/>
      <c r="I984" s="14" t="s">
        <v>4115</v>
      </c>
    </row>
    <row r="985" spans="1:9" ht="18.75" customHeight="1" x14ac:dyDescent="0.4">
      <c r="A985" s="14" t="s">
        <v>2357</v>
      </c>
      <c r="B985" s="16" t="str">
        <f>TRIM("もと軌道敷(堺筋線)")</f>
        <v>もと軌道敷(堺筋線)</v>
      </c>
      <c r="C985" s="14" t="s">
        <v>1518</v>
      </c>
      <c r="D985" s="14" t="s">
        <v>70</v>
      </c>
      <c r="E985" s="1">
        <v>49334.83</v>
      </c>
      <c r="F985" s="2"/>
      <c r="G985" s="1"/>
      <c r="H985" s="3"/>
      <c r="I985" s="14" t="s">
        <v>2177</v>
      </c>
    </row>
    <row r="986" spans="1:9" ht="18.75" customHeight="1" x14ac:dyDescent="0.4">
      <c r="A986" s="14" t="s">
        <v>4392</v>
      </c>
      <c r="B986" s="16" t="str">
        <f>TRIM("開平校下東地域会館")</f>
        <v>開平校下東地域会館</v>
      </c>
      <c r="C986" s="14" t="s">
        <v>1518</v>
      </c>
      <c r="D986" s="14" t="s">
        <v>70</v>
      </c>
      <c r="E986" s="1"/>
      <c r="F986" s="2"/>
      <c r="G986" s="1">
        <v>211.4</v>
      </c>
      <c r="H986" s="3"/>
      <c r="I986" s="14" t="s">
        <v>2011</v>
      </c>
    </row>
    <row r="987" spans="1:9" ht="18.75" customHeight="1" x14ac:dyDescent="0.4">
      <c r="A987" s="14" t="s">
        <v>5348</v>
      </c>
      <c r="B987" s="16" t="str">
        <f>TRIM("契約管財局事務室")</f>
        <v>契約管財局事務室</v>
      </c>
      <c r="C987" s="14" t="s">
        <v>1518</v>
      </c>
      <c r="D987" s="14" t="s">
        <v>70</v>
      </c>
      <c r="E987" s="1"/>
      <c r="F987" s="2"/>
      <c r="G987" s="1">
        <v>2067.2600000000002</v>
      </c>
      <c r="H987" s="3"/>
      <c r="I987" s="14" t="s">
        <v>5349</v>
      </c>
    </row>
    <row r="988" spans="1:9" ht="18.75" customHeight="1" x14ac:dyDescent="0.4">
      <c r="A988" s="14" t="s">
        <v>2042</v>
      </c>
      <c r="B988" s="16" t="str">
        <f>TRIM("愛日会館")</f>
        <v>愛日会館</v>
      </c>
      <c r="C988" s="14" t="s">
        <v>1518</v>
      </c>
      <c r="D988" s="14" t="s">
        <v>911</v>
      </c>
      <c r="E988" s="1">
        <v>285</v>
      </c>
      <c r="F988" s="2"/>
      <c r="G988" s="1"/>
      <c r="H988" s="3"/>
      <c r="I988" s="14" t="s">
        <v>2011</v>
      </c>
    </row>
    <row r="989" spans="1:9" ht="18.75" customHeight="1" x14ac:dyDescent="0.4">
      <c r="A989" s="14" t="s">
        <v>2211</v>
      </c>
      <c r="B989" s="16" t="str">
        <f>TRIM("国道１７２号（中央）（管財課）")</f>
        <v>国道１７２号（中央）（管財課）</v>
      </c>
      <c r="C989" s="14" t="s">
        <v>1518</v>
      </c>
      <c r="D989" s="14" t="s">
        <v>911</v>
      </c>
      <c r="E989" s="1">
        <v>154.83000000000001</v>
      </c>
      <c r="F989" s="2"/>
      <c r="G989" s="1"/>
      <c r="H989" s="3"/>
      <c r="I989" s="14" t="s">
        <v>2177</v>
      </c>
    </row>
    <row r="990" spans="1:9" ht="18.75" customHeight="1" x14ac:dyDescent="0.4">
      <c r="A990" s="14" t="s">
        <v>2241</v>
      </c>
      <c r="B990" s="16" t="str">
        <f>TRIM("疎開跡地（中央区本町）")</f>
        <v>疎開跡地（中央区本町）</v>
      </c>
      <c r="C990" s="14" t="s">
        <v>1518</v>
      </c>
      <c r="D990" s="14" t="s">
        <v>911</v>
      </c>
      <c r="E990" s="1">
        <v>26.22</v>
      </c>
      <c r="F990" s="2"/>
      <c r="G990" s="1"/>
      <c r="H990" s="3"/>
      <c r="I990" s="14" t="s">
        <v>2177</v>
      </c>
    </row>
    <row r="991" spans="1:9" ht="18.75" customHeight="1" x14ac:dyDescent="0.4">
      <c r="A991" s="14" t="s">
        <v>3131</v>
      </c>
      <c r="B991" s="16" t="str">
        <f>TRIM("　東横堀公園")</f>
        <v>東横堀公園</v>
      </c>
      <c r="C991" s="14" t="s">
        <v>1518</v>
      </c>
      <c r="D991" s="14" t="s">
        <v>1186</v>
      </c>
      <c r="E991" s="1">
        <v>1116.93</v>
      </c>
      <c r="F991" s="2"/>
      <c r="G991" s="1"/>
      <c r="H991" s="3"/>
      <c r="I991" s="14" t="s">
        <v>2177</v>
      </c>
    </row>
    <row r="992" spans="1:9" ht="18.75" customHeight="1" x14ac:dyDescent="0.4">
      <c r="A992" s="14" t="s">
        <v>6052</v>
      </c>
      <c r="B992" s="16" t="str">
        <f>TRIM("　もと瓦屋詰所")</f>
        <v>もと瓦屋詰所</v>
      </c>
      <c r="C992" s="14" t="s">
        <v>1518</v>
      </c>
      <c r="D992" s="14" t="s">
        <v>675</v>
      </c>
      <c r="E992" s="1">
        <v>35.17</v>
      </c>
      <c r="F992" s="2"/>
      <c r="G992" s="1"/>
      <c r="H992" s="3"/>
      <c r="I992" s="14" t="s">
        <v>5977</v>
      </c>
    </row>
    <row r="993" spans="1:9" ht="18.75" customHeight="1" x14ac:dyDescent="0.4">
      <c r="A993" s="14" t="s">
        <v>5373</v>
      </c>
      <c r="B993" s="16" t="str">
        <f>TRIM("もと共同物揚場（中央）")</f>
        <v>もと共同物揚場（中央）</v>
      </c>
      <c r="C993" s="14" t="s">
        <v>1518</v>
      </c>
      <c r="D993" s="14" t="s">
        <v>136</v>
      </c>
      <c r="E993" s="1">
        <v>135.77000000000001</v>
      </c>
      <c r="F993" s="2">
        <v>91</v>
      </c>
      <c r="G993" s="1"/>
      <c r="H993" s="3"/>
      <c r="I993" s="14" t="s">
        <v>5349</v>
      </c>
    </row>
    <row r="994" spans="1:9" ht="18.75" customHeight="1" x14ac:dyDescent="0.4">
      <c r="A994" s="14" t="s">
        <v>2291</v>
      </c>
      <c r="B994" s="16" t="str">
        <f>TRIM("天神橋天王寺線（中央）（管財課）")</f>
        <v>天神橋天王寺線（中央）（管財課）</v>
      </c>
      <c r="C994" s="14" t="s">
        <v>1518</v>
      </c>
      <c r="D994" s="14" t="s">
        <v>136</v>
      </c>
      <c r="E994" s="1">
        <v>26252.69</v>
      </c>
      <c r="F994" s="2"/>
      <c r="G994" s="1"/>
      <c r="H994" s="3"/>
      <c r="I994" s="14" t="s">
        <v>2177</v>
      </c>
    </row>
    <row r="995" spans="1:9" ht="18.75" customHeight="1" x14ac:dyDescent="0.4">
      <c r="A995" s="14" t="s">
        <v>5518</v>
      </c>
      <c r="B995" s="16" t="str">
        <f>TRIM("東署南久宝寺交番")</f>
        <v>東署南久宝寺交番</v>
      </c>
      <c r="C995" s="14" t="s">
        <v>1518</v>
      </c>
      <c r="D995" s="14" t="s">
        <v>246</v>
      </c>
      <c r="E995" s="1">
        <v>7.85</v>
      </c>
      <c r="F995" s="2"/>
      <c r="G995" s="1"/>
      <c r="H995" s="3"/>
      <c r="I995" s="14" t="s">
        <v>5349</v>
      </c>
    </row>
    <row r="996" spans="1:9" ht="18.75" customHeight="1" x14ac:dyDescent="0.4">
      <c r="A996" s="14" t="s">
        <v>2384</v>
      </c>
      <c r="B996" s="16" t="str">
        <f>TRIM("西横堀駐車場")</f>
        <v>西横堀駐車場</v>
      </c>
      <c r="C996" s="14" t="s">
        <v>1518</v>
      </c>
      <c r="D996" s="14" t="s">
        <v>983</v>
      </c>
      <c r="E996" s="1">
        <v>45106.75</v>
      </c>
      <c r="F996" s="2"/>
      <c r="G996" s="1">
        <v>4237.47</v>
      </c>
      <c r="H996" s="3"/>
      <c r="I996" s="14" t="s">
        <v>2177</v>
      </c>
    </row>
    <row r="997" spans="1:9" ht="18.75" customHeight="1" x14ac:dyDescent="0.4">
      <c r="A997" s="14" t="s">
        <v>2215</v>
      </c>
      <c r="B997" s="16" t="str">
        <f>TRIM("国道３０８号（中央）（管財課）")</f>
        <v>国道３０８号（中央）（管財課）</v>
      </c>
      <c r="C997" s="14" t="s">
        <v>1518</v>
      </c>
      <c r="D997" s="14" t="s">
        <v>215</v>
      </c>
      <c r="E997" s="1">
        <v>32731.37</v>
      </c>
      <c r="F997" s="2"/>
      <c r="G997" s="1"/>
      <c r="H997" s="3"/>
      <c r="I997" s="14" t="s">
        <v>2177</v>
      </c>
    </row>
    <row r="998" spans="1:9" ht="18.75" customHeight="1" x14ac:dyDescent="0.4">
      <c r="A998" s="14" t="s">
        <v>2400</v>
      </c>
      <c r="B998" s="16" t="str">
        <f>TRIM("東長堀バス駐車場")</f>
        <v>東長堀バス駐車場</v>
      </c>
      <c r="C998" s="14" t="s">
        <v>1518</v>
      </c>
      <c r="D998" s="14" t="s">
        <v>215</v>
      </c>
      <c r="E998" s="1"/>
      <c r="F998" s="2"/>
      <c r="G998" s="1">
        <v>99</v>
      </c>
      <c r="H998" s="3"/>
      <c r="I998" s="14" t="s">
        <v>2177</v>
      </c>
    </row>
    <row r="999" spans="1:9" ht="18.75" customHeight="1" x14ac:dyDescent="0.4">
      <c r="A999" s="14" t="s">
        <v>2499</v>
      </c>
      <c r="B999" s="16" t="str">
        <f>TRIM("東横堀川埋立地（中央）")</f>
        <v>東横堀川埋立地（中央）</v>
      </c>
      <c r="C999" s="14" t="s">
        <v>1518</v>
      </c>
      <c r="D999" s="14" t="s">
        <v>215</v>
      </c>
      <c r="E999" s="1">
        <v>9.85</v>
      </c>
      <c r="F999" s="2"/>
      <c r="G999" s="1"/>
      <c r="H999" s="3"/>
      <c r="I999" s="14" t="s">
        <v>2177</v>
      </c>
    </row>
    <row r="1000" spans="1:9" ht="18.75" customHeight="1" x14ac:dyDescent="0.4">
      <c r="A1000" s="14" t="s">
        <v>5044</v>
      </c>
      <c r="B1000" s="16" t="str">
        <f>TRIM("もと南高等学校第2運動場")</f>
        <v>もと南高等学校第2運動場</v>
      </c>
      <c r="C1000" s="14" t="s">
        <v>1518</v>
      </c>
      <c r="D1000" s="14" t="s">
        <v>215</v>
      </c>
      <c r="E1000" s="1">
        <v>4210.6099999999997</v>
      </c>
      <c r="F1000" s="2"/>
      <c r="G1000" s="1"/>
      <c r="H1000" s="3"/>
      <c r="I1000" s="14" t="s">
        <v>4689</v>
      </c>
    </row>
    <row r="1001" spans="1:9" ht="18.75" customHeight="1" x14ac:dyDescent="0.4">
      <c r="A1001" s="14" t="s">
        <v>5478</v>
      </c>
      <c r="B1001" s="16" t="str">
        <f>TRIM("契約管財局賃貸地（中央）")</f>
        <v>契約管財局賃貸地（中央）</v>
      </c>
      <c r="C1001" s="14" t="s">
        <v>1518</v>
      </c>
      <c r="D1001" s="14" t="s">
        <v>215</v>
      </c>
      <c r="E1001" s="1">
        <v>85.84</v>
      </c>
      <c r="F1001" s="2"/>
      <c r="G1001" s="1"/>
      <c r="H1001" s="3"/>
      <c r="I1001" s="14" t="s">
        <v>5349</v>
      </c>
    </row>
    <row r="1002" spans="1:9" ht="18.75" customHeight="1" x14ac:dyDescent="0.4">
      <c r="A1002" s="14" t="s">
        <v>2390</v>
      </c>
      <c r="B1002" s="16" t="str">
        <f>TRIM("長堀通地下Ⅱ駐車場")</f>
        <v>長堀通地下Ⅱ駐車場</v>
      </c>
      <c r="C1002" s="14" t="s">
        <v>1518</v>
      </c>
      <c r="D1002" s="14" t="s">
        <v>1478</v>
      </c>
      <c r="E1002" s="1"/>
      <c r="F1002" s="2"/>
      <c r="G1002" s="1">
        <v>8469.01</v>
      </c>
      <c r="H1002" s="3"/>
      <c r="I1002" s="14" t="s">
        <v>2177</v>
      </c>
    </row>
    <row r="1003" spans="1:9" ht="18.75" customHeight="1" x14ac:dyDescent="0.4">
      <c r="A1003" s="14" t="s">
        <v>2391</v>
      </c>
      <c r="B1003" s="16" t="str">
        <f>TRIM("東長堀駐車場")</f>
        <v>東長堀駐車場</v>
      </c>
      <c r="C1003" s="14" t="s">
        <v>1518</v>
      </c>
      <c r="D1003" s="14" t="s">
        <v>1478</v>
      </c>
      <c r="E1003" s="1"/>
      <c r="F1003" s="2"/>
      <c r="G1003" s="1">
        <v>11725.12</v>
      </c>
      <c r="H1003" s="3"/>
      <c r="I1003" s="14" t="s">
        <v>2177</v>
      </c>
    </row>
    <row r="1004" spans="1:9" ht="18.75" customHeight="1" x14ac:dyDescent="0.4">
      <c r="A1004" s="14" t="s">
        <v>2395</v>
      </c>
      <c r="B1004" s="16" t="str">
        <f>TRIM("長堀通地下Ⅰ駐車場")</f>
        <v>長堀通地下Ⅰ駐車場</v>
      </c>
      <c r="C1004" s="14" t="s">
        <v>1518</v>
      </c>
      <c r="D1004" s="14" t="s">
        <v>1478</v>
      </c>
      <c r="E1004" s="1"/>
      <c r="F1004" s="2"/>
      <c r="G1004" s="1">
        <v>19630</v>
      </c>
      <c r="H1004" s="3"/>
      <c r="I1004" s="14" t="s">
        <v>2177</v>
      </c>
    </row>
    <row r="1005" spans="1:9" ht="18.75" customHeight="1" x14ac:dyDescent="0.4">
      <c r="A1005" s="14" t="s">
        <v>4696</v>
      </c>
      <c r="B1005" s="16" t="str">
        <f>TRIM("もと芦池小学校")</f>
        <v>もと芦池小学校</v>
      </c>
      <c r="C1005" s="14" t="s">
        <v>1518</v>
      </c>
      <c r="D1005" s="14" t="s">
        <v>518</v>
      </c>
      <c r="E1005" s="1">
        <v>2801.78</v>
      </c>
      <c r="F1005" s="2">
        <v>92</v>
      </c>
      <c r="G1005" s="1"/>
      <c r="H1005" s="3"/>
      <c r="I1005" s="14" t="s">
        <v>4689</v>
      </c>
    </row>
    <row r="1006" spans="1:9" ht="18.75" customHeight="1" x14ac:dyDescent="0.4">
      <c r="A1006" s="14" t="s">
        <v>5814</v>
      </c>
      <c r="B1006" s="16" t="str">
        <f>TRIM("南幼稚園")</f>
        <v>南幼稚園</v>
      </c>
      <c r="C1006" s="14" t="s">
        <v>1518</v>
      </c>
      <c r="D1006" s="14" t="s">
        <v>518</v>
      </c>
      <c r="E1006" s="1">
        <v>918.34</v>
      </c>
      <c r="F1006" s="2"/>
      <c r="G1006" s="1">
        <v>585.84</v>
      </c>
      <c r="H1006" s="3"/>
      <c r="I1006" s="14" t="s">
        <v>5617</v>
      </c>
    </row>
    <row r="1007" spans="1:9" ht="18.75" customHeight="1" x14ac:dyDescent="0.4">
      <c r="A1007" s="14" t="s">
        <v>4399</v>
      </c>
      <c r="B1007" s="16" t="str">
        <f>TRIM("南船場会館")</f>
        <v>南船場会館</v>
      </c>
      <c r="C1007" s="14" t="s">
        <v>1518</v>
      </c>
      <c r="D1007" s="14" t="s">
        <v>518</v>
      </c>
      <c r="E1007" s="1">
        <v>199.9</v>
      </c>
      <c r="F1007" s="2"/>
      <c r="G1007" s="1"/>
      <c r="H1007" s="3"/>
      <c r="I1007" s="14" t="s">
        <v>2011</v>
      </c>
    </row>
    <row r="1008" spans="1:9" ht="18.75" customHeight="1" x14ac:dyDescent="0.4">
      <c r="A1008" s="14" t="s">
        <v>5495</v>
      </c>
      <c r="B1008" s="16" t="str">
        <f>TRIM("西横堀川埋立地（中央）")</f>
        <v>西横堀川埋立地（中央）</v>
      </c>
      <c r="C1008" s="14" t="s">
        <v>1518</v>
      </c>
      <c r="D1008" s="14" t="s">
        <v>230</v>
      </c>
      <c r="E1008" s="1">
        <v>52.41</v>
      </c>
      <c r="F1008" s="2"/>
      <c r="G1008" s="1"/>
      <c r="H1008" s="3"/>
      <c r="I1008" s="14" t="s">
        <v>5349</v>
      </c>
    </row>
    <row r="1009" spans="1:9" ht="18.75" customHeight="1" x14ac:dyDescent="0.4">
      <c r="A1009" s="14" t="s">
        <v>5515</v>
      </c>
      <c r="B1009" s="16" t="str">
        <f>TRIM("東警察署")</f>
        <v>東警察署</v>
      </c>
      <c r="C1009" s="14" t="s">
        <v>1518</v>
      </c>
      <c r="D1009" s="14" t="s">
        <v>243</v>
      </c>
      <c r="E1009" s="1">
        <v>2102.15</v>
      </c>
      <c r="F1009" s="2"/>
      <c r="G1009" s="1"/>
      <c r="H1009" s="3"/>
      <c r="I1009" s="14" t="s">
        <v>5349</v>
      </c>
    </row>
    <row r="1010" spans="1:9" ht="18.75" customHeight="1" x14ac:dyDescent="0.4">
      <c r="A1010" s="14" t="s">
        <v>5707</v>
      </c>
      <c r="B1010" s="16" t="str">
        <f>TRIM("中央こども相談センター分館")</f>
        <v>中央こども相談センター分館</v>
      </c>
      <c r="C1010" s="14" t="s">
        <v>1518</v>
      </c>
      <c r="D1010" s="14" t="s">
        <v>483</v>
      </c>
      <c r="E1010" s="1">
        <v>3870.85</v>
      </c>
      <c r="F1010" s="2"/>
      <c r="G1010" s="1">
        <v>8499.67</v>
      </c>
      <c r="H1010" s="3"/>
      <c r="I1010" s="14" t="s">
        <v>5617</v>
      </c>
    </row>
    <row r="1011" spans="1:9" ht="18.75" customHeight="1" x14ac:dyDescent="0.4">
      <c r="A1011" s="14" t="s">
        <v>2829</v>
      </c>
      <c r="B1011" s="16" t="str">
        <f>TRIM("　城南公園")</f>
        <v>城南公園</v>
      </c>
      <c r="C1011" s="14" t="s">
        <v>1518</v>
      </c>
      <c r="D1011" s="14" t="s">
        <v>483</v>
      </c>
      <c r="E1011" s="1">
        <v>5547.37</v>
      </c>
      <c r="F1011" s="2"/>
      <c r="G1011" s="1"/>
      <c r="H1011" s="3"/>
      <c r="I1011" s="14" t="s">
        <v>2177</v>
      </c>
    </row>
    <row r="1012" spans="1:9" ht="18.75" customHeight="1" x14ac:dyDescent="0.4">
      <c r="A1012" s="14" t="s">
        <v>2869</v>
      </c>
      <c r="B1012" s="16" t="str">
        <f>TRIM("　森之宮公園")</f>
        <v>森之宮公園</v>
      </c>
      <c r="C1012" s="14" t="s">
        <v>1518</v>
      </c>
      <c r="D1012" s="14" t="s">
        <v>483</v>
      </c>
      <c r="E1012" s="1">
        <v>2378.8000000000002</v>
      </c>
      <c r="F1012" s="2"/>
      <c r="G1012" s="1"/>
      <c r="H1012" s="3"/>
      <c r="I1012" s="14" t="s">
        <v>2177</v>
      </c>
    </row>
    <row r="1013" spans="1:9" ht="18.75" customHeight="1" x14ac:dyDescent="0.4">
      <c r="A1013" s="14" t="s">
        <v>5645</v>
      </c>
      <c r="B1013" s="16" t="str">
        <f>TRIM("森ノ宮ピロティーホール")</f>
        <v>森ノ宮ピロティーホール</v>
      </c>
      <c r="C1013" s="14" t="s">
        <v>1518</v>
      </c>
      <c r="D1013" s="14" t="s">
        <v>483</v>
      </c>
      <c r="E1013" s="1">
        <v>2218.14</v>
      </c>
      <c r="F1013" s="2"/>
      <c r="G1013" s="1"/>
      <c r="H1013" s="3"/>
      <c r="I1013" s="14" t="s">
        <v>5617</v>
      </c>
    </row>
    <row r="1014" spans="1:9" ht="18.75" customHeight="1" x14ac:dyDescent="0.4">
      <c r="A1014" s="14" t="s">
        <v>5646</v>
      </c>
      <c r="B1014" s="16" t="str">
        <f>TRIM("森ノ宮ピロティホール")</f>
        <v>森ノ宮ピロティホール</v>
      </c>
      <c r="C1014" s="14" t="s">
        <v>1518</v>
      </c>
      <c r="D1014" s="14" t="s">
        <v>483</v>
      </c>
      <c r="E1014" s="1"/>
      <c r="F1014" s="2"/>
      <c r="G1014" s="1">
        <v>4870.6099999999997</v>
      </c>
      <c r="H1014" s="3"/>
      <c r="I1014" s="14" t="s">
        <v>5617</v>
      </c>
    </row>
    <row r="1015" spans="1:9" ht="18.75" customHeight="1" x14ac:dyDescent="0.4">
      <c r="A1015" s="14" t="s">
        <v>5772</v>
      </c>
      <c r="B1015" s="16" t="str">
        <f>TRIM("なにわのもり保育園")</f>
        <v>なにわのもり保育園</v>
      </c>
      <c r="C1015" s="14" t="s">
        <v>1518</v>
      </c>
      <c r="D1015" s="14" t="s">
        <v>483</v>
      </c>
      <c r="E1015" s="1">
        <v>1487</v>
      </c>
      <c r="F1015" s="2"/>
      <c r="G1015" s="1"/>
      <c r="H1015" s="3"/>
      <c r="I1015" s="14" t="s">
        <v>5617</v>
      </c>
    </row>
    <row r="1016" spans="1:9" ht="18.75" customHeight="1" x14ac:dyDescent="0.4">
      <c r="A1016" s="14" t="s">
        <v>2182</v>
      </c>
      <c r="B1016" s="16" t="str">
        <f>TRIM("安治川河底トンネル南岸事務所")</f>
        <v>安治川河底トンネル南岸事務所</v>
      </c>
      <c r="C1016" s="14" t="s">
        <v>1530</v>
      </c>
      <c r="D1016" s="14" t="s">
        <v>902</v>
      </c>
      <c r="E1016" s="1">
        <v>93.42</v>
      </c>
      <c r="F1016" s="2"/>
      <c r="G1016" s="1"/>
      <c r="H1016" s="3"/>
      <c r="I1016" s="14" t="s">
        <v>2177</v>
      </c>
    </row>
    <row r="1017" spans="1:9" ht="18.75" customHeight="1" x14ac:dyDescent="0.4">
      <c r="A1017" s="14" t="s">
        <v>2833</v>
      </c>
      <c r="B1017" s="16" t="str">
        <f>TRIM("　新阿波座公園")</f>
        <v>新阿波座公園</v>
      </c>
      <c r="C1017" s="14" t="s">
        <v>1530</v>
      </c>
      <c r="D1017" s="14" t="s">
        <v>41</v>
      </c>
      <c r="E1017" s="1">
        <v>2263.5700000000002</v>
      </c>
      <c r="F1017" s="2"/>
      <c r="G1017" s="1"/>
      <c r="H1017" s="3"/>
      <c r="I1017" s="14" t="s">
        <v>2177</v>
      </c>
    </row>
    <row r="1018" spans="1:9" ht="18.75" customHeight="1" x14ac:dyDescent="0.4">
      <c r="A1018" s="14" t="s">
        <v>7055</v>
      </c>
      <c r="B1018" s="16" t="str">
        <f>TRIM("船場小売市場民営活性化事業施設")</f>
        <v>船場小売市場民営活性化事業施設</v>
      </c>
      <c r="C1018" s="14" t="s">
        <v>1530</v>
      </c>
      <c r="D1018" s="14" t="s">
        <v>41</v>
      </c>
      <c r="E1018" s="1">
        <v>1939.51</v>
      </c>
      <c r="F1018" s="2"/>
      <c r="G1018" s="1"/>
      <c r="H1018" s="3"/>
      <c r="I1018" s="14" t="s">
        <v>4115</v>
      </c>
    </row>
    <row r="1019" spans="1:9" ht="18.75" customHeight="1" x14ac:dyDescent="0.4">
      <c r="A1019" s="14" t="s">
        <v>5118</v>
      </c>
      <c r="B1019" s="16" t="str">
        <f>TRIM("明治小学校")</f>
        <v>明治小学校</v>
      </c>
      <c r="C1019" s="14" t="s">
        <v>1530</v>
      </c>
      <c r="D1019" s="14" t="s">
        <v>1440</v>
      </c>
      <c r="E1019" s="1">
        <v>7335.43</v>
      </c>
      <c r="F1019" s="2"/>
      <c r="G1019" s="1">
        <v>6386.55</v>
      </c>
      <c r="H1019" s="3"/>
      <c r="I1019" s="14" t="s">
        <v>4689</v>
      </c>
    </row>
    <row r="1020" spans="1:9" ht="18.75" customHeight="1" x14ac:dyDescent="0.4">
      <c r="A1020" s="14" t="s">
        <v>1724</v>
      </c>
      <c r="B1020" s="16" t="str">
        <f>TRIM("障がい福祉サービス事業所　ふらっとめいじ")</f>
        <v>障がい福祉サービス事業所　ふらっとめいじ</v>
      </c>
      <c r="C1020" s="14" t="s">
        <v>1530</v>
      </c>
      <c r="D1020" s="14" t="s">
        <v>352</v>
      </c>
      <c r="E1020" s="1">
        <v>80.48</v>
      </c>
      <c r="F1020" s="2"/>
      <c r="G1020" s="1">
        <v>172.08</v>
      </c>
      <c r="H1020" s="3"/>
      <c r="I1020" s="14" t="s">
        <v>1654</v>
      </c>
    </row>
    <row r="1021" spans="1:9" ht="18.75" customHeight="1" x14ac:dyDescent="0.4">
      <c r="A1021" s="14" t="s">
        <v>2912</v>
      </c>
      <c r="B1021" s="16" t="str">
        <f>TRIM("　西横堀公園")</f>
        <v>西横堀公園</v>
      </c>
      <c r="C1021" s="14" t="s">
        <v>1530</v>
      </c>
      <c r="D1021" s="14" t="s">
        <v>352</v>
      </c>
      <c r="E1021" s="1">
        <v>4048.25</v>
      </c>
      <c r="F1021" s="2"/>
      <c r="G1021" s="1"/>
      <c r="H1021" s="3"/>
      <c r="I1021" s="14" t="s">
        <v>2177</v>
      </c>
    </row>
    <row r="1022" spans="1:9" ht="18.75" customHeight="1" x14ac:dyDescent="0.4">
      <c r="A1022" s="14" t="s">
        <v>2546</v>
      </c>
      <c r="B1022" s="16" t="str">
        <f>TRIM("　阿波座南公園")</f>
        <v>阿波座南公園</v>
      </c>
      <c r="C1022" s="14" t="s">
        <v>1530</v>
      </c>
      <c r="D1022" s="14" t="s">
        <v>996</v>
      </c>
      <c r="E1022" s="1">
        <v>5171.83</v>
      </c>
      <c r="F1022" s="2"/>
      <c r="G1022" s="1"/>
      <c r="H1022" s="3"/>
      <c r="I1022" s="14" t="s">
        <v>2177</v>
      </c>
    </row>
    <row r="1023" spans="1:9" ht="18.75" customHeight="1" x14ac:dyDescent="0.4">
      <c r="A1023" s="14" t="s">
        <v>5697</v>
      </c>
      <c r="B1023" s="16" t="str">
        <f>TRIM("児童院")</f>
        <v>児童院</v>
      </c>
      <c r="C1023" s="14" t="s">
        <v>1530</v>
      </c>
      <c r="D1023" s="14" t="s">
        <v>529</v>
      </c>
      <c r="E1023" s="1">
        <v>2625.28</v>
      </c>
      <c r="F1023" s="2"/>
      <c r="G1023" s="1">
        <v>3267.6</v>
      </c>
      <c r="H1023" s="3"/>
      <c r="I1023" s="14" t="s">
        <v>5617</v>
      </c>
    </row>
    <row r="1024" spans="1:9" ht="18.75" customHeight="1" x14ac:dyDescent="0.4">
      <c r="A1024" s="14" t="s">
        <v>1625</v>
      </c>
      <c r="B1024" s="16" t="str">
        <f>TRIM("大阪市人権啓発・相談センター")</f>
        <v>大阪市人権啓発・相談センター</v>
      </c>
      <c r="C1024" s="14" t="s">
        <v>1530</v>
      </c>
      <c r="D1024" s="14" t="s">
        <v>529</v>
      </c>
      <c r="E1024" s="1"/>
      <c r="F1024" s="2"/>
      <c r="G1024" s="1">
        <v>293.83</v>
      </c>
      <c r="H1024" s="3"/>
      <c r="I1024" s="14" t="s">
        <v>1598</v>
      </c>
    </row>
    <row r="1025" spans="1:9" ht="18.75" customHeight="1" x14ac:dyDescent="0.4">
      <c r="A1025" s="14" t="s">
        <v>1695</v>
      </c>
      <c r="B1025" s="16" t="str">
        <f>TRIM("緊急入院保護業務センター")</f>
        <v>緊急入院保護業務センター</v>
      </c>
      <c r="C1025" s="14" t="s">
        <v>1530</v>
      </c>
      <c r="D1025" s="14" t="s">
        <v>529</v>
      </c>
      <c r="E1025" s="1"/>
      <c r="F1025" s="2"/>
      <c r="G1025" s="1">
        <v>744.29</v>
      </c>
      <c r="H1025" s="3"/>
      <c r="I1025" s="14" t="s">
        <v>1654</v>
      </c>
    </row>
    <row r="1026" spans="1:9" ht="18.75" customHeight="1" x14ac:dyDescent="0.4">
      <c r="A1026" s="14" t="s">
        <v>1698</v>
      </c>
      <c r="B1026" s="16" t="str">
        <f>TRIM("野宿生活者巡回相談事業用事務室")</f>
        <v>野宿生活者巡回相談事業用事務室</v>
      </c>
      <c r="C1026" s="14" t="s">
        <v>1530</v>
      </c>
      <c r="D1026" s="14" t="s">
        <v>529</v>
      </c>
      <c r="E1026" s="1"/>
      <c r="F1026" s="2"/>
      <c r="G1026" s="1">
        <v>366.61</v>
      </c>
      <c r="H1026" s="3"/>
      <c r="I1026" s="14" t="s">
        <v>1654</v>
      </c>
    </row>
    <row r="1027" spans="1:9" ht="18.75" customHeight="1" x14ac:dyDescent="0.4">
      <c r="A1027" s="14" t="s">
        <v>1812</v>
      </c>
      <c r="B1027" s="16" t="str">
        <f>TRIM("大阪市シルバー人材センター西部支部事務所")</f>
        <v>大阪市シルバー人材センター西部支部事務所</v>
      </c>
      <c r="C1027" s="14" t="s">
        <v>1530</v>
      </c>
      <c r="D1027" s="14" t="s">
        <v>529</v>
      </c>
      <c r="E1027" s="1"/>
      <c r="F1027" s="2"/>
      <c r="G1027" s="1">
        <v>204.73</v>
      </c>
      <c r="H1027" s="3"/>
      <c r="I1027" s="14" t="s">
        <v>1654</v>
      </c>
    </row>
    <row r="1028" spans="1:9" ht="18.75" customHeight="1" x14ac:dyDescent="0.4">
      <c r="A1028" s="14" t="s">
        <v>2745</v>
      </c>
      <c r="B1028" s="16" t="str">
        <f>TRIM("　薩摩堀公園")</f>
        <v>薩摩堀公園</v>
      </c>
      <c r="C1028" s="14" t="s">
        <v>1530</v>
      </c>
      <c r="D1028" s="14" t="s">
        <v>529</v>
      </c>
      <c r="E1028" s="1">
        <v>2020.33</v>
      </c>
      <c r="F1028" s="2"/>
      <c r="G1028" s="1"/>
      <c r="H1028" s="3"/>
      <c r="I1028" s="14" t="s">
        <v>2177</v>
      </c>
    </row>
    <row r="1029" spans="1:9" ht="18.75" customHeight="1" x14ac:dyDescent="0.4">
      <c r="A1029" s="14" t="s">
        <v>3770</v>
      </c>
      <c r="B1029" s="16" t="str">
        <f>TRIM("阿波座駅自転車駐車場管理事務所")</f>
        <v>阿波座駅自転車駐車場管理事務所</v>
      </c>
      <c r="C1029" s="14" t="s">
        <v>1530</v>
      </c>
      <c r="D1029" s="14" t="s">
        <v>529</v>
      </c>
      <c r="E1029" s="1"/>
      <c r="F1029" s="2"/>
      <c r="G1029" s="1">
        <v>9.7200000000000006</v>
      </c>
      <c r="H1029" s="3"/>
      <c r="I1029" s="14" t="s">
        <v>2177</v>
      </c>
    </row>
    <row r="1030" spans="1:9" ht="18.75" customHeight="1" x14ac:dyDescent="0.4">
      <c r="A1030" s="14" t="s">
        <v>5618</v>
      </c>
      <c r="B1030" s="16" t="str">
        <f>TRIM("こども青少年局阿波座分室（阿波座センタービル）")</f>
        <v>こども青少年局阿波座分室（阿波座センタービル）</v>
      </c>
      <c r="C1030" s="14" t="s">
        <v>1530</v>
      </c>
      <c r="D1030" s="14" t="s">
        <v>529</v>
      </c>
      <c r="E1030" s="1"/>
      <c r="F1030" s="2"/>
      <c r="G1030" s="1">
        <v>1049.94</v>
      </c>
      <c r="H1030" s="3"/>
      <c r="I1030" s="14" t="s">
        <v>5617</v>
      </c>
    </row>
    <row r="1031" spans="1:9" ht="18.75" customHeight="1" x14ac:dyDescent="0.4">
      <c r="A1031" s="14" t="s">
        <v>7110</v>
      </c>
      <c r="B1031" s="16" t="str">
        <f>TRIM("西スポーツセンター")</f>
        <v>西スポーツセンター</v>
      </c>
      <c r="C1031" s="14" t="s">
        <v>1530</v>
      </c>
      <c r="D1031" s="14" t="s">
        <v>529</v>
      </c>
      <c r="E1031" s="1"/>
      <c r="F1031" s="2"/>
      <c r="G1031" s="1">
        <v>3170.75</v>
      </c>
      <c r="H1031" s="3"/>
      <c r="I1031" s="14" t="s">
        <v>4115</v>
      </c>
    </row>
    <row r="1032" spans="1:9" ht="18.75" customHeight="1" x14ac:dyDescent="0.4">
      <c r="A1032" s="14" t="s">
        <v>7156</v>
      </c>
      <c r="B1032" s="16" t="str">
        <f>TRIM("デジタル統括室分室")</f>
        <v>デジタル統括室分室</v>
      </c>
      <c r="C1032" s="14" t="s">
        <v>1530</v>
      </c>
      <c r="D1032" s="14" t="s">
        <v>529</v>
      </c>
      <c r="E1032" s="1"/>
      <c r="F1032" s="2"/>
      <c r="G1032" s="1">
        <v>3565.19</v>
      </c>
      <c r="H1032" s="3"/>
      <c r="I1032" s="14" t="s">
        <v>7157</v>
      </c>
    </row>
    <row r="1033" spans="1:9" ht="18.75" customHeight="1" x14ac:dyDescent="0.4">
      <c r="A1033" s="14" t="s">
        <v>3130</v>
      </c>
      <c r="B1033" s="16" t="str">
        <f>TRIM("　島津公園")</f>
        <v>島津公園</v>
      </c>
      <c r="C1033" s="14" t="s">
        <v>1530</v>
      </c>
      <c r="D1033" s="14" t="s">
        <v>1185</v>
      </c>
      <c r="E1033" s="1">
        <v>4734.57</v>
      </c>
      <c r="F1033" s="2"/>
      <c r="G1033" s="1"/>
      <c r="H1033" s="3"/>
      <c r="I1033" s="14" t="s">
        <v>2177</v>
      </c>
    </row>
    <row r="1034" spans="1:9" ht="18.75" customHeight="1" x14ac:dyDescent="0.4">
      <c r="A1034" s="14" t="s">
        <v>3642</v>
      </c>
      <c r="B1034" s="16" t="str">
        <f>TRIM("　島津公園")</f>
        <v>島津公園</v>
      </c>
      <c r="C1034" s="14" t="s">
        <v>1530</v>
      </c>
      <c r="D1034" s="14" t="s">
        <v>1185</v>
      </c>
      <c r="E1034" s="1"/>
      <c r="F1034" s="2"/>
      <c r="G1034" s="1">
        <v>6.17</v>
      </c>
      <c r="H1034" s="3"/>
      <c r="I1034" s="14" t="s">
        <v>2177</v>
      </c>
    </row>
    <row r="1035" spans="1:9" ht="18.75" customHeight="1" x14ac:dyDescent="0.4">
      <c r="A1035" s="14" t="s">
        <v>5497</v>
      </c>
      <c r="B1035" s="16" t="str">
        <f>TRIM("西署立売堀交番")</f>
        <v>西署立売堀交番</v>
      </c>
      <c r="C1035" s="14" t="s">
        <v>1530</v>
      </c>
      <c r="D1035" s="14" t="s">
        <v>232</v>
      </c>
      <c r="E1035" s="1">
        <v>59.99</v>
      </c>
      <c r="F1035" s="2"/>
      <c r="G1035" s="1"/>
      <c r="H1035" s="3"/>
      <c r="I1035" s="14" t="s">
        <v>5349</v>
      </c>
    </row>
    <row r="1036" spans="1:9" ht="18.75" customHeight="1" x14ac:dyDescent="0.4">
      <c r="A1036" s="14" t="s">
        <v>5795</v>
      </c>
      <c r="B1036" s="16" t="str">
        <f>TRIM("靭幼稚園")</f>
        <v>靭幼稚園</v>
      </c>
      <c r="C1036" s="14" t="s">
        <v>1530</v>
      </c>
      <c r="D1036" s="14" t="s">
        <v>280</v>
      </c>
      <c r="E1036" s="1">
        <v>2074.87</v>
      </c>
      <c r="F1036" s="2"/>
      <c r="G1036" s="1">
        <v>1841.9</v>
      </c>
      <c r="H1036" s="3"/>
      <c r="I1036" s="14" t="s">
        <v>5617</v>
      </c>
    </row>
    <row r="1037" spans="1:9" ht="18.75" customHeight="1" x14ac:dyDescent="0.4">
      <c r="A1037" s="14" t="s">
        <v>2388</v>
      </c>
      <c r="B1037" s="16" t="str">
        <f>TRIM("本町地下駐車場")</f>
        <v>本町地下駐車場</v>
      </c>
      <c r="C1037" s="14" t="s">
        <v>1530</v>
      </c>
      <c r="D1037" s="14" t="s">
        <v>280</v>
      </c>
      <c r="E1037" s="1"/>
      <c r="F1037" s="2"/>
      <c r="G1037" s="1">
        <v>2724.13</v>
      </c>
      <c r="H1037" s="3"/>
      <c r="I1037" s="14" t="s">
        <v>2177</v>
      </c>
    </row>
    <row r="1038" spans="1:9" ht="18.75" customHeight="1" x14ac:dyDescent="0.4">
      <c r="A1038" s="14" t="s">
        <v>2874</v>
      </c>
      <c r="B1038" s="16" t="str">
        <f>TRIM("　靭公園")</f>
        <v>靭公園</v>
      </c>
      <c r="C1038" s="14" t="s">
        <v>1530</v>
      </c>
      <c r="D1038" s="14" t="s">
        <v>280</v>
      </c>
      <c r="E1038" s="1">
        <v>96723.93</v>
      </c>
      <c r="F1038" s="2"/>
      <c r="G1038" s="1"/>
      <c r="H1038" s="3"/>
      <c r="I1038" s="14" t="s">
        <v>2177</v>
      </c>
    </row>
    <row r="1039" spans="1:9" ht="18.75" customHeight="1" x14ac:dyDescent="0.4">
      <c r="A1039" s="14" t="s">
        <v>3587</v>
      </c>
      <c r="B1039" s="16" t="str">
        <f>TRIM("　靭公園")</f>
        <v>靭公園</v>
      </c>
      <c r="C1039" s="14" t="s">
        <v>1530</v>
      </c>
      <c r="D1039" s="14" t="s">
        <v>280</v>
      </c>
      <c r="E1039" s="1"/>
      <c r="F1039" s="2"/>
      <c r="G1039" s="1">
        <v>565.69000000000005</v>
      </c>
      <c r="H1039" s="3"/>
      <c r="I1039" s="14" t="s">
        <v>2177</v>
      </c>
    </row>
    <row r="1040" spans="1:9" ht="18.75" customHeight="1" x14ac:dyDescent="0.4">
      <c r="A1040" s="14" t="s">
        <v>5563</v>
      </c>
      <c r="B1040" s="16" t="str">
        <f>TRIM("復興土地区画整理取得地")</f>
        <v>復興土地区画整理取得地</v>
      </c>
      <c r="C1040" s="14" t="s">
        <v>1530</v>
      </c>
      <c r="D1040" s="14" t="s">
        <v>280</v>
      </c>
      <c r="E1040" s="1">
        <v>17.350000000000001</v>
      </c>
      <c r="F1040" s="2"/>
      <c r="G1040" s="1"/>
      <c r="H1040" s="3"/>
      <c r="I1040" s="14" t="s">
        <v>5349</v>
      </c>
    </row>
    <row r="1041" spans="1:9" ht="18.75" customHeight="1" x14ac:dyDescent="0.4">
      <c r="A1041" s="14" t="s">
        <v>5715</v>
      </c>
      <c r="B1041" s="16" t="str">
        <f>TRIM("うつぼほんまち保育園")</f>
        <v>うつぼほんまち保育園</v>
      </c>
      <c r="C1041" s="14" t="s">
        <v>1530</v>
      </c>
      <c r="D1041" s="14" t="s">
        <v>280</v>
      </c>
      <c r="E1041" s="1"/>
      <c r="F1041" s="2"/>
      <c r="G1041" s="1">
        <v>338.21</v>
      </c>
      <c r="H1041" s="3"/>
      <c r="I1041" s="14" t="s">
        <v>5617</v>
      </c>
    </row>
    <row r="1042" spans="1:9" ht="18.75" customHeight="1" x14ac:dyDescent="0.4">
      <c r="A1042" s="14" t="s">
        <v>7155</v>
      </c>
      <c r="B1042" s="16" t="str">
        <f>TRIM("靭テニスセンター")</f>
        <v>靭テニスセンター</v>
      </c>
      <c r="C1042" s="14" t="s">
        <v>1530</v>
      </c>
      <c r="D1042" s="14" t="s">
        <v>280</v>
      </c>
      <c r="E1042" s="1"/>
      <c r="F1042" s="2"/>
      <c r="G1042" s="1">
        <v>9171.9500000000007</v>
      </c>
      <c r="H1042" s="3"/>
      <c r="I1042" s="14" t="s">
        <v>4115</v>
      </c>
    </row>
    <row r="1043" spans="1:9" ht="18.75" customHeight="1" x14ac:dyDescent="0.4">
      <c r="A1043" s="14" t="s">
        <v>2393</v>
      </c>
      <c r="B1043" s="16" t="str">
        <f>TRIM("靭地下駐車場")</f>
        <v>靭地下駐車場</v>
      </c>
      <c r="C1043" s="14" t="s">
        <v>1530</v>
      </c>
      <c r="D1043" s="14" t="s">
        <v>1479</v>
      </c>
      <c r="E1043" s="1"/>
      <c r="F1043" s="2"/>
      <c r="G1043" s="1">
        <v>8499.9</v>
      </c>
      <c r="H1043" s="3"/>
      <c r="I1043" s="14" t="s">
        <v>2177</v>
      </c>
    </row>
    <row r="1044" spans="1:9" ht="18.75" customHeight="1" x14ac:dyDescent="0.4">
      <c r="A1044" s="14" t="s">
        <v>1869</v>
      </c>
      <c r="B1044" s="16" t="str">
        <f>TRIM("軽費老人ホームコスモスガーデン")</f>
        <v>軽費老人ホームコスモスガーデン</v>
      </c>
      <c r="C1044" s="14" t="s">
        <v>1530</v>
      </c>
      <c r="D1044" s="14" t="s">
        <v>377</v>
      </c>
      <c r="E1044" s="1">
        <v>613.85</v>
      </c>
      <c r="F1044" s="2"/>
      <c r="G1044" s="1"/>
      <c r="H1044" s="3"/>
      <c r="I1044" s="14" t="s">
        <v>1654</v>
      </c>
    </row>
    <row r="1045" spans="1:9" ht="18.75" customHeight="1" x14ac:dyDescent="0.4">
      <c r="A1045" s="14" t="s">
        <v>6054</v>
      </c>
      <c r="B1045" s="16" t="str">
        <f>TRIM("もと靭詰所")</f>
        <v>もと靭詰所</v>
      </c>
      <c r="C1045" s="14" t="s">
        <v>1530</v>
      </c>
      <c r="D1045" s="14" t="s">
        <v>377</v>
      </c>
      <c r="E1045" s="1">
        <v>65.45</v>
      </c>
      <c r="F1045" s="2"/>
      <c r="G1045" s="1"/>
      <c r="H1045" s="3"/>
      <c r="I1045" s="14" t="s">
        <v>5977</v>
      </c>
    </row>
    <row r="1046" spans="1:9" ht="18.75" customHeight="1" x14ac:dyDescent="0.4">
      <c r="A1046" s="14" t="s">
        <v>4912</v>
      </c>
      <c r="B1046" s="16" t="str">
        <f>TRIM("西船場小学校")</f>
        <v>西船場小学校</v>
      </c>
      <c r="C1046" s="14" t="s">
        <v>1530</v>
      </c>
      <c r="D1046" s="14" t="s">
        <v>1363</v>
      </c>
      <c r="E1046" s="1">
        <v>7049.35</v>
      </c>
      <c r="F1046" s="2"/>
      <c r="G1046" s="1">
        <v>8838.5300000000007</v>
      </c>
      <c r="H1046" s="3"/>
      <c r="I1046" s="14" t="s">
        <v>4689</v>
      </c>
    </row>
    <row r="1047" spans="1:9" ht="18.75" customHeight="1" x14ac:dyDescent="0.4">
      <c r="A1047" s="14" t="s">
        <v>5258</v>
      </c>
      <c r="B1047" s="16" t="str">
        <f>TRIM("西消防署江戸堀出張所")</f>
        <v>西消防署江戸堀出張所</v>
      </c>
      <c r="C1047" s="14" t="s">
        <v>1530</v>
      </c>
      <c r="D1047" s="14" t="s">
        <v>1363</v>
      </c>
      <c r="E1047" s="1">
        <v>293.87</v>
      </c>
      <c r="F1047" s="2"/>
      <c r="G1047" s="1">
        <v>2462.44</v>
      </c>
      <c r="H1047" s="3"/>
      <c r="I1047" s="14" t="s">
        <v>5219</v>
      </c>
    </row>
    <row r="1048" spans="1:9" ht="18.75" customHeight="1" x14ac:dyDescent="0.4">
      <c r="A1048" s="14" t="s">
        <v>4754</v>
      </c>
      <c r="B1048" s="16" t="str">
        <f>TRIM("花乃井中学校")</f>
        <v>花乃井中学校</v>
      </c>
      <c r="C1048" s="14" t="s">
        <v>1530</v>
      </c>
      <c r="D1048" s="14" t="s">
        <v>1387</v>
      </c>
      <c r="E1048" s="1">
        <v>6683.11</v>
      </c>
      <c r="F1048" s="2"/>
      <c r="G1048" s="1">
        <v>9041.0499999999993</v>
      </c>
      <c r="H1048" s="3"/>
      <c r="I1048" s="14" t="s">
        <v>4689</v>
      </c>
    </row>
    <row r="1049" spans="1:9" ht="18.75" customHeight="1" x14ac:dyDescent="0.4">
      <c r="A1049" s="14" t="s">
        <v>2021</v>
      </c>
      <c r="B1049" s="16" t="str">
        <f>TRIM("江戸堀連合地域集会所（もと江戸堀老人憩の家）")</f>
        <v>江戸堀連合地域集会所（もと江戸堀老人憩の家）</v>
      </c>
      <c r="C1049" s="14" t="s">
        <v>1530</v>
      </c>
      <c r="D1049" s="14" t="s">
        <v>1444</v>
      </c>
      <c r="E1049" s="1">
        <v>171.17</v>
      </c>
      <c r="F1049" s="2"/>
      <c r="G1049" s="1"/>
      <c r="H1049" s="3"/>
      <c r="I1049" s="14" t="s">
        <v>2013</v>
      </c>
    </row>
    <row r="1050" spans="1:9" ht="18.75" customHeight="1" x14ac:dyDescent="0.4">
      <c r="A1050" s="14" t="s">
        <v>5186</v>
      </c>
      <c r="B1050" s="16" t="str">
        <f>TRIM("学校給食協会会館")</f>
        <v>学校給食協会会館</v>
      </c>
      <c r="C1050" s="14" t="s">
        <v>1530</v>
      </c>
      <c r="D1050" s="14" t="s">
        <v>1444</v>
      </c>
      <c r="E1050" s="1">
        <v>758.24</v>
      </c>
      <c r="F1050" s="2"/>
      <c r="G1050" s="1"/>
      <c r="H1050" s="3"/>
      <c r="I1050" s="14" t="s">
        <v>4689</v>
      </c>
    </row>
    <row r="1051" spans="1:9" ht="18.75" customHeight="1" x14ac:dyDescent="0.4">
      <c r="A1051" s="14" t="s">
        <v>1948</v>
      </c>
      <c r="B1051" s="16" t="str">
        <f>TRIM("特別養護老人ホーム江之子島コスモス苑・花乃井地域在宅サービスステーション")</f>
        <v>特別養護老人ホーム江之子島コスモス苑・花乃井地域在宅サービスステーション</v>
      </c>
      <c r="C1051" s="14" t="s">
        <v>1530</v>
      </c>
      <c r="D1051" s="14" t="s">
        <v>421</v>
      </c>
      <c r="E1051" s="1">
        <v>1372.79</v>
      </c>
      <c r="F1051" s="2"/>
      <c r="G1051" s="1"/>
      <c r="H1051" s="3"/>
      <c r="I1051" s="14" t="s">
        <v>1654</v>
      </c>
    </row>
    <row r="1052" spans="1:9" ht="18.75" customHeight="1" x14ac:dyDescent="0.4">
      <c r="A1052" s="14" t="s">
        <v>3422</v>
      </c>
      <c r="B1052" s="16" t="str">
        <f>TRIM("江之子島公園")</f>
        <v>江之子島公園</v>
      </c>
      <c r="C1052" s="14" t="s">
        <v>1530</v>
      </c>
      <c r="D1052" s="14" t="s">
        <v>421</v>
      </c>
      <c r="E1052" s="1">
        <v>981.91</v>
      </c>
      <c r="F1052" s="2"/>
      <c r="G1052" s="1"/>
      <c r="H1052" s="3"/>
      <c r="I1052" s="14" t="s">
        <v>2177</v>
      </c>
    </row>
    <row r="1053" spans="1:9" ht="18.75" customHeight="1" x14ac:dyDescent="0.4">
      <c r="A1053" s="14" t="s">
        <v>5116</v>
      </c>
      <c r="B1053" s="16" t="str">
        <f>TRIM("本田小学校")</f>
        <v>本田小学校</v>
      </c>
      <c r="C1053" s="14" t="s">
        <v>1530</v>
      </c>
      <c r="D1053" s="14" t="s">
        <v>1439</v>
      </c>
      <c r="E1053" s="1">
        <v>8066.02</v>
      </c>
      <c r="F1053" s="2"/>
      <c r="G1053" s="1">
        <v>3461.9</v>
      </c>
      <c r="H1053" s="3"/>
      <c r="I1053" s="14" t="s">
        <v>4689</v>
      </c>
    </row>
    <row r="1054" spans="1:9" ht="18.75" customHeight="1" x14ac:dyDescent="0.4">
      <c r="A1054" s="14" t="s">
        <v>4136</v>
      </c>
      <c r="B1054" s="16" t="str">
        <f>TRIM("港湾局賃貸地（西）")</f>
        <v>港湾局賃貸地（西）</v>
      </c>
      <c r="C1054" s="14" t="s">
        <v>1530</v>
      </c>
      <c r="D1054" s="14" t="s">
        <v>231</v>
      </c>
      <c r="E1054" s="1">
        <v>1600.24</v>
      </c>
      <c r="F1054" s="2" t="s">
        <v>7324</v>
      </c>
      <c r="G1054" s="1"/>
      <c r="H1054" s="3"/>
      <c r="I1054" s="14" t="s">
        <v>4117</v>
      </c>
    </row>
    <row r="1055" spans="1:9" ht="18.75" customHeight="1" x14ac:dyDescent="0.4">
      <c r="A1055" s="14" t="s">
        <v>4331</v>
      </c>
      <c r="B1055" s="16" t="str">
        <f>TRIM("もと富島4号上屋")</f>
        <v>もと富島4号上屋</v>
      </c>
      <c r="C1055" s="14" t="s">
        <v>1530</v>
      </c>
      <c r="D1055" s="14" t="s">
        <v>231</v>
      </c>
      <c r="E1055" s="1">
        <v>149.25</v>
      </c>
      <c r="F1055" s="2"/>
      <c r="G1055" s="12"/>
      <c r="H1055" s="3"/>
      <c r="I1055" s="14" t="s">
        <v>4117</v>
      </c>
    </row>
    <row r="1056" spans="1:9" ht="18.75" customHeight="1" x14ac:dyDescent="0.4">
      <c r="A1056" s="14" t="s">
        <v>5496</v>
      </c>
      <c r="B1056" s="16" t="str">
        <f>TRIM("西警察署")</f>
        <v>西警察署</v>
      </c>
      <c r="C1056" s="14" t="s">
        <v>1530</v>
      </c>
      <c r="D1056" s="14" t="s">
        <v>231</v>
      </c>
      <c r="E1056" s="1">
        <v>2544.3200000000002</v>
      </c>
      <c r="F1056" s="2"/>
      <c r="G1056" s="1"/>
      <c r="H1056" s="3"/>
      <c r="I1056" s="14" t="s">
        <v>5349</v>
      </c>
    </row>
    <row r="1057" spans="1:9" ht="18.75" customHeight="1" x14ac:dyDescent="0.4">
      <c r="A1057" s="14" t="s">
        <v>1973</v>
      </c>
      <c r="B1057" s="16" t="str">
        <f>TRIM("養護老人ホーム・特別養護老人ホームすみれ苑")</f>
        <v>養護老人ホーム・特別養護老人ホームすみれ苑</v>
      </c>
      <c r="C1057" s="14" t="s">
        <v>1530</v>
      </c>
      <c r="D1057" s="14" t="s">
        <v>434</v>
      </c>
      <c r="E1057" s="1">
        <v>2504.64</v>
      </c>
      <c r="F1057" s="2"/>
      <c r="G1057" s="1"/>
      <c r="H1057" s="3"/>
      <c r="I1057" s="14" t="s">
        <v>1654</v>
      </c>
    </row>
    <row r="1058" spans="1:9" ht="18.75" customHeight="1" x14ac:dyDescent="0.4">
      <c r="A1058" s="14" t="s">
        <v>2502</v>
      </c>
      <c r="B1058" s="16" t="str">
        <f>TRIM("もと富島渡船場左岸待合所")</f>
        <v>もと富島渡船場左岸待合所</v>
      </c>
      <c r="C1058" s="14" t="s">
        <v>1530</v>
      </c>
      <c r="D1058" s="14" t="s">
        <v>434</v>
      </c>
      <c r="E1058" s="1">
        <v>31.63</v>
      </c>
      <c r="F1058" s="2"/>
      <c r="G1058" s="1"/>
      <c r="H1058" s="3"/>
      <c r="I1058" s="14" t="s">
        <v>2177</v>
      </c>
    </row>
    <row r="1059" spans="1:9" ht="18.75" customHeight="1" x14ac:dyDescent="0.4">
      <c r="A1059" s="14" t="s">
        <v>4019</v>
      </c>
      <c r="B1059" s="16" t="str">
        <f>TRIM("下水道用地（西）")</f>
        <v>下水道用地（西）</v>
      </c>
      <c r="C1059" s="14" t="s">
        <v>1530</v>
      </c>
      <c r="D1059" s="14" t="s">
        <v>434</v>
      </c>
      <c r="E1059" s="1">
        <v>5257.77</v>
      </c>
      <c r="F1059" s="2"/>
      <c r="G1059" s="1"/>
      <c r="H1059" s="3"/>
      <c r="I1059" s="14" t="s">
        <v>2177</v>
      </c>
    </row>
    <row r="1060" spans="1:9" ht="18.75" customHeight="1" x14ac:dyDescent="0.4">
      <c r="A1060" s="14" t="s">
        <v>2356</v>
      </c>
      <c r="B1060" s="16" t="str">
        <f>TRIM("もと軌道敷(桜川中之島線)")</f>
        <v>もと軌道敷(桜川中之島線)</v>
      </c>
      <c r="C1060" s="14" t="s">
        <v>1530</v>
      </c>
      <c r="D1060" s="14" t="s">
        <v>976</v>
      </c>
      <c r="E1060" s="1">
        <v>29566.86</v>
      </c>
      <c r="F1060" s="2"/>
      <c r="G1060" s="1"/>
      <c r="H1060" s="3"/>
      <c r="I1060" s="14" t="s">
        <v>2177</v>
      </c>
    </row>
    <row r="1061" spans="1:9" ht="18.75" customHeight="1" x14ac:dyDescent="0.4">
      <c r="A1061" s="14" t="s">
        <v>3864</v>
      </c>
      <c r="B1061" s="16" t="str">
        <f>TRIM("西大橋駅自転車駐車場管理事務所")</f>
        <v>西大橋駅自転車駐車場管理事務所</v>
      </c>
      <c r="C1061" s="14" t="s">
        <v>1530</v>
      </c>
      <c r="D1061" s="14" t="s">
        <v>976</v>
      </c>
      <c r="E1061" s="1"/>
      <c r="F1061" s="2"/>
      <c r="G1061" s="1">
        <v>9.7200000000000006</v>
      </c>
      <c r="H1061" s="3"/>
      <c r="I1061" s="14" t="s">
        <v>2177</v>
      </c>
    </row>
    <row r="1062" spans="1:9" ht="18.75" customHeight="1" x14ac:dyDescent="0.4">
      <c r="A1062" s="14" t="s">
        <v>5112</v>
      </c>
      <c r="B1062" s="16" t="str">
        <f>TRIM("堀江小学校")</f>
        <v>堀江小学校</v>
      </c>
      <c r="C1062" s="14" t="s">
        <v>1530</v>
      </c>
      <c r="D1062" s="14" t="s">
        <v>997</v>
      </c>
      <c r="E1062" s="1">
        <v>12843.23</v>
      </c>
      <c r="F1062" s="2"/>
      <c r="G1062" s="1">
        <v>18883.96</v>
      </c>
      <c r="H1062" s="3"/>
      <c r="I1062" s="14" t="s">
        <v>4689</v>
      </c>
    </row>
    <row r="1063" spans="1:9" ht="18.75" customHeight="1" x14ac:dyDescent="0.4">
      <c r="A1063" s="14" t="s">
        <v>2548</v>
      </c>
      <c r="B1063" s="16" t="str">
        <f>TRIM("　阿弥陀池公園")</f>
        <v>阿弥陀池公園</v>
      </c>
      <c r="C1063" s="14" t="s">
        <v>1530</v>
      </c>
      <c r="D1063" s="14" t="s">
        <v>997</v>
      </c>
      <c r="E1063" s="1">
        <v>3355.43</v>
      </c>
      <c r="F1063" s="2"/>
      <c r="G1063" s="1"/>
      <c r="H1063" s="3"/>
      <c r="I1063" s="14" t="s">
        <v>2177</v>
      </c>
    </row>
    <row r="1064" spans="1:9" ht="18.75" customHeight="1" x14ac:dyDescent="0.4">
      <c r="A1064" s="14" t="s">
        <v>4079</v>
      </c>
      <c r="B1064" s="16" t="str">
        <f>TRIM("長堀抽水所")</f>
        <v>長堀抽水所</v>
      </c>
      <c r="C1064" s="14" t="s">
        <v>1530</v>
      </c>
      <c r="D1064" s="14" t="s">
        <v>95</v>
      </c>
      <c r="E1064" s="1">
        <v>4014.34</v>
      </c>
      <c r="F1064" s="2"/>
      <c r="G1064" s="1">
        <v>4876.8799999999992</v>
      </c>
      <c r="H1064" s="3"/>
      <c r="I1064" s="14" t="s">
        <v>2177</v>
      </c>
    </row>
    <row r="1065" spans="1:9" ht="18.75" customHeight="1" x14ac:dyDescent="0.4">
      <c r="A1065" s="14" t="s">
        <v>4405</v>
      </c>
      <c r="B1065" s="16" t="str">
        <f>TRIM("西区民センター")</f>
        <v>西区民センター</v>
      </c>
      <c r="C1065" s="14" t="s">
        <v>1530</v>
      </c>
      <c r="D1065" s="14" t="s">
        <v>95</v>
      </c>
      <c r="E1065" s="1">
        <v>1959.38</v>
      </c>
      <c r="F1065" s="2"/>
      <c r="G1065" s="1">
        <v>2034.84</v>
      </c>
      <c r="H1065" s="3"/>
      <c r="I1065" s="14" t="s">
        <v>2013</v>
      </c>
    </row>
    <row r="1066" spans="1:9" ht="18.75" customHeight="1" x14ac:dyDescent="0.4">
      <c r="A1066" s="14" t="s">
        <v>5197</v>
      </c>
      <c r="B1066" s="16" t="str">
        <f>TRIM("中央図書館")</f>
        <v>中央図書館</v>
      </c>
      <c r="C1066" s="14" t="s">
        <v>1530</v>
      </c>
      <c r="D1066" s="14" t="s">
        <v>95</v>
      </c>
      <c r="E1066" s="1">
        <v>6268.06</v>
      </c>
      <c r="F1066" s="2"/>
      <c r="G1066" s="1">
        <v>34600.92</v>
      </c>
      <c r="H1066" s="3"/>
      <c r="I1066" s="14" t="s">
        <v>4689</v>
      </c>
    </row>
    <row r="1067" spans="1:9" ht="18.75" customHeight="1" x14ac:dyDescent="0.4">
      <c r="A1067" s="14" t="s">
        <v>7006</v>
      </c>
      <c r="B1067" s="16" t="str">
        <f>TRIM("公文書館")</f>
        <v>公文書館</v>
      </c>
      <c r="C1067" s="14" t="s">
        <v>1530</v>
      </c>
      <c r="D1067" s="14" t="s">
        <v>95</v>
      </c>
      <c r="E1067" s="1">
        <v>1428.51</v>
      </c>
      <c r="F1067" s="2"/>
      <c r="G1067" s="1">
        <v>3498.31</v>
      </c>
      <c r="H1067" s="3"/>
      <c r="I1067" s="14" t="s">
        <v>7001</v>
      </c>
    </row>
    <row r="1068" spans="1:9" ht="18.75" customHeight="1" x14ac:dyDescent="0.4">
      <c r="A1068" s="14" t="s">
        <v>2934</v>
      </c>
      <c r="B1068" s="16" t="str">
        <f>TRIM("　西長堀公園")</f>
        <v>西長堀公園</v>
      </c>
      <c r="C1068" s="14" t="s">
        <v>1530</v>
      </c>
      <c r="D1068" s="14" t="s">
        <v>95</v>
      </c>
      <c r="E1068" s="1">
        <v>2060.23</v>
      </c>
      <c r="F1068" s="2"/>
      <c r="G1068" s="1"/>
      <c r="H1068" s="3"/>
      <c r="I1068" s="14" t="s">
        <v>2177</v>
      </c>
    </row>
    <row r="1069" spans="1:9" ht="18.75" customHeight="1" x14ac:dyDescent="0.4">
      <c r="A1069" s="14" t="s">
        <v>3128</v>
      </c>
      <c r="B1069" s="16" t="str">
        <f>TRIM("　土佐公園")</f>
        <v>土佐公園</v>
      </c>
      <c r="C1069" s="14" t="s">
        <v>1530</v>
      </c>
      <c r="D1069" s="14" t="s">
        <v>95</v>
      </c>
      <c r="E1069" s="1">
        <v>9235.4</v>
      </c>
      <c r="F1069" s="2"/>
      <c r="G1069" s="1"/>
      <c r="H1069" s="3"/>
      <c r="I1069" s="14" t="s">
        <v>2177</v>
      </c>
    </row>
    <row r="1070" spans="1:9" ht="18.75" customHeight="1" x14ac:dyDescent="0.4">
      <c r="A1070" s="14" t="s">
        <v>3867</v>
      </c>
      <c r="B1070" s="16" t="str">
        <f>TRIM("西長堀駅自転車駐車場管理ボックス")</f>
        <v>西長堀駅自転車駐車場管理ボックス</v>
      </c>
      <c r="C1070" s="14" t="s">
        <v>1530</v>
      </c>
      <c r="D1070" s="14" t="s">
        <v>95</v>
      </c>
      <c r="E1070" s="1"/>
      <c r="F1070" s="2"/>
      <c r="G1070" s="1">
        <v>4.76</v>
      </c>
      <c r="H1070" s="3"/>
      <c r="I1070" s="14" t="s">
        <v>2177</v>
      </c>
    </row>
    <row r="1071" spans="1:9" ht="18.75" customHeight="1" x14ac:dyDescent="0.4">
      <c r="A1071" s="14" t="s">
        <v>4078</v>
      </c>
      <c r="B1071" s="16" t="str">
        <f>TRIM("長堀第2抽水所")</f>
        <v>長堀第2抽水所</v>
      </c>
      <c r="C1071" s="14" t="s">
        <v>1530</v>
      </c>
      <c r="D1071" s="14" t="s">
        <v>95</v>
      </c>
      <c r="E1071" s="1">
        <v>5638.79</v>
      </c>
      <c r="F1071" s="2"/>
      <c r="G1071" s="1"/>
      <c r="H1071" s="3"/>
      <c r="I1071" s="14" t="s">
        <v>2177</v>
      </c>
    </row>
    <row r="1072" spans="1:9" ht="18.75" customHeight="1" x14ac:dyDescent="0.4">
      <c r="A1072" s="14" t="s">
        <v>5777</v>
      </c>
      <c r="B1072" s="16" t="str">
        <f>TRIM("あけぼのほりえこども園")</f>
        <v>あけぼのほりえこども園</v>
      </c>
      <c r="C1072" s="14" t="s">
        <v>1530</v>
      </c>
      <c r="D1072" s="14" t="s">
        <v>95</v>
      </c>
      <c r="E1072" s="1">
        <v>1865.34</v>
      </c>
      <c r="F1072" s="2"/>
      <c r="G1072" s="1"/>
      <c r="H1072" s="3"/>
      <c r="I1072" s="14" t="s">
        <v>5617</v>
      </c>
    </row>
    <row r="1073" spans="1:9" ht="18.75" customHeight="1" x14ac:dyDescent="0.4">
      <c r="A1073" s="14" t="s">
        <v>2651</v>
      </c>
      <c r="B1073" s="16" t="str">
        <f>TRIM("　京町堀街園")</f>
        <v>京町堀街園</v>
      </c>
      <c r="C1073" s="14" t="s">
        <v>1530</v>
      </c>
      <c r="D1073" s="14" t="s">
        <v>873</v>
      </c>
      <c r="E1073" s="1">
        <v>107.99</v>
      </c>
      <c r="F1073" s="2"/>
      <c r="G1073" s="1"/>
      <c r="H1073" s="3"/>
      <c r="I1073" s="14" t="s">
        <v>2177</v>
      </c>
    </row>
    <row r="1074" spans="1:9" ht="18.75" customHeight="1" x14ac:dyDescent="0.4">
      <c r="A1074" s="14" t="s">
        <v>2652</v>
      </c>
      <c r="B1074" s="16" t="str">
        <f>TRIM("　京町堀公園")</f>
        <v>京町堀公園</v>
      </c>
      <c r="C1074" s="14" t="s">
        <v>1530</v>
      </c>
      <c r="D1074" s="14" t="s">
        <v>873</v>
      </c>
      <c r="E1074" s="1">
        <v>316.16000000000003</v>
      </c>
      <c r="F1074" s="2"/>
      <c r="G1074" s="1"/>
      <c r="H1074" s="3"/>
      <c r="I1074" s="14" t="s">
        <v>2177</v>
      </c>
    </row>
    <row r="1075" spans="1:9" ht="18.75" customHeight="1" x14ac:dyDescent="0.4">
      <c r="A1075" s="14" t="s">
        <v>3449</v>
      </c>
      <c r="B1075" s="16" t="str">
        <f>TRIM("西船場公園")</f>
        <v>西船場公園</v>
      </c>
      <c r="C1075" s="14" t="s">
        <v>1530</v>
      </c>
      <c r="D1075" s="14" t="s">
        <v>873</v>
      </c>
      <c r="E1075" s="1">
        <v>5243.2</v>
      </c>
      <c r="F1075" s="2"/>
      <c r="G1075" s="1"/>
      <c r="H1075" s="3"/>
      <c r="I1075" s="14" t="s">
        <v>2177</v>
      </c>
    </row>
    <row r="1076" spans="1:9" ht="18.75" customHeight="1" x14ac:dyDescent="0.4">
      <c r="A1076" s="14" t="s">
        <v>3994</v>
      </c>
      <c r="B1076" s="16" t="str">
        <f>TRIM("もと下水道用地（西）")</f>
        <v>もと下水道用地（西）</v>
      </c>
      <c r="C1076" s="14" t="s">
        <v>1530</v>
      </c>
      <c r="D1076" s="14" t="s">
        <v>873</v>
      </c>
      <c r="E1076" s="1">
        <v>24.88</v>
      </c>
      <c r="F1076" s="2"/>
      <c r="G1076" s="1"/>
      <c r="H1076" s="3"/>
      <c r="I1076" s="14" t="s">
        <v>2177</v>
      </c>
    </row>
    <row r="1077" spans="1:9" ht="18.75" customHeight="1" x14ac:dyDescent="0.4">
      <c r="A1077" s="14" t="s">
        <v>6807</v>
      </c>
      <c r="B1077" s="16" t="str">
        <f>TRIM("肩替地（江戸堀）")</f>
        <v>肩替地（江戸堀）</v>
      </c>
      <c r="C1077" s="14" t="s">
        <v>1530</v>
      </c>
      <c r="D1077" s="14" t="s">
        <v>873</v>
      </c>
      <c r="E1077" s="1">
        <v>42.18</v>
      </c>
      <c r="F1077" s="2"/>
      <c r="G1077" s="1"/>
      <c r="H1077" s="3"/>
      <c r="I1077" s="14" t="s">
        <v>6177</v>
      </c>
    </row>
    <row r="1078" spans="1:9" ht="18.75" customHeight="1" x14ac:dyDescent="0.4">
      <c r="A1078" s="14" t="s">
        <v>3411</v>
      </c>
      <c r="B1078" s="16" t="str">
        <f>TRIM("花乃井公園")</f>
        <v>花乃井公園</v>
      </c>
      <c r="C1078" s="14" t="s">
        <v>1530</v>
      </c>
      <c r="D1078" s="14" t="s">
        <v>1271</v>
      </c>
      <c r="E1078" s="1">
        <v>4897.45</v>
      </c>
      <c r="F1078" s="2"/>
      <c r="G1078" s="1"/>
      <c r="H1078" s="3"/>
      <c r="I1078" s="14" t="s">
        <v>2177</v>
      </c>
    </row>
    <row r="1079" spans="1:9" ht="18.75" customHeight="1" x14ac:dyDescent="0.4">
      <c r="A1079" s="14" t="s">
        <v>3692</v>
      </c>
      <c r="B1079" s="16" t="str">
        <f>TRIM("花乃井公園")</f>
        <v>花乃井公園</v>
      </c>
      <c r="C1079" s="14" t="s">
        <v>1530</v>
      </c>
      <c r="D1079" s="14" t="s">
        <v>1271</v>
      </c>
      <c r="E1079" s="1"/>
      <c r="F1079" s="2"/>
      <c r="G1079" s="1">
        <v>26.16</v>
      </c>
      <c r="H1079" s="3"/>
      <c r="I1079" s="14" t="s">
        <v>2177</v>
      </c>
    </row>
    <row r="1080" spans="1:9" ht="18.75" customHeight="1" x14ac:dyDescent="0.4">
      <c r="A1080" s="14" t="s">
        <v>3421</v>
      </c>
      <c r="B1080" s="16" t="str">
        <f>TRIM("江戸堀公園")</f>
        <v>江戸堀公園</v>
      </c>
      <c r="C1080" s="14" t="s">
        <v>1530</v>
      </c>
      <c r="D1080" s="14" t="s">
        <v>1275</v>
      </c>
      <c r="E1080" s="1">
        <v>2649.68</v>
      </c>
      <c r="F1080" s="2"/>
      <c r="G1080" s="1"/>
      <c r="H1080" s="3"/>
      <c r="I1080" s="14" t="s">
        <v>2177</v>
      </c>
    </row>
    <row r="1081" spans="1:9" ht="18.75" customHeight="1" x14ac:dyDescent="0.4">
      <c r="A1081" s="14" t="s">
        <v>4404</v>
      </c>
      <c r="B1081" s="16" t="str">
        <f>TRIM("九条東連合地域集会所")</f>
        <v>九条東連合地域集会所</v>
      </c>
      <c r="C1081" s="14" t="s">
        <v>1530</v>
      </c>
      <c r="D1081" s="14" t="s">
        <v>1451</v>
      </c>
      <c r="E1081" s="1">
        <v>134.19</v>
      </c>
      <c r="F1081" s="2"/>
      <c r="G1081" s="1">
        <v>184.35</v>
      </c>
      <c r="H1081" s="3"/>
      <c r="I1081" s="14" t="s">
        <v>2013</v>
      </c>
    </row>
    <row r="1082" spans="1:9" ht="18.75" customHeight="1" x14ac:dyDescent="0.4">
      <c r="A1082" s="14" t="s">
        <v>2012</v>
      </c>
      <c r="B1082" s="16" t="str">
        <f>TRIM("九条東連合地域集会所（もと九条東老人憩の家）")</f>
        <v>九条東連合地域集会所（もと九条東老人憩の家）</v>
      </c>
      <c r="C1082" s="14" t="s">
        <v>1530</v>
      </c>
      <c r="D1082" s="14" t="s">
        <v>1451</v>
      </c>
      <c r="E1082" s="1"/>
      <c r="F1082" s="2"/>
      <c r="G1082" s="1">
        <v>194.9</v>
      </c>
      <c r="H1082" s="3"/>
      <c r="I1082" s="14" t="s">
        <v>2013</v>
      </c>
    </row>
    <row r="1083" spans="1:9" ht="18.75" customHeight="1" x14ac:dyDescent="0.4">
      <c r="A1083" s="14" t="s">
        <v>4787</v>
      </c>
      <c r="B1083" s="16" t="str">
        <f>TRIM("九条東小学校")</f>
        <v>九条東小学校</v>
      </c>
      <c r="C1083" s="14" t="s">
        <v>1530</v>
      </c>
      <c r="D1083" s="14" t="s">
        <v>53</v>
      </c>
      <c r="E1083" s="1">
        <v>5389.94</v>
      </c>
      <c r="F1083" s="2"/>
      <c r="G1083" s="1">
        <v>4543.6000000000004</v>
      </c>
      <c r="H1083" s="3"/>
      <c r="I1083" s="14" t="s">
        <v>4689</v>
      </c>
    </row>
    <row r="1084" spans="1:9" ht="18.75" customHeight="1" x14ac:dyDescent="0.4">
      <c r="A1084" s="14" t="s">
        <v>5784</v>
      </c>
      <c r="B1084" s="16" t="str">
        <f>TRIM("九条幼稚園")</f>
        <v>九条幼稚園</v>
      </c>
      <c r="C1084" s="14" t="s">
        <v>1530</v>
      </c>
      <c r="D1084" s="14" t="s">
        <v>53</v>
      </c>
      <c r="E1084" s="1">
        <v>2008.78</v>
      </c>
      <c r="F1084" s="2"/>
      <c r="G1084" s="1">
        <v>1446</v>
      </c>
      <c r="H1084" s="3"/>
      <c r="I1084" s="14" t="s">
        <v>5617</v>
      </c>
    </row>
    <row r="1085" spans="1:9" ht="18.75" customHeight="1" x14ac:dyDescent="0.4">
      <c r="A1085" s="14" t="s">
        <v>2662</v>
      </c>
      <c r="B1085" s="16" t="str">
        <f>TRIM("　九条東公園")</f>
        <v>九条東公園</v>
      </c>
      <c r="C1085" s="14" t="s">
        <v>1530</v>
      </c>
      <c r="D1085" s="14" t="s">
        <v>53</v>
      </c>
      <c r="E1085" s="1">
        <v>2842.11</v>
      </c>
      <c r="F1085" s="2"/>
      <c r="G1085" s="1"/>
      <c r="H1085" s="3"/>
      <c r="I1085" s="14" t="s">
        <v>2177</v>
      </c>
    </row>
    <row r="1086" spans="1:9" ht="18.75" customHeight="1" x14ac:dyDescent="0.4">
      <c r="A1086" s="14" t="s">
        <v>3804</v>
      </c>
      <c r="B1086" s="16" t="str">
        <f>TRIM("九条駅自転車駐車場管理事務所")</f>
        <v>九条駅自転車駐車場管理事務所</v>
      </c>
      <c r="C1086" s="14" t="s">
        <v>1530</v>
      </c>
      <c r="D1086" s="14" t="s">
        <v>53</v>
      </c>
      <c r="E1086" s="1"/>
      <c r="F1086" s="2"/>
      <c r="G1086" s="1">
        <v>12.96</v>
      </c>
      <c r="H1086" s="3"/>
      <c r="I1086" s="14" t="s">
        <v>2177</v>
      </c>
    </row>
    <row r="1087" spans="1:9" ht="18.75" customHeight="1" x14ac:dyDescent="0.4">
      <c r="A1087" s="14" t="s">
        <v>7073</v>
      </c>
      <c r="B1087" s="16" t="str">
        <f>TRIM("九条小売市場民営活性化事業施設")</f>
        <v>九条小売市場民営活性化事業施設</v>
      </c>
      <c r="C1087" s="14" t="s">
        <v>1530</v>
      </c>
      <c r="D1087" s="14" t="s">
        <v>53</v>
      </c>
      <c r="E1087" s="1">
        <v>994.04</v>
      </c>
      <c r="F1087" s="2"/>
      <c r="G1087" s="1"/>
      <c r="H1087" s="3"/>
      <c r="I1087" s="14" t="s">
        <v>4115</v>
      </c>
    </row>
    <row r="1088" spans="1:9" ht="18.75" customHeight="1" x14ac:dyDescent="0.4">
      <c r="A1088" s="14" t="s">
        <v>5218</v>
      </c>
      <c r="B1088" s="16" t="str">
        <f>TRIM(" 消防局庁舎")</f>
        <v>消防局庁舎</v>
      </c>
      <c r="C1088" s="14" t="s">
        <v>1530</v>
      </c>
      <c r="D1088" s="14" t="s">
        <v>357</v>
      </c>
      <c r="E1088" s="1">
        <v>4600.49</v>
      </c>
      <c r="F1088" s="2"/>
      <c r="G1088" s="1">
        <v>17613.59</v>
      </c>
      <c r="H1088" s="3"/>
      <c r="I1088" s="14" t="s">
        <v>5219</v>
      </c>
    </row>
    <row r="1089" spans="1:9" ht="18.75" customHeight="1" x14ac:dyDescent="0.4">
      <c r="A1089" s="14" t="s">
        <v>1735</v>
      </c>
      <c r="B1089" s="16" t="str">
        <f>TRIM("障がい福祉サービス事業所西作業所")</f>
        <v>障がい福祉サービス事業所西作業所</v>
      </c>
      <c r="C1089" s="14" t="s">
        <v>1530</v>
      </c>
      <c r="D1089" s="14" t="s">
        <v>357</v>
      </c>
      <c r="E1089" s="1">
        <v>142.54</v>
      </c>
      <c r="F1089" s="2"/>
      <c r="G1089" s="1"/>
      <c r="H1089" s="3"/>
      <c r="I1089" s="14" t="s">
        <v>1654</v>
      </c>
    </row>
    <row r="1090" spans="1:9" ht="18.75" customHeight="1" x14ac:dyDescent="0.4">
      <c r="A1090" s="14" t="s">
        <v>2661</v>
      </c>
      <c r="B1090" s="16" t="str">
        <f>TRIM("　九条公園")</f>
        <v>九条公園</v>
      </c>
      <c r="C1090" s="14" t="s">
        <v>1530</v>
      </c>
      <c r="D1090" s="14" t="s">
        <v>357</v>
      </c>
      <c r="E1090" s="1">
        <v>3037.02</v>
      </c>
      <c r="F1090" s="2"/>
      <c r="G1090" s="1"/>
      <c r="H1090" s="3"/>
      <c r="I1090" s="14" t="s">
        <v>2177</v>
      </c>
    </row>
    <row r="1091" spans="1:9" ht="18.75" customHeight="1" x14ac:dyDescent="0.4">
      <c r="A1091" s="14" t="s">
        <v>2989</v>
      </c>
      <c r="B1091" s="16" t="str">
        <f>TRIM("　大阪ドーム北公園")</f>
        <v>大阪ドーム北公園</v>
      </c>
      <c r="C1091" s="14" t="s">
        <v>1530</v>
      </c>
      <c r="D1091" s="14" t="s">
        <v>357</v>
      </c>
      <c r="E1091" s="1">
        <v>3792.02</v>
      </c>
      <c r="F1091" s="2"/>
      <c r="G1091" s="1"/>
      <c r="H1091" s="3"/>
      <c r="I1091" s="14" t="s">
        <v>2177</v>
      </c>
    </row>
    <row r="1092" spans="1:9" ht="18.75" customHeight="1" x14ac:dyDescent="0.4">
      <c r="A1092" s="14" t="s">
        <v>5220</v>
      </c>
      <c r="B1092" s="16" t="str">
        <f>TRIM("　消防局庁舎（九条）")</f>
        <v>消防局庁舎（九条）</v>
      </c>
      <c r="C1092" s="14" t="s">
        <v>1530</v>
      </c>
      <c r="D1092" s="14" t="s">
        <v>357</v>
      </c>
      <c r="E1092" s="1">
        <v>309.58999999999997</v>
      </c>
      <c r="F1092" s="2"/>
      <c r="G1092" s="1"/>
      <c r="H1092" s="3"/>
      <c r="I1092" s="14" t="s">
        <v>5219</v>
      </c>
    </row>
    <row r="1093" spans="1:9" ht="18.75" customHeight="1" x14ac:dyDescent="0.4">
      <c r="A1093" s="14" t="s">
        <v>5245</v>
      </c>
      <c r="B1093" s="16" t="str">
        <f>TRIM("消防局庁舎(九条）")</f>
        <v>消防局庁舎(九条）</v>
      </c>
      <c r="C1093" s="14" t="s">
        <v>1530</v>
      </c>
      <c r="D1093" s="14" t="s">
        <v>357</v>
      </c>
      <c r="E1093" s="1"/>
      <c r="F1093" s="2"/>
      <c r="G1093" s="1">
        <v>770.12</v>
      </c>
      <c r="H1093" s="3"/>
      <c r="I1093" s="14" t="s">
        <v>5219</v>
      </c>
    </row>
    <row r="1094" spans="1:9" ht="18.75" customHeight="1" x14ac:dyDescent="0.4">
      <c r="A1094" s="14" t="s">
        <v>6821</v>
      </c>
      <c r="B1094" s="16" t="str">
        <f>TRIM("肩替地（松島）")</f>
        <v>肩替地（松島）</v>
      </c>
      <c r="C1094" s="14" t="s">
        <v>1530</v>
      </c>
      <c r="D1094" s="14" t="s">
        <v>357</v>
      </c>
      <c r="E1094" s="1">
        <v>259.02</v>
      </c>
      <c r="F1094" s="2"/>
      <c r="G1094" s="1"/>
      <c r="H1094" s="3"/>
      <c r="I1094" s="14" t="s">
        <v>6177</v>
      </c>
    </row>
    <row r="1095" spans="1:9" ht="18.75" customHeight="1" x14ac:dyDescent="0.4">
      <c r="A1095" s="14" t="s">
        <v>4788</v>
      </c>
      <c r="B1095" s="16" t="str">
        <f>TRIM("九条南小学校")</f>
        <v>九条南小学校</v>
      </c>
      <c r="C1095" s="14" t="s">
        <v>1530</v>
      </c>
      <c r="D1095" s="14" t="s">
        <v>1029</v>
      </c>
      <c r="E1095" s="1">
        <v>8581.4500000000007</v>
      </c>
      <c r="F1095" s="2"/>
      <c r="G1095" s="1">
        <v>5071.78</v>
      </c>
      <c r="H1095" s="3"/>
      <c r="I1095" s="14" t="s">
        <v>4689</v>
      </c>
    </row>
    <row r="1096" spans="1:9" ht="18.75" customHeight="1" x14ac:dyDescent="0.4">
      <c r="A1096" s="14" t="s">
        <v>2014</v>
      </c>
      <c r="B1096" s="16" t="str">
        <f>TRIM("九条南連合地域集会所（もと九条南老人憩の家）")</f>
        <v>九条南連合地域集会所（もと九条南老人憩の家）</v>
      </c>
      <c r="C1096" s="14" t="s">
        <v>1530</v>
      </c>
      <c r="D1096" s="14" t="s">
        <v>1029</v>
      </c>
      <c r="E1096" s="1">
        <v>165.3</v>
      </c>
      <c r="F1096" s="2"/>
      <c r="G1096" s="1"/>
      <c r="H1096" s="3"/>
      <c r="I1096" s="14" t="s">
        <v>2013</v>
      </c>
    </row>
    <row r="1097" spans="1:9" ht="18.75" customHeight="1" x14ac:dyDescent="0.4">
      <c r="A1097" s="14" t="s">
        <v>2663</v>
      </c>
      <c r="B1097" s="16" t="str">
        <f>TRIM("　九条南公園")</f>
        <v>九条南公園</v>
      </c>
      <c r="C1097" s="14" t="s">
        <v>1530</v>
      </c>
      <c r="D1097" s="14" t="s">
        <v>1029</v>
      </c>
      <c r="E1097" s="1">
        <v>3809.19</v>
      </c>
      <c r="F1097" s="2"/>
      <c r="G1097" s="1"/>
      <c r="H1097" s="3"/>
      <c r="I1097" s="14" t="s">
        <v>2177</v>
      </c>
    </row>
    <row r="1098" spans="1:9" ht="18.75" customHeight="1" x14ac:dyDescent="0.4">
      <c r="A1098" s="14" t="s">
        <v>2302</v>
      </c>
      <c r="B1098" s="16" t="str">
        <f>TRIM("道路（西）（管財課）")</f>
        <v>道路（西）（管財課）</v>
      </c>
      <c r="C1098" s="14" t="s">
        <v>1530</v>
      </c>
      <c r="D1098" s="14" t="s">
        <v>883</v>
      </c>
      <c r="E1098" s="1">
        <v>891542.03</v>
      </c>
      <c r="F1098" s="2"/>
      <c r="G1098" s="1"/>
      <c r="H1098" s="3"/>
      <c r="I1098" s="14" t="s">
        <v>2177</v>
      </c>
    </row>
    <row r="1099" spans="1:9" ht="18.75" customHeight="1" x14ac:dyDescent="0.4">
      <c r="A1099" s="14" t="s">
        <v>6832</v>
      </c>
      <c r="B1099" s="16" t="str">
        <f>TRIM("もと区画整理事業用地（南部工区・西）")</f>
        <v>もと区画整理事業用地（南部工区・西）</v>
      </c>
      <c r="C1099" s="14" t="s">
        <v>1530</v>
      </c>
      <c r="D1099" s="14" t="s">
        <v>883</v>
      </c>
      <c r="E1099" s="1">
        <v>671.42</v>
      </c>
      <c r="F1099" s="2"/>
      <c r="G1099" s="1"/>
      <c r="H1099" s="3"/>
      <c r="I1099" s="14" t="s">
        <v>6177</v>
      </c>
    </row>
    <row r="1100" spans="1:9" ht="18.75" customHeight="1" x14ac:dyDescent="0.4">
      <c r="A1100" s="14" t="s">
        <v>6856</v>
      </c>
      <c r="B1100" s="16" t="str">
        <f>TRIM("区画整理事業用地（本田九条安治川工区）")</f>
        <v>区画整理事業用地（本田九条安治川工区）</v>
      </c>
      <c r="C1100" s="14" t="s">
        <v>1530</v>
      </c>
      <c r="D1100" s="14" t="s">
        <v>883</v>
      </c>
      <c r="E1100" s="1">
        <v>140.38999999999999</v>
      </c>
      <c r="F1100" s="2"/>
      <c r="G1100" s="1"/>
      <c r="H1100" s="3"/>
      <c r="I1100" s="14" t="s">
        <v>6177</v>
      </c>
    </row>
    <row r="1101" spans="1:9" ht="18.75" customHeight="1" x14ac:dyDescent="0.4">
      <c r="A1101" s="14" t="s">
        <v>4037</v>
      </c>
      <c r="B1101" s="16" t="str">
        <f>TRIM("九条抽水所")</f>
        <v>九条抽水所</v>
      </c>
      <c r="C1101" s="14" t="s">
        <v>1530</v>
      </c>
      <c r="D1101" s="14" t="s">
        <v>981</v>
      </c>
      <c r="E1101" s="1">
        <v>3034.9</v>
      </c>
      <c r="F1101" s="2"/>
      <c r="G1101" s="1">
        <v>1697.54</v>
      </c>
      <c r="H1101" s="3"/>
      <c r="I1101" s="14" t="s">
        <v>2177</v>
      </c>
    </row>
    <row r="1102" spans="1:9" ht="18.75" customHeight="1" x14ac:dyDescent="0.4">
      <c r="A1102" s="14" t="s">
        <v>4789</v>
      </c>
      <c r="B1102" s="16" t="str">
        <f>TRIM("九条北小学校")</f>
        <v>九条北小学校</v>
      </c>
      <c r="C1102" s="14" t="s">
        <v>1530</v>
      </c>
      <c r="D1102" s="14" t="s">
        <v>981</v>
      </c>
      <c r="E1102" s="1">
        <v>9910.34</v>
      </c>
      <c r="F1102" s="2"/>
      <c r="G1102" s="1">
        <v>5098.8599999999997</v>
      </c>
      <c r="H1102" s="3"/>
      <c r="I1102" s="14" t="s">
        <v>4689</v>
      </c>
    </row>
    <row r="1103" spans="1:9" ht="18.75" customHeight="1" x14ac:dyDescent="0.4">
      <c r="A1103" s="14" t="s">
        <v>2373</v>
      </c>
      <c r="B1103" s="16" t="str">
        <f>TRIM("もと軌道敷(松島安治川線)")</f>
        <v>もと軌道敷(松島安治川線)</v>
      </c>
      <c r="C1103" s="14" t="s">
        <v>1530</v>
      </c>
      <c r="D1103" s="14" t="s">
        <v>981</v>
      </c>
      <c r="E1103" s="1">
        <v>19864.05</v>
      </c>
      <c r="F1103" s="2"/>
      <c r="G1103" s="1"/>
      <c r="H1103" s="3"/>
      <c r="I1103" s="14" t="s">
        <v>2177</v>
      </c>
    </row>
    <row r="1104" spans="1:9" ht="18.75" customHeight="1" x14ac:dyDescent="0.4">
      <c r="A1104" s="14" t="s">
        <v>2664</v>
      </c>
      <c r="B1104" s="16" t="str">
        <f>TRIM("　九条北公園")</f>
        <v>九条北公園</v>
      </c>
      <c r="C1104" s="14" t="s">
        <v>1530</v>
      </c>
      <c r="D1104" s="14" t="s">
        <v>981</v>
      </c>
      <c r="E1104" s="1">
        <v>6741.09</v>
      </c>
      <c r="F1104" s="2"/>
      <c r="G1104" s="1"/>
      <c r="H1104" s="3"/>
      <c r="I1104" s="14" t="s">
        <v>2177</v>
      </c>
    </row>
    <row r="1105" spans="1:9" ht="18.75" customHeight="1" x14ac:dyDescent="0.4">
      <c r="A1105" s="14" t="s">
        <v>3548</v>
      </c>
      <c r="B1105" s="16" t="str">
        <f>TRIM("　九条北公園")</f>
        <v>九条北公園</v>
      </c>
      <c r="C1105" s="14" t="s">
        <v>1530</v>
      </c>
      <c r="D1105" s="14" t="s">
        <v>981</v>
      </c>
      <c r="E1105" s="1"/>
      <c r="F1105" s="2"/>
      <c r="G1105" s="1">
        <v>18</v>
      </c>
      <c r="H1105" s="3"/>
      <c r="I1105" s="14" t="s">
        <v>2177</v>
      </c>
    </row>
    <row r="1106" spans="1:9" ht="18.75" customHeight="1" x14ac:dyDescent="0.4">
      <c r="A1106" s="14" t="s">
        <v>2344</v>
      </c>
      <c r="B1106" s="16" t="str">
        <f>TRIM("国道172号線(西)(もと交通局)")</f>
        <v>国道172号線(西)(もと交通局)</v>
      </c>
      <c r="C1106" s="14" t="s">
        <v>1530</v>
      </c>
      <c r="D1106" s="14" t="s">
        <v>968</v>
      </c>
      <c r="E1106" s="1">
        <v>12.67</v>
      </c>
      <c r="F1106" s="2"/>
      <c r="G1106" s="1"/>
      <c r="H1106" s="3"/>
      <c r="I1106" s="14" t="s">
        <v>2177</v>
      </c>
    </row>
    <row r="1107" spans="1:9" ht="18.75" customHeight="1" x14ac:dyDescent="0.4">
      <c r="A1107" s="14" t="s">
        <v>2399</v>
      </c>
      <c r="B1107" s="16" t="str">
        <f>TRIM("長堀バス駐車場")</f>
        <v>長堀バス駐車場</v>
      </c>
      <c r="C1107" s="14" t="s">
        <v>1530</v>
      </c>
      <c r="D1107" s="14" t="s">
        <v>1094</v>
      </c>
      <c r="E1107" s="1"/>
      <c r="F1107" s="2"/>
      <c r="G1107" s="1">
        <v>111</v>
      </c>
      <c r="H1107" s="3"/>
      <c r="I1107" s="14" t="s">
        <v>2177</v>
      </c>
    </row>
    <row r="1108" spans="1:9" ht="18.75" customHeight="1" x14ac:dyDescent="0.4">
      <c r="A1108" s="14" t="s">
        <v>2487</v>
      </c>
      <c r="B1108" s="16" t="str">
        <f>TRIM("西横堀川埋立地（西）")</f>
        <v>西横堀川埋立地（西）</v>
      </c>
      <c r="C1108" s="14" t="s">
        <v>1530</v>
      </c>
      <c r="D1108" s="14" t="s">
        <v>1094</v>
      </c>
      <c r="E1108" s="1">
        <v>162.81</v>
      </c>
      <c r="F1108" s="2"/>
      <c r="G1108" s="1"/>
      <c r="H1108" s="3"/>
      <c r="I1108" s="14" t="s">
        <v>2177</v>
      </c>
    </row>
    <row r="1109" spans="1:9" ht="18.75" customHeight="1" x14ac:dyDescent="0.4">
      <c r="A1109" s="14" t="s">
        <v>2857</v>
      </c>
      <c r="B1109" s="16" t="str">
        <f>TRIM("　新町北公園")</f>
        <v>新町北公園</v>
      </c>
      <c r="C1109" s="14" t="s">
        <v>1530</v>
      </c>
      <c r="D1109" s="14" t="s">
        <v>1094</v>
      </c>
      <c r="E1109" s="1">
        <v>5699.66</v>
      </c>
      <c r="F1109" s="2"/>
      <c r="G1109" s="1"/>
      <c r="H1109" s="3"/>
      <c r="I1109" s="14" t="s">
        <v>2177</v>
      </c>
    </row>
    <row r="1110" spans="1:9" ht="18.75" customHeight="1" x14ac:dyDescent="0.4">
      <c r="A1110" s="14" t="s">
        <v>5221</v>
      </c>
      <c r="B1110" s="16" t="str">
        <f>TRIM(" 西消防署新町出張所")</f>
        <v>西消防署新町出張所</v>
      </c>
      <c r="C1110" s="14" t="s">
        <v>1530</v>
      </c>
      <c r="D1110" s="14" t="s">
        <v>1094</v>
      </c>
      <c r="E1110" s="1"/>
      <c r="F1110" s="2"/>
      <c r="G1110" s="1">
        <v>824.57</v>
      </c>
      <c r="H1110" s="3"/>
      <c r="I1110" s="14" t="s">
        <v>5219</v>
      </c>
    </row>
    <row r="1111" spans="1:9" ht="18.75" customHeight="1" x14ac:dyDescent="0.4">
      <c r="A1111" s="14" t="s">
        <v>5222</v>
      </c>
      <c r="B1111" s="16" t="str">
        <f>TRIM("　西消防署新町出張所")</f>
        <v>西消防署新町出張所</v>
      </c>
      <c r="C1111" s="14" t="s">
        <v>1530</v>
      </c>
      <c r="D1111" s="14" t="s">
        <v>1094</v>
      </c>
      <c r="E1111" s="1">
        <v>459.37</v>
      </c>
      <c r="F1111" s="2"/>
      <c r="G1111" s="1"/>
      <c r="H1111" s="3"/>
      <c r="I1111" s="14" t="s">
        <v>5219</v>
      </c>
    </row>
    <row r="1112" spans="1:9" ht="18.75" customHeight="1" x14ac:dyDescent="0.4">
      <c r="A1112" s="14" t="s">
        <v>2856</v>
      </c>
      <c r="B1112" s="16" t="str">
        <f>TRIM("　新町南公園")</f>
        <v>新町南公園</v>
      </c>
      <c r="C1112" s="14" t="s">
        <v>1530</v>
      </c>
      <c r="D1112" s="14" t="s">
        <v>545</v>
      </c>
      <c r="E1112" s="1">
        <v>3335.04</v>
      </c>
      <c r="F1112" s="2"/>
      <c r="G1112" s="1"/>
      <c r="H1112" s="3"/>
      <c r="I1112" s="14" t="s">
        <v>2177</v>
      </c>
    </row>
    <row r="1113" spans="1:9" ht="18.75" customHeight="1" x14ac:dyDescent="0.4">
      <c r="A1113" s="14" t="s">
        <v>5742</v>
      </c>
      <c r="B1113" s="16" t="str">
        <f>TRIM("西六保育園")</f>
        <v>西六保育園</v>
      </c>
      <c r="C1113" s="14" t="s">
        <v>1530</v>
      </c>
      <c r="D1113" s="14" t="s">
        <v>545</v>
      </c>
      <c r="E1113" s="1">
        <v>825.32</v>
      </c>
      <c r="F1113" s="2"/>
      <c r="G1113" s="1"/>
      <c r="H1113" s="3"/>
      <c r="I1113" s="14" t="s">
        <v>5617</v>
      </c>
    </row>
    <row r="1114" spans="1:9" ht="18.75" customHeight="1" x14ac:dyDescent="0.4">
      <c r="A1114" s="14" t="s">
        <v>2364</v>
      </c>
      <c r="B1114" s="16" t="str">
        <f>TRIM("もと軌道敷(東西線)")</f>
        <v>もと軌道敷(東西線)</v>
      </c>
      <c r="C1114" s="14" t="s">
        <v>1530</v>
      </c>
      <c r="D1114" s="14" t="s">
        <v>978</v>
      </c>
      <c r="E1114" s="1">
        <v>5475.74</v>
      </c>
      <c r="F1114" s="2"/>
      <c r="G1114" s="1"/>
      <c r="H1114" s="3"/>
      <c r="I1114" s="14" t="s">
        <v>2177</v>
      </c>
    </row>
    <row r="1115" spans="1:9" ht="18.75" customHeight="1" x14ac:dyDescent="0.4">
      <c r="A1115" s="14" t="s">
        <v>3372</v>
      </c>
      <c r="B1115" s="16" t="str">
        <f>TRIM("　立売堀公園")</f>
        <v>立売堀公園</v>
      </c>
      <c r="C1115" s="14" t="s">
        <v>1530</v>
      </c>
      <c r="D1115" s="14" t="s">
        <v>978</v>
      </c>
      <c r="E1115" s="1">
        <v>1851.57</v>
      </c>
      <c r="F1115" s="2"/>
      <c r="G1115" s="1"/>
      <c r="H1115" s="3"/>
      <c r="I1115" s="14" t="s">
        <v>2177</v>
      </c>
    </row>
    <row r="1116" spans="1:9" ht="18.75" customHeight="1" x14ac:dyDescent="0.4">
      <c r="A1116" s="14" t="s">
        <v>4402</v>
      </c>
      <c r="B1116" s="16" t="str">
        <f>TRIM("西区保健福祉センター")</f>
        <v>西区保健福祉センター</v>
      </c>
      <c r="C1116" s="14" t="s">
        <v>1530</v>
      </c>
      <c r="D1116" s="14" t="s">
        <v>472</v>
      </c>
      <c r="E1116" s="1">
        <v>992.52</v>
      </c>
      <c r="F1116" s="2"/>
      <c r="G1116" s="1">
        <v>2063</v>
      </c>
      <c r="H1116" s="3"/>
      <c r="I1116" s="14" t="s">
        <v>2013</v>
      </c>
    </row>
    <row r="1117" spans="1:9" ht="18.75" customHeight="1" x14ac:dyDescent="0.4">
      <c r="A1117" s="14" t="s">
        <v>4403</v>
      </c>
      <c r="B1117" s="16" t="str">
        <f>TRIM("西区役所")</f>
        <v>西区役所</v>
      </c>
      <c r="C1117" s="14" t="s">
        <v>1530</v>
      </c>
      <c r="D1117" s="14" t="s">
        <v>472</v>
      </c>
      <c r="E1117" s="1">
        <v>1241.3699999999999</v>
      </c>
      <c r="F1117" s="2"/>
      <c r="G1117" s="1">
        <v>6940.4</v>
      </c>
      <c r="H1117" s="3"/>
      <c r="I1117" s="14" t="s">
        <v>2013</v>
      </c>
    </row>
    <row r="1118" spans="1:9" ht="18.75" customHeight="1" x14ac:dyDescent="0.4">
      <c r="A1118" s="14" t="s">
        <v>6022</v>
      </c>
      <c r="B1118" s="16" t="str">
        <f>TRIM("河川事務所")</f>
        <v>河川事務所</v>
      </c>
      <c r="C1118" s="14" t="s">
        <v>1530</v>
      </c>
      <c r="D1118" s="14" t="s">
        <v>472</v>
      </c>
      <c r="E1118" s="1">
        <v>315.95999999999998</v>
      </c>
      <c r="F1118" s="2"/>
      <c r="G1118" s="1">
        <v>299.48</v>
      </c>
      <c r="H1118" s="3"/>
      <c r="I1118" s="14" t="s">
        <v>5977</v>
      </c>
    </row>
    <row r="1119" spans="1:9" ht="18.75" customHeight="1" x14ac:dyDescent="0.4">
      <c r="A1119" s="14" t="s">
        <v>6971</v>
      </c>
      <c r="B1119" s="16" t="str">
        <f>TRIM("  中央急病診療所")</f>
        <v>中央急病診療所</v>
      </c>
      <c r="C1119" s="14" t="s">
        <v>1530</v>
      </c>
      <c r="D1119" s="14" t="s">
        <v>472</v>
      </c>
      <c r="E1119" s="1">
        <v>1642.34</v>
      </c>
      <c r="F1119" s="2"/>
      <c r="G1119" s="1">
        <v>3184.01</v>
      </c>
      <c r="H1119" s="3"/>
      <c r="I1119" s="14" t="s">
        <v>2402</v>
      </c>
    </row>
    <row r="1120" spans="1:9" ht="18.75" customHeight="1" x14ac:dyDescent="0.4">
      <c r="A1120" s="14" t="s">
        <v>2855</v>
      </c>
      <c r="B1120" s="16" t="str">
        <f>TRIM("　新町西公園")</f>
        <v>新町西公園</v>
      </c>
      <c r="C1120" s="14" t="s">
        <v>1530</v>
      </c>
      <c r="D1120" s="14" t="s">
        <v>472</v>
      </c>
      <c r="E1120" s="1">
        <v>2313.0500000000002</v>
      </c>
      <c r="F1120" s="2"/>
      <c r="G1120" s="1"/>
      <c r="H1120" s="3"/>
      <c r="I1120" s="14" t="s">
        <v>2177</v>
      </c>
    </row>
    <row r="1121" spans="1:9" ht="18.75" customHeight="1" x14ac:dyDescent="0.4">
      <c r="A1121" s="14" t="s">
        <v>3868</v>
      </c>
      <c r="B1121" s="16" t="str">
        <f>TRIM("西長堀駅自転車駐車場管理事務所")</f>
        <v>西長堀駅自転車駐車場管理事務所</v>
      </c>
      <c r="C1121" s="14" t="s">
        <v>1530</v>
      </c>
      <c r="D1121" s="14" t="s">
        <v>472</v>
      </c>
      <c r="E1121" s="1"/>
      <c r="F1121" s="2"/>
      <c r="G1121" s="1">
        <v>12.58</v>
      </c>
      <c r="H1121" s="3"/>
      <c r="I1121" s="14" t="s">
        <v>2177</v>
      </c>
    </row>
    <row r="1122" spans="1:9" ht="18.75" customHeight="1" x14ac:dyDescent="0.4">
      <c r="A1122" s="14" t="s">
        <v>2272</v>
      </c>
      <c r="B1122" s="16" t="str">
        <f>TRIM("大阪八尾線（西）（管財課）")</f>
        <v>大阪八尾線（西）（管財課）</v>
      </c>
      <c r="C1122" s="14" t="s">
        <v>1530</v>
      </c>
      <c r="D1122" s="14" t="s">
        <v>941</v>
      </c>
      <c r="E1122" s="1">
        <v>14180.13</v>
      </c>
      <c r="F1122" s="2"/>
      <c r="G1122" s="1"/>
      <c r="H1122" s="3"/>
      <c r="I1122" s="14" t="s">
        <v>2177</v>
      </c>
    </row>
    <row r="1123" spans="1:9" ht="18.75" customHeight="1" x14ac:dyDescent="0.4">
      <c r="A1123" s="14" t="s">
        <v>2812</v>
      </c>
      <c r="B1123" s="16" t="str">
        <f>TRIM("　松島公園")</f>
        <v>松島公園</v>
      </c>
      <c r="C1123" s="14" t="s">
        <v>1530</v>
      </c>
      <c r="D1123" s="14" t="s">
        <v>941</v>
      </c>
      <c r="E1123" s="1">
        <v>36497.85</v>
      </c>
      <c r="F1123" s="2"/>
      <c r="G1123" s="1"/>
      <c r="H1123" s="3"/>
      <c r="I1123" s="14" t="s">
        <v>2177</v>
      </c>
    </row>
    <row r="1124" spans="1:9" ht="18.75" customHeight="1" x14ac:dyDescent="0.4">
      <c r="A1124" s="14" t="s">
        <v>3576</v>
      </c>
      <c r="B1124" s="16" t="str">
        <f>TRIM("　松島公園")</f>
        <v>松島公園</v>
      </c>
      <c r="C1124" s="14" t="s">
        <v>1530</v>
      </c>
      <c r="D1124" s="14" t="s">
        <v>941</v>
      </c>
      <c r="E1124" s="1"/>
      <c r="F1124" s="2"/>
      <c r="G1124" s="1">
        <v>407.98</v>
      </c>
      <c r="H1124" s="3"/>
      <c r="I1124" s="14" t="s">
        <v>2177</v>
      </c>
    </row>
    <row r="1125" spans="1:9" ht="18.75" customHeight="1" x14ac:dyDescent="0.4">
      <c r="A1125" s="14" t="s">
        <v>2070</v>
      </c>
      <c r="B1125" s="16" t="str">
        <f>TRIM("千代崎連合地域集会所（もと千代崎老人憩の家）")</f>
        <v>千代崎連合地域集会所（もと千代崎老人憩の家）</v>
      </c>
      <c r="C1125" s="14" t="s">
        <v>1530</v>
      </c>
      <c r="D1125" s="14" t="s">
        <v>581</v>
      </c>
      <c r="E1125" s="1">
        <v>215.29</v>
      </c>
      <c r="F1125" s="2"/>
      <c r="G1125" s="1"/>
      <c r="H1125" s="3"/>
      <c r="I1125" s="14" t="s">
        <v>2013</v>
      </c>
    </row>
    <row r="1126" spans="1:9" ht="18.75" customHeight="1" x14ac:dyDescent="0.4">
      <c r="A1126" s="14" t="s">
        <v>4406</v>
      </c>
      <c r="B1126" s="16" t="str">
        <f>TRIM("千代崎会館")</f>
        <v>千代崎会館</v>
      </c>
      <c r="C1126" s="14" t="s">
        <v>1530</v>
      </c>
      <c r="D1126" s="14" t="s">
        <v>581</v>
      </c>
      <c r="E1126" s="1"/>
      <c r="F1126" s="2"/>
      <c r="G1126" s="1">
        <v>120.97</v>
      </c>
      <c r="H1126" s="3"/>
      <c r="I1126" s="14" t="s">
        <v>2013</v>
      </c>
    </row>
    <row r="1127" spans="1:9" ht="18.75" customHeight="1" x14ac:dyDescent="0.4">
      <c r="A1127" s="14" t="s">
        <v>5881</v>
      </c>
      <c r="B1127" s="16" t="str">
        <f>TRIM("西保育園")</f>
        <v>西保育園</v>
      </c>
      <c r="C1127" s="14" t="s">
        <v>1530</v>
      </c>
      <c r="D1127" s="14" t="s">
        <v>581</v>
      </c>
      <c r="E1127" s="1">
        <v>823.2</v>
      </c>
      <c r="F1127" s="2"/>
      <c r="G1127" s="1"/>
      <c r="H1127" s="3"/>
      <c r="I1127" s="14" t="s">
        <v>5617</v>
      </c>
    </row>
    <row r="1128" spans="1:9" ht="18.75" customHeight="1" x14ac:dyDescent="0.4">
      <c r="A1128" s="14" t="s">
        <v>6063</v>
      </c>
      <c r="B1128" s="16" t="str">
        <f>TRIM("岩崎橋仮設駐車場")</f>
        <v>岩崎橋仮設駐車場</v>
      </c>
      <c r="C1128" s="14" t="s">
        <v>1530</v>
      </c>
      <c r="D1128" s="14" t="s">
        <v>313</v>
      </c>
      <c r="E1128" s="1">
        <v>2370.08</v>
      </c>
      <c r="F1128" s="2">
        <v>885</v>
      </c>
      <c r="G1128" s="1"/>
      <c r="H1128" s="3"/>
      <c r="I1128" s="14" t="s">
        <v>5977</v>
      </c>
    </row>
    <row r="1129" spans="1:9" ht="18.75" customHeight="1" x14ac:dyDescent="0.4">
      <c r="A1129" s="14" t="s">
        <v>4914</v>
      </c>
      <c r="B1129" s="16" t="str">
        <f>TRIM("西中学校")</f>
        <v>西中学校</v>
      </c>
      <c r="C1129" s="14" t="s">
        <v>1530</v>
      </c>
      <c r="D1129" s="14" t="s">
        <v>313</v>
      </c>
      <c r="E1129" s="1">
        <v>12795.11</v>
      </c>
      <c r="F1129" s="2"/>
      <c r="G1129" s="1">
        <v>5733.64</v>
      </c>
      <c r="H1129" s="3"/>
      <c r="I1129" s="14" t="s">
        <v>4689</v>
      </c>
    </row>
    <row r="1130" spans="1:9" ht="18.75" customHeight="1" x14ac:dyDescent="0.4">
      <c r="A1130" s="14" t="s">
        <v>1639</v>
      </c>
      <c r="B1130" s="16" t="str">
        <f>TRIM("岩崎橋地区開発事業用地")</f>
        <v>岩崎橋地区開発事業用地</v>
      </c>
      <c r="C1130" s="14" t="s">
        <v>1530</v>
      </c>
      <c r="D1130" s="14" t="s">
        <v>313</v>
      </c>
      <c r="E1130" s="1">
        <v>20592.38</v>
      </c>
      <c r="F1130" s="2"/>
      <c r="G1130" s="1"/>
      <c r="H1130" s="3"/>
      <c r="I1130" s="14" t="s">
        <v>1633</v>
      </c>
    </row>
    <row r="1131" spans="1:9" ht="18.75" customHeight="1" x14ac:dyDescent="0.4">
      <c r="A1131" s="14" t="s">
        <v>1651</v>
      </c>
      <c r="B1131" s="16" t="str">
        <f>TRIM("岩崎橋用地")</f>
        <v>岩崎橋用地</v>
      </c>
      <c r="C1131" s="14" t="s">
        <v>1530</v>
      </c>
      <c r="D1131" s="14" t="s">
        <v>313</v>
      </c>
      <c r="E1131" s="1">
        <v>443.87</v>
      </c>
      <c r="F1131" s="2"/>
      <c r="G1131" s="1"/>
      <c r="H1131" s="3"/>
      <c r="I1131" s="14" t="s">
        <v>1633</v>
      </c>
    </row>
    <row r="1132" spans="1:9" ht="18.75" customHeight="1" x14ac:dyDescent="0.4">
      <c r="A1132" s="14" t="s">
        <v>2354</v>
      </c>
      <c r="B1132" s="16" t="str">
        <f>TRIM("もと軌道敷(九条中之島松島恩加島線)")</f>
        <v>もと軌道敷(九条中之島松島恩加島線)</v>
      </c>
      <c r="C1132" s="14" t="s">
        <v>1530</v>
      </c>
      <c r="D1132" s="14" t="s">
        <v>313</v>
      </c>
      <c r="E1132" s="1">
        <v>10454.33</v>
      </c>
      <c r="F1132" s="2"/>
      <c r="G1132" s="1"/>
      <c r="H1132" s="3"/>
      <c r="I1132" s="14" t="s">
        <v>2177</v>
      </c>
    </row>
    <row r="1133" spans="1:9" ht="18.75" customHeight="1" x14ac:dyDescent="0.4">
      <c r="A1133" s="14" t="s">
        <v>2374</v>
      </c>
      <c r="B1133" s="16" t="str">
        <f>TRIM("もと軌道敷(松島南恩加島線)")</f>
        <v>もと軌道敷(松島南恩加島線)</v>
      </c>
      <c r="C1133" s="14" t="s">
        <v>1530</v>
      </c>
      <c r="D1133" s="14" t="s">
        <v>313</v>
      </c>
      <c r="E1133" s="1">
        <v>29201.759999999998</v>
      </c>
      <c r="F1133" s="2"/>
      <c r="G1133" s="1"/>
      <c r="H1133" s="3"/>
      <c r="I1133" s="14" t="s">
        <v>2177</v>
      </c>
    </row>
    <row r="1134" spans="1:9" ht="18.75" customHeight="1" x14ac:dyDescent="0.4">
      <c r="A1134" s="14" t="s">
        <v>2531</v>
      </c>
      <c r="B1134" s="16" t="str">
        <f>TRIM("　　大阪ドーム南公園")</f>
        <v>大阪ドーム南公園</v>
      </c>
      <c r="C1134" s="14" t="s">
        <v>1530</v>
      </c>
      <c r="D1134" s="14" t="s">
        <v>313</v>
      </c>
      <c r="E1134" s="1">
        <v>775.21</v>
      </c>
      <c r="F1134" s="2"/>
      <c r="G1134" s="1"/>
      <c r="H1134" s="3"/>
      <c r="I1134" s="14" t="s">
        <v>2177</v>
      </c>
    </row>
    <row r="1135" spans="1:9" ht="18.75" customHeight="1" x14ac:dyDescent="0.4">
      <c r="A1135" s="14" t="s">
        <v>3767</v>
      </c>
      <c r="B1135" s="16" t="str">
        <f>TRIM("ドーム前千代崎駅自転車駐車場")</f>
        <v>ドーム前千代崎駅自転車駐車場</v>
      </c>
      <c r="C1135" s="14" t="s">
        <v>1530</v>
      </c>
      <c r="D1135" s="14" t="s">
        <v>313</v>
      </c>
      <c r="E1135" s="1"/>
      <c r="F1135" s="2"/>
      <c r="G1135" s="1">
        <v>666</v>
      </c>
      <c r="H1135" s="3"/>
      <c r="I1135" s="14" t="s">
        <v>2177</v>
      </c>
    </row>
    <row r="1136" spans="1:9" ht="18.75" customHeight="1" x14ac:dyDescent="0.4">
      <c r="A1136" s="14" t="s">
        <v>2385</v>
      </c>
      <c r="B1136" s="16" t="str">
        <f>TRIM("土佐堀地下駐車場")</f>
        <v>土佐堀地下駐車場</v>
      </c>
      <c r="C1136" s="14" t="s">
        <v>1530</v>
      </c>
      <c r="D1136" s="14" t="s">
        <v>1476</v>
      </c>
      <c r="E1136" s="1"/>
      <c r="F1136" s="2"/>
      <c r="G1136" s="1">
        <v>6700.55</v>
      </c>
      <c r="H1136" s="3"/>
      <c r="I1136" s="14" t="s">
        <v>2177</v>
      </c>
    </row>
    <row r="1137" spans="1:9" ht="18.75" customHeight="1" x14ac:dyDescent="0.4">
      <c r="A1137" s="14" t="s">
        <v>5916</v>
      </c>
      <c r="B1137" s="16" t="str">
        <f>TRIM("梅本保育所")</f>
        <v>梅本保育所</v>
      </c>
      <c r="C1137" s="14" t="s">
        <v>1530</v>
      </c>
      <c r="D1137" s="14" t="s">
        <v>594</v>
      </c>
      <c r="E1137" s="1">
        <v>1418.91</v>
      </c>
      <c r="F1137" s="2"/>
      <c r="G1137" s="1">
        <v>557.95000000000005</v>
      </c>
      <c r="H1137" s="3"/>
      <c r="I1137" s="14" t="s">
        <v>5617</v>
      </c>
    </row>
    <row r="1138" spans="1:9" ht="18.75" customHeight="1" x14ac:dyDescent="0.4">
      <c r="A1138" s="14" t="s">
        <v>2353</v>
      </c>
      <c r="B1138" s="16" t="str">
        <f>TRIM("もと軌道敷(九条中之島線)")</f>
        <v>もと軌道敷(九条中之島線)</v>
      </c>
      <c r="C1138" s="14" t="s">
        <v>1530</v>
      </c>
      <c r="D1138" s="14" t="s">
        <v>594</v>
      </c>
      <c r="E1138" s="1">
        <v>4961.05</v>
      </c>
      <c r="F1138" s="2"/>
      <c r="G1138" s="1"/>
      <c r="H1138" s="3"/>
      <c r="I1138" s="14" t="s">
        <v>2177</v>
      </c>
    </row>
    <row r="1139" spans="1:9" ht="18.75" customHeight="1" x14ac:dyDescent="0.4">
      <c r="A1139" s="14" t="s">
        <v>2495</v>
      </c>
      <c r="B1139" s="16" t="str">
        <f>TRIM("防潮堤（西）")</f>
        <v>防潮堤（西）</v>
      </c>
      <c r="C1139" s="14" t="s">
        <v>1530</v>
      </c>
      <c r="D1139" s="14" t="s">
        <v>594</v>
      </c>
      <c r="E1139" s="1">
        <v>414.37</v>
      </c>
      <c r="F1139" s="2"/>
      <c r="G1139" s="1"/>
      <c r="H1139" s="3"/>
      <c r="I1139" s="14" t="s">
        <v>2177</v>
      </c>
    </row>
    <row r="1140" spans="1:9" ht="18.75" customHeight="1" x14ac:dyDescent="0.4">
      <c r="A1140" s="14" t="s">
        <v>4109</v>
      </c>
      <c r="B1140" s="16" t="str">
        <f>TRIM("本田材料置場")</f>
        <v>本田材料置場</v>
      </c>
      <c r="C1140" s="14" t="s">
        <v>1530</v>
      </c>
      <c r="D1140" s="14" t="s">
        <v>594</v>
      </c>
      <c r="E1140" s="1">
        <v>132.84</v>
      </c>
      <c r="F1140" s="2"/>
      <c r="G1140" s="1"/>
      <c r="H1140" s="3"/>
      <c r="I1140" s="14" t="s">
        <v>2177</v>
      </c>
    </row>
    <row r="1141" spans="1:9" ht="18.75" customHeight="1" x14ac:dyDescent="0.4">
      <c r="A1141" s="14" t="s">
        <v>7111</v>
      </c>
      <c r="B1141" s="16" t="str">
        <f>TRIM("西屋内プール")</f>
        <v>西屋内プール</v>
      </c>
      <c r="C1141" s="14" t="s">
        <v>1530</v>
      </c>
      <c r="D1141" s="14" t="s">
        <v>594</v>
      </c>
      <c r="E1141" s="1"/>
      <c r="F1141" s="2"/>
      <c r="G1141" s="1">
        <v>3061.83</v>
      </c>
      <c r="H1141" s="3"/>
      <c r="I1141" s="14" t="s">
        <v>4115</v>
      </c>
    </row>
    <row r="1142" spans="1:9" ht="18.75" customHeight="1" x14ac:dyDescent="0.4">
      <c r="A1142" s="14" t="s">
        <v>1801</v>
      </c>
      <c r="B1142" s="16" t="str">
        <f>TRIM("西区老人福祉センター")</f>
        <v>西区老人福祉センター</v>
      </c>
      <c r="C1142" s="14" t="s">
        <v>1530</v>
      </c>
      <c r="D1142" s="14" t="s">
        <v>448</v>
      </c>
      <c r="E1142" s="1">
        <v>1336.24</v>
      </c>
      <c r="F1142" s="2"/>
      <c r="G1142" s="1">
        <v>727.24</v>
      </c>
      <c r="H1142" s="3"/>
      <c r="I1142" s="14" t="s">
        <v>1654</v>
      </c>
    </row>
    <row r="1143" spans="1:9" ht="18.75" customHeight="1" x14ac:dyDescent="0.4">
      <c r="A1143" s="14" t="s">
        <v>2152</v>
      </c>
      <c r="B1143" s="16" t="str">
        <f>TRIM("本田連合地域集会所（もと本田老人憩の家）")</f>
        <v>本田連合地域集会所（もと本田老人憩の家）</v>
      </c>
      <c r="C1143" s="14" t="s">
        <v>1530</v>
      </c>
      <c r="D1143" s="14" t="s">
        <v>448</v>
      </c>
      <c r="E1143" s="1">
        <v>185.85</v>
      </c>
      <c r="F1143" s="2"/>
      <c r="G1143" s="1">
        <v>107.86</v>
      </c>
      <c r="H1143" s="3"/>
      <c r="I1143" s="14" t="s">
        <v>2013</v>
      </c>
    </row>
    <row r="1144" spans="1:9" ht="18.75" customHeight="1" x14ac:dyDescent="0.4">
      <c r="A1144" s="14" t="s">
        <v>3330</v>
      </c>
      <c r="B1144" s="16" t="str">
        <f>TRIM("　本田公園")</f>
        <v>本田公園</v>
      </c>
      <c r="C1144" s="14" t="s">
        <v>1530</v>
      </c>
      <c r="D1144" s="14" t="s">
        <v>448</v>
      </c>
      <c r="E1144" s="1">
        <v>1888.89</v>
      </c>
      <c r="F1144" s="2"/>
      <c r="G1144" s="1"/>
      <c r="H1144" s="3"/>
      <c r="I1144" s="14" t="s">
        <v>2177</v>
      </c>
    </row>
    <row r="1145" spans="1:9" ht="18.75" customHeight="1" x14ac:dyDescent="0.4">
      <c r="A1145" s="14" t="s">
        <v>4408</v>
      </c>
      <c r="B1145" s="16" t="str">
        <f>TRIM("本田連合会館")</f>
        <v>本田連合会館</v>
      </c>
      <c r="C1145" s="14" t="s">
        <v>1530</v>
      </c>
      <c r="D1145" s="14" t="s">
        <v>448</v>
      </c>
      <c r="E1145" s="1"/>
      <c r="F1145" s="2"/>
      <c r="G1145" s="1">
        <v>107.75</v>
      </c>
      <c r="H1145" s="3"/>
      <c r="I1145" s="14" t="s">
        <v>2013</v>
      </c>
    </row>
    <row r="1146" spans="1:9" ht="18.75" customHeight="1" x14ac:dyDescent="0.4">
      <c r="A1146" s="14" t="s">
        <v>5671</v>
      </c>
      <c r="B1146" s="16" t="str">
        <f>TRIM("もと西勤労青少年ホーム")</f>
        <v>もと西勤労青少年ホーム</v>
      </c>
      <c r="C1146" s="14" t="s">
        <v>1530</v>
      </c>
      <c r="D1146" s="14" t="s">
        <v>448</v>
      </c>
      <c r="E1146" s="1"/>
      <c r="F1146" s="2"/>
      <c r="G1146" s="1">
        <v>656.89</v>
      </c>
      <c r="H1146" s="3" t="s">
        <v>7353</v>
      </c>
      <c r="I1146" s="14" t="s">
        <v>5617</v>
      </c>
    </row>
    <row r="1147" spans="1:9" ht="18.75" customHeight="1" x14ac:dyDescent="0.4">
      <c r="A1147" s="14" t="s">
        <v>5452</v>
      </c>
      <c r="B1147" s="16" t="str">
        <f>TRIM("過小地（もと警察関係土地）")</f>
        <v>過小地（もと警察関係土地）</v>
      </c>
      <c r="C1147" s="14" t="s">
        <v>1530</v>
      </c>
      <c r="D1147" s="14" t="s">
        <v>198</v>
      </c>
      <c r="E1147" s="1">
        <v>75.95</v>
      </c>
      <c r="F1147" s="2"/>
      <c r="G1147" s="1"/>
      <c r="H1147" s="3"/>
      <c r="I1147" s="14" t="s">
        <v>5349</v>
      </c>
    </row>
    <row r="1148" spans="1:9" ht="18.75" customHeight="1" x14ac:dyDescent="0.4">
      <c r="A1148" s="14" t="s">
        <v>2482</v>
      </c>
      <c r="B1148" s="16" t="str">
        <f>TRIM("共同物揚場（西）")</f>
        <v>共同物揚場（西）</v>
      </c>
      <c r="C1148" s="14" t="s">
        <v>1530</v>
      </c>
      <c r="D1148" s="14" t="s">
        <v>1247</v>
      </c>
      <c r="E1148" s="1">
        <v>667.9</v>
      </c>
      <c r="F1148" s="2"/>
      <c r="G1148" s="1"/>
      <c r="H1148" s="3"/>
      <c r="I1148" s="14" t="s">
        <v>2177</v>
      </c>
    </row>
    <row r="1149" spans="1:9" ht="18.75" customHeight="1" x14ac:dyDescent="0.4">
      <c r="A1149" s="14" t="s">
        <v>3324</v>
      </c>
      <c r="B1149" s="16" t="str">
        <f>TRIM("　堀江公園")</f>
        <v>堀江公園</v>
      </c>
      <c r="C1149" s="14" t="s">
        <v>1530</v>
      </c>
      <c r="D1149" s="14" t="s">
        <v>1247</v>
      </c>
      <c r="E1149" s="1">
        <v>5262.67</v>
      </c>
      <c r="F1149" s="2"/>
      <c r="G1149" s="1"/>
      <c r="H1149" s="3"/>
      <c r="I1149" s="14" t="s">
        <v>2177</v>
      </c>
    </row>
    <row r="1150" spans="1:9" ht="18.75" customHeight="1" x14ac:dyDescent="0.4">
      <c r="A1150" s="14" t="s">
        <v>2711</v>
      </c>
      <c r="B1150" s="16" t="str">
        <f>TRIM("　高台橋公園")</f>
        <v>高台橋公園</v>
      </c>
      <c r="C1150" s="14" t="s">
        <v>1530</v>
      </c>
      <c r="D1150" s="14" t="s">
        <v>1040</v>
      </c>
      <c r="E1150" s="1">
        <v>3491.33</v>
      </c>
      <c r="F1150" s="2"/>
      <c r="G1150" s="1"/>
      <c r="H1150" s="3"/>
      <c r="I1150" s="14" t="s">
        <v>2177</v>
      </c>
    </row>
    <row r="1151" spans="1:9" ht="18.75" customHeight="1" x14ac:dyDescent="0.4">
      <c r="A1151" s="14" t="s">
        <v>3210</v>
      </c>
      <c r="B1151" s="16" t="str">
        <f>TRIM("　南堀江公園")</f>
        <v>南堀江公園</v>
      </c>
      <c r="C1151" s="14" t="s">
        <v>1530</v>
      </c>
      <c r="D1151" s="14" t="s">
        <v>1040</v>
      </c>
      <c r="E1151" s="1">
        <v>4775.66</v>
      </c>
      <c r="F1151" s="2"/>
      <c r="G1151" s="1"/>
      <c r="H1151" s="3"/>
      <c r="I1151" s="14" t="s">
        <v>2177</v>
      </c>
    </row>
    <row r="1152" spans="1:9" ht="18.75" customHeight="1" x14ac:dyDescent="0.4">
      <c r="A1152" s="14" t="s">
        <v>5113</v>
      </c>
      <c r="B1152" s="16" t="str">
        <f>TRIM("堀江中学校")</f>
        <v>堀江中学校</v>
      </c>
      <c r="C1152" s="14" t="s">
        <v>1530</v>
      </c>
      <c r="D1152" s="14" t="s">
        <v>1546</v>
      </c>
      <c r="E1152" s="1">
        <v>21588.26</v>
      </c>
      <c r="F1152" s="2"/>
      <c r="G1152" s="1">
        <v>19513.419999999998</v>
      </c>
      <c r="H1152" s="3"/>
      <c r="I1152" s="14" t="s">
        <v>4689</v>
      </c>
    </row>
    <row r="1153" spans="1:9" ht="18.75" customHeight="1" x14ac:dyDescent="0.4">
      <c r="A1153" s="14" t="s">
        <v>6819</v>
      </c>
      <c r="B1153" s="16" t="str">
        <f>TRIM("肩替地（堀江）")</f>
        <v>肩替地（堀江）</v>
      </c>
      <c r="C1153" s="14" t="s">
        <v>1530</v>
      </c>
      <c r="D1153" s="14" t="s">
        <v>212</v>
      </c>
      <c r="E1153" s="1">
        <v>335.99</v>
      </c>
      <c r="F1153" s="2">
        <v>104</v>
      </c>
      <c r="G1153" s="1"/>
      <c r="H1153" s="3"/>
      <c r="I1153" s="14" t="s">
        <v>6177</v>
      </c>
    </row>
    <row r="1154" spans="1:9" ht="18.75" customHeight="1" x14ac:dyDescent="0.4">
      <c r="A1154" s="14" t="s">
        <v>2121</v>
      </c>
      <c r="B1154" s="16" t="str">
        <f>TRIM("日吉連合地域集会所（もと日吉老人憩の家）")</f>
        <v>日吉連合地域集会所（もと日吉老人憩の家）</v>
      </c>
      <c r="C1154" s="14" t="s">
        <v>1530</v>
      </c>
      <c r="D1154" s="14" t="s">
        <v>212</v>
      </c>
      <c r="E1154" s="1">
        <v>261.88</v>
      </c>
      <c r="F1154" s="2"/>
      <c r="G1154" s="1">
        <v>214.67</v>
      </c>
      <c r="H1154" s="3"/>
      <c r="I1154" s="14" t="s">
        <v>2013</v>
      </c>
    </row>
    <row r="1155" spans="1:9" ht="18.75" customHeight="1" x14ac:dyDescent="0.4">
      <c r="A1155" s="14" t="s">
        <v>5057</v>
      </c>
      <c r="B1155" s="16" t="str">
        <f>TRIM("日吉小学校")</f>
        <v>日吉小学校</v>
      </c>
      <c r="C1155" s="14" t="s">
        <v>1530</v>
      </c>
      <c r="D1155" s="14" t="s">
        <v>212</v>
      </c>
      <c r="E1155" s="1">
        <v>12258.18</v>
      </c>
      <c r="F1155" s="2"/>
      <c r="G1155" s="1">
        <v>10304.959999999999</v>
      </c>
      <c r="H1155" s="3"/>
      <c r="I1155" s="14" t="s">
        <v>4689</v>
      </c>
    </row>
    <row r="1156" spans="1:9" ht="18.75" customHeight="1" x14ac:dyDescent="0.4">
      <c r="A1156" s="14" t="s">
        <v>5826</v>
      </c>
      <c r="B1156" s="16" t="str">
        <f>TRIM("日吉幼稚園")</f>
        <v>日吉幼稚園</v>
      </c>
      <c r="C1156" s="14" t="s">
        <v>1530</v>
      </c>
      <c r="D1156" s="14" t="s">
        <v>212</v>
      </c>
      <c r="E1156" s="1">
        <v>2150</v>
      </c>
      <c r="F1156" s="2"/>
      <c r="G1156" s="1">
        <v>1032.3699999999999</v>
      </c>
      <c r="H1156" s="3"/>
      <c r="I1156" s="14" t="s">
        <v>5617</v>
      </c>
    </row>
    <row r="1157" spans="1:9" ht="18.75" customHeight="1" x14ac:dyDescent="0.4">
      <c r="A1157" s="14" t="s">
        <v>2501</v>
      </c>
      <c r="B1157" s="16" t="str">
        <f>TRIM("（仮称）河川管理事務所")</f>
        <v>（仮称）河川管理事務所</v>
      </c>
      <c r="C1157" s="14" t="s">
        <v>1530</v>
      </c>
      <c r="D1157" s="14" t="s">
        <v>212</v>
      </c>
      <c r="E1157" s="1">
        <v>411.72</v>
      </c>
      <c r="F1157" s="2"/>
      <c r="G1157" s="1"/>
      <c r="H1157" s="3"/>
      <c r="I1157" s="14" t="s">
        <v>2177</v>
      </c>
    </row>
    <row r="1158" spans="1:9" ht="18.75" customHeight="1" x14ac:dyDescent="0.4">
      <c r="A1158" s="14" t="s">
        <v>3214</v>
      </c>
      <c r="B1158" s="16" t="str">
        <f>TRIM("　日吉公園")</f>
        <v>日吉公園</v>
      </c>
      <c r="C1158" s="14" t="s">
        <v>1530</v>
      </c>
      <c r="D1158" s="14" t="s">
        <v>212</v>
      </c>
      <c r="E1158" s="1">
        <v>5817.68</v>
      </c>
      <c r="F1158" s="2"/>
      <c r="G1158" s="1"/>
      <c r="H1158" s="3"/>
      <c r="I1158" s="14" t="s">
        <v>2177</v>
      </c>
    </row>
    <row r="1159" spans="1:9" ht="18.75" customHeight="1" x14ac:dyDescent="0.4">
      <c r="A1159" s="14" t="s">
        <v>3657</v>
      </c>
      <c r="B1159" s="16" t="str">
        <f>TRIM("　日吉公園")</f>
        <v>日吉公園</v>
      </c>
      <c r="C1159" s="14" t="s">
        <v>1530</v>
      </c>
      <c r="D1159" s="14" t="s">
        <v>212</v>
      </c>
      <c r="E1159" s="1"/>
      <c r="F1159" s="2"/>
      <c r="G1159" s="1">
        <v>19.2</v>
      </c>
      <c r="H1159" s="3"/>
      <c r="I1159" s="14" t="s">
        <v>2177</v>
      </c>
    </row>
    <row r="1160" spans="1:9" ht="18.75" customHeight="1" x14ac:dyDescent="0.4">
      <c r="A1160" s="14" t="s">
        <v>4407</v>
      </c>
      <c r="B1160" s="16" t="str">
        <f>TRIM("日吉集会所")</f>
        <v>日吉集会所</v>
      </c>
      <c r="C1160" s="14" t="s">
        <v>1530</v>
      </c>
      <c r="D1160" s="14" t="s">
        <v>212</v>
      </c>
      <c r="E1160" s="1"/>
      <c r="F1160" s="2"/>
      <c r="G1160" s="1">
        <v>213.45</v>
      </c>
      <c r="H1160" s="3"/>
      <c r="I1160" s="14" t="s">
        <v>2013</v>
      </c>
    </row>
    <row r="1161" spans="1:9" ht="18.75" customHeight="1" x14ac:dyDescent="0.4">
      <c r="A1161" s="14" t="s">
        <v>5472</v>
      </c>
      <c r="B1161" s="16" t="str">
        <f>TRIM("契約管財局賃貸地（西）")</f>
        <v>契約管財局賃貸地（西）</v>
      </c>
      <c r="C1161" s="14" t="s">
        <v>1530</v>
      </c>
      <c r="D1161" s="14" t="s">
        <v>212</v>
      </c>
      <c r="E1161" s="1">
        <v>369.54</v>
      </c>
      <c r="F1161" s="2"/>
      <c r="G1161" s="1"/>
      <c r="H1161" s="3"/>
      <c r="I1161" s="14" t="s">
        <v>5349</v>
      </c>
    </row>
    <row r="1162" spans="1:9" ht="18.75" customHeight="1" x14ac:dyDescent="0.4">
      <c r="A1162" s="14" t="s">
        <v>4801</v>
      </c>
      <c r="B1162" s="16" t="str">
        <f>TRIM("港中学校")</f>
        <v>港中学校</v>
      </c>
      <c r="C1162" s="14" t="s">
        <v>1512</v>
      </c>
      <c r="D1162" s="14" t="s">
        <v>540</v>
      </c>
      <c r="E1162" s="1">
        <v>17130.759999999998</v>
      </c>
      <c r="F1162" s="2"/>
      <c r="G1162" s="1">
        <v>11959.11</v>
      </c>
      <c r="H1162" s="3"/>
      <c r="I1162" s="14" t="s">
        <v>4689</v>
      </c>
    </row>
    <row r="1163" spans="1:9" ht="18.75" customHeight="1" x14ac:dyDescent="0.4">
      <c r="A1163" s="14" t="s">
        <v>5732</v>
      </c>
      <c r="B1163" s="16" t="str">
        <f>TRIM("港保育所")</f>
        <v>港保育所</v>
      </c>
      <c r="C1163" s="14" t="s">
        <v>1512</v>
      </c>
      <c r="D1163" s="14" t="s">
        <v>540</v>
      </c>
      <c r="E1163" s="1">
        <v>1589.36</v>
      </c>
      <c r="F1163" s="2"/>
      <c r="G1163" s="1"/>
      <c r="H1163" s="3"/>
      <c r="I1163" s="14" t="s">
        <v>5617</v>
      </c>
    </row>
    <row r="1164" spans="1:9" ht="18.75" customHeight="1" x14ac:dyDescent="0.4">
      <c r="A1164" s="14" t="s">
        <v>4959</v>
      </c>
      <c r="B1164" s="16" t="str">
        <f>TRIM("池島小学校")</f>
        <v>池島小学校</v>
      </c>
      <c r="C1164" s="14" t="s">
        <v>1512</v>
      </c>
      <c r="D1164" s="14" t="s">
        <v>530</v>
      </c>
      <c r="E1164" s="1">
        <v>10285.17</v>
      </c>
      <c r="F1164" s="2"/>
      <c r="G1164" s="1">
        <v>6271.99</v>
      </c>
      <c r="H1164" s="3"/>
      <c r="I1164" s="14" t="s">
        <v>4689</v>
      </c>
    </row>
    <row r="1165" spans="1:9" ht="18.75" customHeight="1" x14ac:dyDescent="0.4">
      <c r="A1165" s="14" t="s">
        <v>2084</v>
      </c>
      <c r="B1165" s="16" t="str">
        <f>TRIM("池島いこいの家")</f>
        <v>池島いこいの家</v>
      </c>
      <c r="C1165" s="14" t="s">
        <v>1512</v>
      </c>
      <c r="D1165" s="14" t="s">
        <v>530</v>
      </c>
      <c r="E1165" s="1">
        <v>246.4</v>
      </c>
      <c r="F1165" s="2"/>
      <c r="G1165" s="1"/>
      <c r="H1165" s="3"/>
      <c r="I1165" s="14" t="s">
        <v>1988</v>
      </c>
    </row>
    <row r="1166" spans="1:9" ht="18.75" customHeight="1" x14ac:dyDescent="0.4">
      <c r="A1166" s="14" t="s">
        <v>3032</v>
      </c>
      <c r="B1166" s="16" t="str">
        <f>TRIM("　池島公園")</f>
        <v>池島公園</v>
      </c>
      <c r="C1166" s="14" t="s">
        <v>1512</v>
      </c>
      <c r="D1166" s="14" t="s">
        <v>530</v>
      </c>
      <c r="E1166" s="1">
        <v>10003.31</v>
      </c>
      <c r="F1166" s="2"/>
      <c r="G1166" s="1"/>
      <c r="H1166" s="3"/>
      <c r="I1166" s="14" t="s">
        <v>2177</v>
      </c>
    </row>
    <row r="1167" spans="1:9" ht="18.75" customHeight="1" x14ac:dyDescent="0.4">
      <c r="A1167" s="14" t="s">
        <v>3614</v>
      </c>
      <c r="B1167" s="16" t="str">
        <f>TRIM("　池島公園")</f>
        <v>池島公園</v>
      </c>
      <c r="C1167" s="14" t="s">
        <v>1512</v>
      </c>
      <c r="D1167" s="14" t="s">
        <v>530</v>
      </c>
      <c r="E1167" s="1"/>
      <c r="F1167" s="2"/>
      <c r="G1167" s="1">
        <v>19.2</v>
      </c>
      <c r="H1167" s="3"/>
      <c r="I1167" s="14" t="s">
        <v>2177</v>
      </c>
    </row>
    <row r="1168" spans="1:9" ht="18.75" customHeight="1" x14ac:dyDescent="0.4">
      <c r="A1168" s="14" t="s">
        <v>5700</v>
      </c>
      <c r="B1168" s="16" t="str">
        <f>TRIM("児童養護施設池島寮")</f>
        <v>児童養護施設池島寮</v>
      </c>
      <c r="C1168" s="14" t="s">
        <v>1512</v>
      </c>
      <c r="D1168" s="14" t="s">
        <v>530</v>
      </c>
      <c r="E1168" s="1">
        <v>1500.24</v>
      </c>
      <c r="F1168" s="2"/>
      <c r="G1168" s="1"/>
      <c r="H1168" s="3"/>
      <c r="I1168" s="14" t="s">
        <v>5617</v>
      </c>
    </row>
    <row r="1169" spans="1:9" ht="18.75" customHeight="1" x14ac:dyDescent="0.4">
      <c r="A1169" s="14" t="s">
        <v>6502</v>
      </c>
      <c r="B1169" s="16" t="str">
        <f>TRIM("池島住宅")</f>
        <v>池島住宅</v>
      </c>
      <c r="C1169" s="14" t="s">
        <v>1512</v>
      </c>
      <c r="D1169" s="14" t="s">
        <v>220</v>
      </c>
      <c r="E1169" s="1">
        <v>52256.959999999999</v>
      </c>
      <c r="F1169" s="2" t="s">
        <v>7352</v>
      </c>
      <c r="G1169" s="1">
        <v>51650.93</v>
      </c>
      <c r="H1169" s="3"/>
      <c r="I1169" s="14" t="s">
        <v>6177</v>
      </c>
    </row>
    <row r="1170" spans="1:9" ht="18.75" customHeight="1" x14ac:dyDescent="0.4">
      <c r="A1170" s="14" t="s">
        <v>5701</v>
      </c>
      <c r="B1170" s="16" t="str">
        <f>TRIM("児童養護施設入舟寮")</f>
        <v>児童養護施設入舟寮</v>
      </c>
      <c r="C1170" s="14" t="s">
        <v>1512</v>
      </c>
      <c r="D1170" s="14" t="s">
        <v>220</v>
      </c>
      <c r="E1170" s="1">
        <v>2772.77</v>
      </c>
      <c r="F1170" s="2"/>
      <c r="G1170" s="1">
        <v>2014.91</v>
      </c>
      <c r="H1170" s="3"/>
      <c r="I1170" s="14" t="s">
        <v>5617</v>
      </c>
    </row>
    <row r="1171" spans="1:9" ht="18.75" customHeight="1" x14ac:dyDescent="0.4">
      <c r="A1171" s="14" t="s">
        <v>6503</v>
      </c>
      <c r="B1171" s="16" t="str">
        <f>TRIM("池島南住宅")</f>
        <v>池島南住宅</v>
      </c>
      <c r="C1171" s="14" t="s">
        <v>1512</v>
      </c>
      <c r="D1171" s="14" t="s">
        <v>220</v>
      </c>
      <c r="E1171" s="1">
        <v>7996.89</v>
      </c>
      <c r="F1171" s="2"/>
      <c r="G1171" s="1">
        <v>14132.23</v>
      </c>
      <c r="H1171" s="3"/>
      <c r="I1171" s="14" t="s">
        <v>6177</v>
      </c>
    </row>
    <row r="1172" spans="1:9" ht="18.75" customHeight="1" x14ac:dyDescent="0.4">
      <c r="A1172" s="14" t="s">
        <v>1741</v>
      </c>
      <c r="B1172" s="16" t="str">
        <f>TRIM("知的障がい者援護施設　ワークスいけじま")</f>
        <v>知的障がい者援護施設　ワークスいけじま</v>
      </c>
      <c r="C1172" s="14" t="s">
        <v>1512</v>
      </c>
      <c r="D1172" s="14" t="s">
        <v>220</v>
      </c>
      <c r="E1172" s="1">
        <v>216.12</v>
      </c>
      <c r="F1172" s="2"/>
      <c r="G1172" s="1"/>
      <c r="H1172" s="3"/>
      <c r="I1172" s="14" t="s">
        <v>1654</v>
      </c>
    </row>
    <row r="1173" spans="1:9" ht="18.75" customHeight="1" x14ac:dyDescent="0.4">
      <c r="A1173" s="14" t="s">
        <v>5485</v>
      </c>
      <c r="B1173" s="16" t="str">
        <f>TRIM("港署池島交番")</f>
        <v>港署池島交番</v>
      </c>
      <c r="C1173" s="14" t="s">
        <v>1512</v>
      </c>
      <c r="D1173" s="14" t="s">
        <v>220</v>
      </c>
      <c r="E1173" s="1">
        <v>40.57</v>
      </c>
      <c r="F1173" s="2"/>
      <c r="G1173" s="1"/>
      <c r="H1173" s="3"/>
      <c r="I1173" s="14" t="s">
        <v>5349</v>
      </c>
    </row>
    <row r="1174" spans="1:9" ht="18.75" customHeight="1" x14ac:dyDescent="0.4">
      <c r="A1174" s="14" t="s">
        <v>5692</v>
      </c>
      <c r="B1174" s="16" t="str">
        <f>TRIM("児童養護施設入舟寮（病後児保育棟）")</f>
        <v>児童養護施設入舟寮（病後児保育棟）</v>
      </c>
      <c r="C1174" s="14" t="s">
        <v>1512</v>
      </c>
      <c r="D1174" s="14" t="s">
        <v>220</v>
      </c>
      <c r="E1174" s="1">
        <v>97.5</v>
      </c>
      <c r="F1174" s="2"/>
      <c r="G1174" s="1"/>
      <c r="H1174" s="3"/>
      <c r="I1174" s="14" t="s">
        <v>5617</v>
      </c>
    </row>
    <row r="1175" spans="1:9" ht="18.75" customHeight="1" x14ac:dyDescent="0.4">
      <c r="A1175" s="14" t="s">
        <v>5768</v>
      </c>
      <c r="B1175" s="16" t="str">
        <f>TRIM("池島保育園")</f>
        <v>池島保育園</v>
      </c>
      <c r="C1175" s="14" t="s">
        <v>1512</v>
      </c>
      <c r="D1175" s="14" t="s">
        <v>220</v>
      </c>
      <c r="E1175" s="1">
        <v>650.09</v>
      </c>
      <c r="F1175" s="2"/>
      <c r="G1175" s="1"/>
      <c r="H1175" s="3"/>
      <c r="I1175" s="14" t="s">
        <v>5617</v>
      </c>
    </row>
    <row r="1176" spans="1:9" ht="18.75" customHeight="1" x14ac:dyDescent="0.4">
      <c r="A1176" s="14" t="s">
        <v>4269</v>
      </c>
      <c r="B1176" s="16" t="str">
        <f>TRIM("安治川10号上屋")</f>
        <v>安治川10号上屋</v>
      </c>
      <c r="C1176" s="14" t="s">
        <v>1512</v>
      </c>
      <c r="D1176" s="14" t="s">
        <v>970</v>
      </c>
      <c r="E1176" s="1">
        <v>2945.03</v>
      </c>
      <c r="F1176" s="2"/>
      <c r="G1176" s="12">
        <v>1715.58</v>
      </c>
      <c r="H1176" s="3"/>
      <c r="I1176" s="14" t="s">
        <v>4117</v>
      </c>
    </row>
    <row r="1177" spans="1:9" ht="18.75" customHeight="1" x14ac:dyDescent="0.4">
      <c r="A1177" s="14" t="s">
        <v>4275</v>
      </c>
      <c r="B1177" s="16" t="str">
        <f>TRIM("安治川4号上屋")</f>
        <v>安治川4号上屋</v>
      </c>
      <c r="C1177" s="14" t="s">
        <v>1512</v>
      </c>
      <c r="D1177" s="14" t="s">
        <v>970</v>
      </c>
      <c r="E1177" s="1">
        <v>3957.85</v>
      </c>
      <c r="F1177" s="2"/>
      <c r="G1177" s="12">
        <v>8777.7199999999993</v>
      </c>
      <c r="H1177" s="3"/>
      <c r="I1177" s="14" t="s">
        <v>4117</v>
      </c>
    </row>
    <row r="1178" spans="1:9" ht="18.75" customHeight="1" x14ac:dyDescent="0.4">
      <c r="A1178" s="14" t="s">
        <v>2346</v>
      </c>
      <c r="B1178" s="16" t="str">
        <f>TRIM("もと軌道敷(安治川築港線)")</f>
        <v>もと軌道敷(安治川築港線)</v>
      </c>
      <c r="C1178" s="14" t="s">
        <v>1512</v>
      </c>
      <c r="D1178" s="14" t="s">
        <v>970</v>
      </c>
      <c r="E1178" s="1">
        <v>69316.679999999993</v>
      </c>
      <c r="F1178" s="2"/>
      <c r="G1178" s="1"/>
      <c r="H1178" s="3"/>
      <c r="I1178" s="14" t="s">
        <v>2177</v>
      </c>
    </row>
    <row r="1179" spans="1:9" ht="18.75" customHeight="1" x14ac:dyDescent="0.4">
      <c r="A1179" s="14" t="s">
        <v>4148</v>
      </c>
      <c r="B1179" s="16" t="str">
        <f>TRIM("安治川2号港湾労働者休憩所")</f>
        <v>安治川2号港湾労働者休憩所</v>
      </c>
      <c r="C1179" s="14" t="s">
        <v>1512</v>
      </c>
      <c r="D1179" s="14" t="s">
        <v>970</v>
      </c>
      <c r="E1179" s="1"/>
      <c r="F1179" s="2"/>
      <c r="G1179" s="1">
        <v>46.64</v>
      </c>
      <c r="H1179" s="3"/>
      <c r="I1179" s="14" t="s">
        <v>4117</v>
      </c>
    </row>
    <row r="1180" spans="1:9" ht="18.75" customHeight="1" x14ac:dyDescent="0.4">
      <c r="A1180" s="14" t="s">
        <v>4323</v>
      </c>
      <c r="B1180" s="16" t="str">
        <f>TRIM("野積場（港・港営）")</f>
        <v>野積場（港・港営）</v>
      </c>
      <c r="C1180" s="14" t="s">
        <v>1512</v>
      </c>
      <c r="D1180" s="14" t="s">
        <v>970</v>
      </c>
      <c r="E1180" s="1">
        <v>3569.33</v>
      </c>
      <c r="F1180" s="2"/>
      <c r="G1180" s="12"/>
      <c r="H1180" s="3"/>
      <c r="I1180" s="14" t="s">
        <v>4117</v>
      </c>
    </row>
    <row r="1181" spans="1:9" ht="18.75" customHeight="1" x14ac:dyDescent="0.4">
      <c r="A1181" s="14" t="s">
        <v>4274</v>
      </c>
      <c r="B1181" s="16" t="str">
        <f>TRIM("安治川3号上屋")</f>
        <v>安治川3号上屋</v>
      </c>
      <c r="C1181" s="14" t="s">
        <v>1512</v>
      </c>
      <c r="D1181" s="14" t="s">
        <v>1351</v>
      </c>
      <c r="E1181" s="1">
        <v>3976.08</v>
      </c>
      <c r="F1181" s="2"/>
      <c r="G1181" s="12">
        <v>8896.51</v>
      </c>
      <c r="H1181" s="3"/>
      <c r="I1181" s="14" t="s">
        <v>4117</v>
      </c>
    </row>
    <row r="1182" spans="1:9" ht="18.75" customHeight="1" x14ac:dyDescent="0.4">
      <c r="A1182" s="14" t="s">
        <v>4279</v>
      </c>
      <c r="B1182" s="16" t="str">
        <f>TRIM("安治川8号上屋")</f>
        <v>安治川8号上屋</v>
      </c>
      <c r="C1182" s="14" t="s">
        <v>1512</v>
      </c>
      <c r="D1182" s="14" t="s">
        <v>1351</v>
      </c>
      <c r="E1182" s="1">
        <v>3502.84</v>
      </c>
      <c r="F1182" s="2"/>
      <c r="G1182" s="12">
        <v>7226.58</v>
      </c>
      <c r="H1182" s="3"/>
      <c r="I1182" s="14" t="s">
        <v>4117</v>
      </c>
    </row>
    <row r="1183" spans="1:9" ht="18.75" customHeight="1" x14ac:dyDescent="0.4">
      <c r="A1183" s="14" t="s">
        <v>4280</v>
      </c>
      <c r="B1183" s="16" t="str">
        <f>TRIM("安治川9号上屋")</f>
        <v>安治川9号上屋</v>
      </c>
      <c r="C1183" s="14" t="s">
        <v>1512</v>
      </c>
      <c r="D1183" s="14" t="s">
        <v>1351</v>
      </c>
      <c r="E1183" s="1">
        <v>1715.19</v>
      </c>
      <c r="F1183" s="2"/>
      <c r="G1183" s="12">
        <v>3900.84</v>
      </c>
      <c r="H1183" s="3"/>
      <c r="I1183" s="14" t="s">
        <v>4117</v>
      </c>
    </row>
    <row r="1184" spans="1:9" ht="18.75" customHeight="1" x14ac:dyDescent="0.4">
      <c r="A1184" s="14" t="s">
        <v>4214</v>
      </c>
      <c r="B1184" s="16" t="str">
        <f>TRIM("安治川内港")</f>
        <v>安治川内港</v>
      </c>
      <c r="C1184" s="14" t="s">
        <v>1512</v>
      </c>
      <c r="D1184" s="14" t="s">
        <v>1351</v>
      </c>
      <c r="E1184" s="1">
        <v>884473</v>
      </c>
      <c r="F1184" s="2"/>
      <c r="G1184" s="1"/>
      <c r="H1184" s="3"/>
      <c r="I1184" s="14" t="s">
        <v>4117</v>
      </c>
    </row>
    <row r="1185" spans="1:9" ht="18.75" customHeight="1" x14ac:dyDescent="0.4">
      <c r="A1185" s="14" t="s">
        <v>4296</v>
      </c>
      <c r="B1185" s="16" t="str">
        <f>TRIM("大阪港サイロ")</f>
        <v>大阪港サイロ</v>
      </c>
      <c r="C1185" s="14" t="s">
        <v>1512</v>
      </c>
      <c r="D1185" s="14" t="s">
        <v>1351</v>
      </c>
      <c r="E1185" s="1">
        <v>11949.16</v>
      </c>
      <c r="F1185" s="2"/>
      <c r="G1185" s="12"/>
      <c r="H1185" s="3"/>
      <c r="I1185" s="14" t="s">
        <v>4117</v>
      </c>
    </row>
    <row r="1186" spans="1:9" ht="18.75" customHeight="1" x14ac:dyDescent="0.4">
      <c r="A1186" s="14" t="s">
        <v>4271</v>
      </c>
      <c r="B1186" s="16" t="str">
        <f>TRIM("安治川12号上屋")</f>
        <v>安治川12号上屋</v>
      </c>
      <c r="C1186" s="14" t="s">
        <v>1512</v>
      </c>
      <c r="D1186" s="14" t="s">
        <v>1355</v>
      </c>
      <c r="E1186" s="1">
        <v>2410.64</v>
      </c>
      <c r="F1186" s="2"/>
      <c r="G1186" s="12">
        <v>1247.04</v>
      </c>
      <c r="H1186" s="3"/>
      <c r="I1186" s="14" t="s">
        <v>4117</v>
      </c>
    </row>
    <row r="1187" spans="1:9" ht="18.75" customHeight="1" x14ac:dyDescent="0.4">
      <c r="A1187" s="14" t="s">
        <v>4147</v>
      </c>
      <c r="B1187" s="16" t="str">
        <f>TRIM("安治川1号港湾労働者休憩所")</f>
        <v>安治川1号港湾労働者休憩所</v>
      </c>
      <c r="C1187" s="14" t="s">
        <v>1512</v>
      </c>
      <c r="D1187" s="14" t="s">
        <v>1355</v>
      </c>
      <c r="E1187" s="1"/>
      <c r="F1187" s="2"/>
      <c r="G1187" s="1">
        <v>51.17</v>
      </c>
      <c r="H1187" s="3"/>
      <c r="I1187" s="14" t="s">
        <v>4117</v>
      </c>
    </row>
    <row r="1188" spans="1:9" ht="18.75" customHeight="1" x14ac:dyDescent="0.4">
      <c r="A1188" s="14" t="s">
        <v>6844</v>
      </c>
      <c r="B1188" s="16" t="str">
        <f>TRIM("区画整理事業用地（港）")</f>
        <v>区画整理事業用地（港）</v>
      </c>
      <c r="C1188" s="14" t="s">
        <v>1512</v>
      </c>
      <c r="D1188" s="14" t="s">
        <v>886</v>
      </c>
      <c r="E1188" s="1">
        <v>1676.19</v>
      </c>
      <c r="F1188" s="2">
        <v>118</v>
      </c>
      <c r="G1188" s="1"/>
      <c r="H1188" s="3"/>
      <c r="I1188" s="14" t="s">
        <v>6177</v>
      </c>
    </row>
    <row r="1189" spans="1:9" ht="18.75" customHeight="1" x14ac:dyDescent="0.4">
      <c r="A1189" s="14" t="s">
        <v>4838</v>
      </c>
      <c r="B1189" s="16" t="str">
        <f>TRIM("市岡中学校")</f>
        <v>市岡中学校</v>
      </c>
      <c r="C1189" s="14" t="s">
        <v>1512</v>
      </c>
      <c r="D1189" s="14" t="s">
        <v>886</v>
      </c>
      <c r="E1189" s="1">
        <v>19178.080000000002</v>
      </c>
      <c r="F1189" s="2"/>
      <c r="G1189" s="1">
        <v>7715.35</v>
      </c>
      <c r="H1189" s="3"/>
      <c r="I1189" s="14" t="s">
        <v>4689</v>
      </c>
    </row>
    <row r="1190" spans="1:9" ht="18.75" customHeight="1" x14ac:dyDescent="0.4">
      <c r="A1190" s="14" t="s">
        <v>1844</v>
      </c>
      <c r="B1190" s="16" t="str">
        <f>TRIM("港区老人福祉センター ")</f>
        <v>港区老人福祉センター</v>
      </c>
      <c r="C1190" s="14" t="s">
        <v>1512</v>
      </c>
      <c r="D1190" s="14" t="s">
        <v>886</v>
      </c>
      <c r="E1190" s="1"/>
      <c r="F1190" s="2"/>
      <c r="G1190" s="1">
        <v>533.41</v>
      </c>
      <c r="H1190" s="3"/>
      <c r="I1190" s="14" t="s">
        <v>1654</v>
      </c>
    </row>
    <row r="1191" spans="1:9" ht="18.75" customHeight="1" x14ac:dyDescent="0.4">
      <c r="A1191" s="14" t="s">
        <v>2285</v>
      </c>
      <c r="B1191" s="16" t="str">
        <f>TRIM("築港深江線（港）（管財課）")</f>
        <v>築港深江線（港）（管財課）</v>
      </c>
      <c r="C1191" s="14" t="s">
        <v>1512</v>
      </c>
      <c r="D1191" s="14" t="s">
        <v>886</v>
      </c>
      <c r="E1191" s="1">
        <v>2806.41</v>
      </c>
      <c r="F1191" s="2"/>
      <c r="G1191" s="1"/>
      <c r="H1191" s="3"/>
      <c r="I1191" s="14" t="s">
        <v>2177</v>
      </c>
    </row>
    <row r="1192" spans="1:9" ht="18.75" customHeight="1" x14ac:dyDescent="0.4">
      <c r="A1192" s="14" t="s">
        <v>4420</v>
      </c>
      <c r="B1192" s="16" t="str">
        <f>TRIM("港区民センター")</f>
        <v>港区民センター</v>
      </c>
      <c r="C1192" s="14" t="s">
        <v>1512</v>
      </c>
      <c r="D1192" s="14" t="s">
        <v>886</v>
      </c>
      <c r="E1192" s="1"/>
      <c r="F1192" s="2"/>
      <c r="G1192" s="1">
        <v>5319.43</v>
      </c>
      <c r="H1192" s="3"/>
      <c r="I1192" s="14" t="s">
        <v>1988</v>
      </c>
    </row>
    <row r="1193" spans="1:9" ht="18.75" customHeight="1" x14ac:dyDescent="0.4">
      <c r="A1193" s="14" t="s">
        <v>4421</v>
      </c>
      <c r="B1193" s="16" t="str">
        <f>TRIM("港区土地区画整理記念・交流会館民間貸付施設")</f>
        <v>港区土地区画整理記念・交流会館民間貸付施設</v>
      </c>
      <c r="C1193" s="14" t="s">
        <v>1512</v>
      </c>
      <c r="D1193" s="14" t="s">
        <v>886</v>
      </c>
      <c r="E1193" s="1"/>
      <c r="F1193" s="2"/>
      <c r="G1193" s="1">
        <v>350.7</v>
      </c>
      <c r="H1193" s="3"/>
      <c r="I1193" s="14" t="s">
        <v>1988</v>
      </c>
    </row>
    <row r="1194" spans="1:9" ht="18.75" customHeight="1" x14ac:dyDescent="0.4">
      <c r="A1194" s="14" t="s">
        <v>4423</v>
      </c>
      <c r="B1194" s="16" t="str">
        <f>TRIM("港区子ども・子育てプラザ")</f>
        <v>港区子ども・子育てプラザ</v>
      </c>
      <c r="C1194" s="14" t="s">
        <v>1512</v>
      </c>
      <c r="D1194" s="14" t="s">
        <v>886</v>
      </c>
      <c r="E1194" s="1"/>
      <c r="F1194" s="2"/>
      <c r="G1194" s="1">
        <v>807.41</v>
      </c>
      <c r="H1194" s="3"/>
      <c r="I1194" s="14" t="s">
        <v>1988</v>
      </c>
    </row>
    <row r="1195" spans="1:9" ht="18.75" customHeight="1" x14ac:dyDescent="0.4">
      <c r="A1195" s="14" t="s">
        <v>5213</v>
      </c>
      <c r="B1195" s="16" t="str">
        <f>TRIM("港図書館")</f>
        <v>港図書館</v>
      </c>
      <c r="C1195" s="14" t="s">
        <v>1512</v>
      </c>
      <c r="D1195" s="14" t="s">
        <v>886</v>
      </c>
      <c r="E1195" s="1"/>
      <c r="F1195" s="2"/>
      <c r="G1195" s="1">
        <v>1420.93</v>
      </c>
      <c r="H1195" s="3"/>
      <c r="I1195" s="14" t="s">
        <v>4689</v>
      </c>
    </row>
    <row r="1196" spans="1:9" ht="18.75" customHeight="1" x14ac:dyDescent="0.4">
      <c r="A1196" s="14" t="s">
        <v>6875</v>
      </c>
      <c r="B1196" s="16" t="str">
        <f>TRIM("港区土地区画整理記念・交流会館")</f>
        <v>港区土地区画整理記念・交流会館</v>
      </c>
      <c r="C1196" s="14" t="s">
        <v>1512</v>
      </c>
      <c r="D1196" s="14" t="s">
        <v>886</v>
      </c>
      <c r="E1196" s="1">
        <v>1526.14</v>
      </c>
      <c r="F1196" s="2"/>
      <c r="G1196" s="1"/>
      <c r="H1196" s="3"/>
      <c r="I1196" s="14" t="s">
        <v>1988</v>
      </c>
    </row>
    <row r="1197" spans="1:9" ht="18.75" customHeight="1" x14ac:dyDescent="0.4">
      <c r="A1197" s="14" t="s">
        <v>5836</v>
      </c>
      <c r="B1197" s="16" t="str">
        <f>TRIM("磯路保育所")</f>
        <v>磯路保育所</v>
      </c>
      <c r="C1197" s="14" t="s">
        <v>1512</v>
      </c>
      <c r="D1197" s="14" t="s">
        <v>557</v>
      </c>
      <c r="E1197" s="1">
        <v>1029.47</v>
      </c>
      <c r="F1197" s="2"/>
      <c r="G1197" s="1">
        <v>404.6</v>
      </c>
      <c r="H1197" s="3"/>
      <c r="I1197" s="14" t="s">
        <v>5617</v>
      </c>
    </row>
    <row r="1198" spans="1:9" ht="18.75" customHeight="1" x14ac:dyDescent="0.4">
      <c r="A1198" s="14" t="s">
        <v>2566</v>
      </c>
      <c r="B1198" s="16" t="str">
        <f>TRIM("　磯路中央公園")</f>
        <v>磯路中央公園</v>
      </c>
      <c r="C1198" s="14" t="s">
        <v>1512</v>
      </c>
      <c r="D1198" s="14" t="s">
        <v>557</v>
      </c>
      <c r="E1198" s="1">
        <v>22748.11</v>
      </c>
      <c r="F1198" s="2"/>
      <c r="G1198" s="1"/>
      <c r="H1198" s="3"/>
      <c r="I1198" s="14" t="s">
        <v>2177</v>
      </c>
    </row>
    <row r="1199" spans="1:9" ht="18.75" customHeight="1" x14ac:dyDescent="0.4">
      <c r="A1199" s="14" t="s">
        <v>3533</v>
      </c>
      <c r="B1199" s="16" t="str">
        <f>TRIM("　磯路中央公園")</f>
        <v>磯路中央公園</v>
      </c>
      <c r="C1199" s="14" t="s">
        <v>1512</v>
      </c>
      <c r="D1199" s="14" t="s">
        <v>557</v>
      </c>
      <c r="E1199" s="1"/>
      <c r="F1199" s="2"/>
      <c r="G1199" s="1">
        <v>25.8</v>
      </c>
      <c r="H1199" s="3"/>
      <c r="I1199" s="14" t="s">
        <v>2177</v>
      </c>
    </row>
    <row r="1200" spans="1:9" ht="18.75" customHeight="1" x14ac:dyDescent="0.4">
      <c r="A1200" s="14" t="s">
        <v>5662</v>
      </c>
      <c r="B1200" s="16" t="str">
        <f>TRIM("もと港勤労青少年ホーム")</f>
        <v>もと港勤労青少年ホーム</v>
      </c>
      <c r="C1200" s="14" t="s">
        <v>1512</v>
      </c>
      <c r="D1200" s="14" t="s">
        <v>557</v>
      </c>
      <c r="E1200" s="1"/>
      <c r="F1200" s="2"/>
      <c r="G1200" s="1">
        <v>498.45</v>
      </c>
      <c r="H1200" s="3" t="s">
        <v>7353</v>
      </c>
      <c r="I1200" s="14" t="s">
        <v>5617</v>
      </c>
    </row>
    <row r="1201" spans="1:9" ht="18.75" customHeight="1" x14ac:dyDescent="0.4">
      <c r="A1201" s="14" t="s">
        <v>4719</v>
      </c>
      <c r="B1201" s="16" t="str">
        <f>TRIM("磯路小学校")</f>
        <v>磯路小学校</v>
      </c>
      <c r="C1201" s="14" t="s">
        <v>1512</v>
      </c>
      <c r="D1201" s="14" t="s">
        <v>879</v>
      </c>
      <c r="E1201" s="1">
        <v>9388.18</v>
      </c>
      <c r="F1201" s="2"/>
      <c r="G1201" s="1">
        <v>4965.13</v>
      </c>
      <c r="H1201" s="3"/>
      <c r="I1201" s="14" t="s">
        <v>4689</v>
      </c>
    </row>
    <row r="1202" spans="1:9" ht="18.75" customHeight="1" x14ac:dyDescent="0.4">
      <c r="A1202" s="14" t="s">
        <v>1987</v>
      </c>
      <c r="B1202" s="16" t="str">
        <f>TRIM("磯路会館・老人憩の家")</f>
        <v>磯路会館・老人憩の家</v>
      </c>
      <c r="C1202" s="14" t="s">
        <v>1512</v>
      </c>
      <c r="D1202" s="14" t="s">
        <v>879</v>
      </c>
      <c r="E1202" s="1">
        <v>390.5</v>
      </c>
      <c r="F1202" s="2"/>
      <c r="G1202" s="1"/>
      <c r="H1202" s="3"/>
      <c r="I1202" s="14" t="s">
        <v>1988</v>
      </c>
    </row>
    <row r="1203" spans="1:9" ht="18.75" customHeight="1" x14ac:dyDescent="0.4">
      <c r="A1203" s="14" t="s">
        <v>6822</v>
      </c>
      <c r="B1203" s="16" t="str">
        <f>TRIM("肩替地（港）")</f>
        <v>肩替地（港）</v>
      </c>
      <c r="C1203" s="14" t="s">
        <v>1512</v>
      </c>
      <c r="D1203" s="14" t="s">
        <v>879</v>
      </c>
      <c r="E1203" s="1">
        <v>15.96</v>
      </c>
      <c r="F1203" s="2"/>
      <c r="G1203" s="1"/>
      <c r="H1203" s="3"/>
      <c r="I1203" s="14" t="s">
        <v>6177</v>
      </c>
    </row>
    <row r="1204" spans="1:9" ht="18.75" customHeight="1" x14ac:dyDescent="0.4">
      <c r="A1204" s="14" t="s">
        <v>4410</v>
      </c>
      <c r="B1204" s="16" t="str">
        <f>TRIM("港区役所")</f>
        <v>港区役所</v>
      </c>
      <c r="C1204" s="14" t="s">
        <v>1512</v>
      </c>
      <c r="D1204" s="14" t="s">
        <v>142</v>
      </c>
      <c r="E1204" s="1">
        <v>2378.0100000000002</v>
      </c>
      <c r="F1204" s="2"/>
      <c r="G1204" s="1">
        <v>6932.05</v>
      </c>
      <c r="H1204" s="3"/>
      <c r="I1204" s="14" t="s">
        <v>1988</v>
      </c>
    </row>
    <row r="1205" spans="1:9" ht="18.75" customHeight="1" x14ac:dyDescent="0.4">
      <c r="A1205" s="14" t="s">
        <v>1927</v>
      </c>
      <c r="B1205" s="16" t="str">
        <f>TRIM("特別養護老人ホームザイオン・港南地域在宅サービスステーション・ザイオン地域活動支援センター")</f>
        <v>特別養護老人ホームザイオン・港南地域在宅サービスステーション・ザイオン地域活動支援センター</v>
      </c>
      <c r="C1205" s="14" t="s">
        <v>1512</v>
      </c>
      <c r="D1205" s="14" t="s">
        <v>142</v>
      </c>
      <c r="E1205" s="1">
        <v>2456.23</v>
      </c>
      <c r="F1205" s="2"/>
      <c r="G1205" s="1"/>
      <c r="H1205" s="3"/>
      <c r="I1205" s="14" t="s">
        <v>1654</v>
      </c>
    </row>
    <row r="1206" spans="1:9" ht="18.75" customHeight="1" x14ac:dyDescent="0.4">
      <c r="A1206" s="14" t="s">
        <v>2039</v>
      </c>
      <c r="B1206" s="16" t="str">
        <f>TRIM("市岡会館・老人憩の家")</f>
        <v>市岡会館・老人憩の家</v>
      </c>
      <c r="C1206" s="14" t="s">
        <v>1512</v>
      </c>
      <c r="D1206" s="14" t="s">
        <v>142</v>
      </c>
      <c r="E1206" s="1">
        <v>218.9</v>
      </c>
      <c r="F1206" s="2"/>
      <c r="G1206" s="1"/>
      <c r="H1206" s="3"/>
      <c r="I1206" s="14" t="s">
        <v>1988</v>
      </c>
    </row>
    <row r="1207" spans="1:9" ht="18.75" customHeight="1" x14ac:dyDescent="0.4">
      <c r="A1207" s="14" t="s">
        <v>2766</v>
      </c>
      <c r="B1207" s="16" t="str">
        <f>TRIM("　市岡西公園")</f>
        <v>市岡西公園</v>
      </c>
      <c r="C1207" s="14" t="s">
        <v>1512</v>
      </c>
      <c r="D1207" s="14" t="s">
        <v>142</v>
      </c>
      <c r="E1207" s="1">
        <v>600.01</v>
      </c>
      <c r="F1207" s="2"/>
      <c r="G1207" s="1"/>
      <c r="H1207" s="3"/>
      <c r="I1207" s="14" t="s">
        <v>2177</v>
      </c>
    </row>
    <row r="1208" spans="1:9" ht="18.75" customHeight="1" x14ac:dyDescent="0.4">
      <c r="A1208" s="14" t="s">
        <v>3507</v>
      </c>
      <c r="B1208" s="16" t="str">
        <f>TRIM("市岡中央公園")</f>
        <v>市岡中央公園</v>
      </c>
      <c r="C1208" s="14" t="s">
        <v>1512</v>
      </c>
      <c r="D1208" s="14" t="s">
        <v>142</v>
      </c>
      <c r="E1208" s="1">
        <v>1998.01</v>
      </c>
      <c r="F1208" s="2"/>
      <c r="G1208" s="1"/>
      <c r="H1208" s="3"/>
      <c r="I1208" s="14" t="s">
        <v>2177</v>
      </c>
    </row>
    <row r="1209" spans="1:9" ht="18.75" customHeight="1" x14ac:dyDescent="0.4">
      <c r="A1209" s="14" t="s">
        <v>4409</v>
      </c>
      <c r="B1209" s="16" t="str">
        <f>TRIM("港区保健福祉センター")</f>
        <v>港区保健福祉センター</v>
      </c>
      <c r="C1209" s="14" t="s">
        <v>1512</v>
      </c>
      <c r="D1209" s="14" t="s">
        <v>142</v>
      </c>
      <c r="E1209" s="1"/>
      <c r="F1209" s="2"/>
      <c r="G1209" s="1">
        <v>2174.7800000000002</v>
      </c>
      <c r="H1209" s="3"/>
      <c r="I1209" s="14" t="s">
        <v>1988</v>
      </c>
    </row>
    <row r="1210" spans="1:9" ht="18.75" customHeight="1" x14ac:dyDescent="0.4">
      <c r="A1210" s="14" t="s">
        <v>5380</v>
      </c>
      <c r="B1210" s="16" t="str">
        <f>TRIM("もと港警察署署員寮（児童遊園）")</f>
        <v>もと港警察署署員寮（児童遊園）</v>
      </c>
      <c r="C1210" s="14" t="s">
        <v>1512</v>
      </c>
      <c r="D1210" s="14" t="s">
        <v>142</v>
      </c>
      <c r="E1210" s="1">
        <v>471.38</v>
      </c>
      <c r="F1210" s="2"/>
      <c r="G1210" s="1"/>
      <c r="H1210" s="3"/>
      <c r="I1210" s="14" t="s">
        <v>5349</v>
      </c>
    </row>
    <row r="1211" spans="1:9" ht="18.75" customHeight="1" x14ac:dyDescent="0.4">
      <c r="A1211" s="14" t="s">
        <v>5484</v>
      </c>
      <c r="B1211" s="16" t="str">
        <f>TRIM("港警察署")</f>
        <v>港警察署</v>
      </c>
      <c r="C1211" s="14" t="s">
        <v>1512</v>
      </c>
      <c r="D1211" s="14" t="s">
        <v>142</v>
      </c>
      <c r="E1211" s="1">
        <v>3061.64</v>
      </c>
      <c r="F1211" s="2"/>
      <c r="G1211" s="1"/>
      <c r="H1211" s="3"/>
      <c r="I1211" s="14" t="s">
        <v>5349</v>
      </c>
    </row>
    <row r="1212" spans="1:9" ht="18.75" customHeight="1" x14ac:dyDescent="0.4">
      <c r="A1212" s="14" t="s">
        <v>3981</v>
      </c>
      <c r="B1212" s="16" t="str">
        <f>TRIM("市岡工営所")</f>
        <v>市岡工営所</v>
      </c>
      <c r="C1212" s="14" t="s">
        <v>1512</v>
      </c>
      <c r="D1212" s="14" t="s">
        <v>1302</v>
      </c>
      <c r="E1212" s="1">
        <v>3632.98</v>
      </c>
      <c r="F1212" s="2"/>
      <c r="G1212" s="1">
        <v>4909.2299999999996</v>
      </c>
      <c r="H1212" s="3"/>
      <c r="I1212" s="14" t="s">
        <v>2177</v>
      </c>
    </row>
    <row r="1213" spans="1:9" ht="18.75" customHeight="1" x14ac:dyDescent="0.4">
      <c r="A1213" s="14" t="s">
        <v>4050</v>
      </c>
      <c r="B1213" s="16" t="str">
        <f>TRIM("市岡下水処理場")</f>
        <v>市岡下水処理場</v>
      </c>
      <c r="C1213" s="14" t="s">
        <v>1512</v>
      </c>
      <c r="D1213" s="14" t="s">
        <v>1302</v>
      </c>
      <c r="E1213" s="1">
        <v>44911.96</v>
      </c>
      <c r="F1213" s="2"/>
      <c r="G1213" s="1">
        <v>13923.57</v>
      </c>
      <c r="H1213" s="3"/>
      <c r="I1213" s="14" t="s">
        <v>2177</v>
      </c>
    </row>
    <row r="1214" spans="1:9" ht="18.75" customHeight="1" x14ac:dyDescent="0.4">
      <c r="A1214" s="18"/>
      <c r="B1214" s="14" t="s">
        <v>7169</v>
      </c>
      <c r="C1214" s="14" t="s">
        <v>1512</v>
      </c>
      <c r="D1214" s="1" t="s">
        <v>1302</v>
      </c>
      <c r="E1214" s="2"/>
      <c r="F1214" s="11"/>
      <c r="G1214" s="1">
        <v>1434.62</v>
      </c>
      <c r="H1214" s="1"/>
      <c r="I1214" s="1" t="s">
        <v>2177</v>
      </c>
    </row>
    <row r="1215" spans="1:9" ht="18.75" customHeight="1" x14ac:dyDescent="0.4">
      <c r="A1215" s="14" t="s">
        <v>4837</v>
      </c>
      <c r="B1215" s="16" t="str">
        <f>TRIM("市岡小学校")</f>
        <v>市岡小学校</v>
      </c>
      <c r="C1215" s="14" t="s">
        <v>1512</v>
      </c>
      <c r="D1215" s="14" t="s">
        <v>1397</v>
      </c>
      <c r="E1215" s="1">
        <v>7384.86</v>
      </c>
      <c r="F1215" s="2"/>
      <c r="G1215" s="1">
        <v>7163.42</v>
      </c>
      <c r="H1215" s="3"/>
      <c r="I1215" s="14" t="s">
        <v>4689</v>
      </c>
    </row>
    <row r="1216" spans="1:9" ht="18.75" customHeight="1" x14ac:dyDescent="0.4">
      <c r="A1216" s="14" t="s">
        <v>4002</v>
      </c>
      <c r="B1216" s="16" t="str">
        <f>TRIM("旧市岡抽水所")</f>
        <v>旧市岡抽水所</v>
      </c>
      <c r="C1216" s="14" t="s">
        <v>1512</v>
      </c>
      <c r="D1216" s="14" t="s">
        <v>1066</v>
      </c>
      <c r="E1216" s="1">
        <v>6954.07</v>
      </c>
      <c r="F1216" s="2">
        <v>111</v>
      </c>
      <c r="G1216" s="1">
        <v>378.72</v>
      </c>
      <c r="H1216" s="3"/>
      <c r="I1216" s="14" t="s">
        <v>2177</v>
      </c>
    </row>
    <row r="1217" spans="1:9" ht="18.75" customHeight="1" x14ac:dyDescent="0.4">
      <c r="A1217" s="14" t="s">
        <v>2764</v>
      </c>
      <c r="B1217" s="16" t="str">
        <f>TRIM("　市岡公園")</f>
        <v>市岡公園</v>
      </c>
      <c r="C1217" s="14" t="s">
        <v>1512</v>
      </c>
      <c r="D1217" s="14" t="s">
        <v>1066</v>
      </c>
      <c r="E1217" s="1">
        <v>6403.61</v>
      </c>
      <c r="F1217" s="2"/>
      <c r="G1217" s="1"/>
      <c r="H1217" s="3"/>
      <c r="I1217" s="14" t="s">
        <v>2177</v>
      </c>
    </row>
    <row r="1218" spans="1:9" ht="18.75" customHeight="1" x14ac:dyDescent="0.4">
      <c r="A1218" s="14" t="s">
        <v>2767</v>
      </c>
      <c r="B1218" s="16" t="str">
        <f>TRIM("　市岡浜公園")</f>
        <v>市岡浜公園</v>
      </c>
      <c r="C1218" s="14" t="s">
        <v>1512</v>
      </c>
      <c r="D1218" s="14" t="s">
        <v>1066</v>
      </c>
      <c r="E1218" s="1">
        <v>992</v>
      </c>
      <c r="F1218" s="2"/>
      <c r="G1218" s="1"/>
      <c r="H1218" s="3"/>
      <c r="I1218" s="14" t="s">
        <v>2177</v>
      </c>
    </row>
    <row r="1219" spans="1:9" ht="18.75" customHeight="1" x14ac:dyDescent="0.4">
      <c r="A1219" s="14" t="s">
        <v>3567</v>
      </c>
      <c r="B1219" s="16" t="str">
        <f>TRIM("　市岡公園")</f>
        <v>市岡公園</v>
      </c>
      <c r="C1219" s="14" t="s">
        <v>1512</v>
      </c>
      <c r="D1219" s="14" t="s">
        <v>1066</v>
      </c>
      <c r="E1219" s="1"/>
      <c r="F1219" s="2"/>
      <c r="G1219" s="1">
        <v>11</v>
      </c>
      <c r="H1219" s="3"/>
      <c r="I1219" s="14" t="s">
        <v>2177</v>
      </c>
    </row>
    <row r="1220" spans="1:9" ht="18.75" customHeight="1" x14ac:dyDescent="0.4">
      <c r="A1220" s="14" t="s">
        <v>3723</v>
      </c>
      <c r="B1220" s="16" t="str">
        <f>TRIM(" 市岡自転車保管所管理事務所")</f>
        <v>市岡自転車保管所管理事務所</v>
      </c>
      <c r="C1220" s="14" t="s">
        <v>1512</v>
      </c>
      <c r="D1220" s="14" t="s">
        <v>1066</v>
      </c>
      <c r="E1220" s="1"/>
      <c r="F1220" s="2"/>
      <c r="G1220" s="1">
        <v>20.66</v>
      </c>
      <c r="H1220" s="3"/>
      <c r="I1220" s="14" t="s">
        <v>2177</v>
      </c>
    </row>
    <row r="1221" spans="1:9" ht="18.75" customHeight="1" x14ac:dyDescent="0.4">
      <c r="A1221" s="14" t="s">
        <v>3806</v>
      </c>
      <c r="B1221" s="16" t="str">
        <f>TRIM("建設局市岡倉庫")</f>
        <v>建設局市岡倉庫</v>
      </c>
      <c r="C1221" s="14" t="s">
        <v>1512</v>
      </c>
      <c r="D1221" s="14" t="s">
        <v>1066</v>
      </c>
      <c r="E1221" s="1"/>
      <c r="F1221" s="2"/>
      <c r="G1221" s="1">
        <v>136.08000000000001</v>
      </c>
      <c r="H1221" s="3"/>
      <c r="I1221" s="14" t="s">
        <v>2177</v>
      </c>
    </row>
    <row r="1222" spans="1:9" ht="18.75" customHeight="1" x14ac:dyDescent="0.4">
      <c r="A1222" s="14" t="s">
        <v>1655</v>
      </c>
      <c r="B1222" s="16" t="str">
        <f>TRIM("もと境川倉庫")</f>
        <v>もと境川倉庫</v>
      </c>
      <c r="C1222" s="14" t="s">
        <v>1512</v>
      </c>
      <c r="D1222" s="14" t="s">
        <v>137</v>
      </c>
      <c r="E1222" s="1">
        <v>591.12</v>
      </c>
      <c r="F1222" s="2"/>
      <c r="G1222" s="1"/>
      <c r="H1222" s="3"/>
      <c r="I1222" s="14" t="s">
        <v>1654</v>
      </c>
    </row>
    <row r="1223" spans="1:9" ht="18.75" customHeight="1" x14ac:dyDescent="0.4">
      <c r="A1223" s="14" t="s">
        <v>5374</v>
      </c>
      <c r="B1223" s="16" t="str">
        <f>TRIM("もと境川質舗（児童遊園）")</f>
        <v>もと境川質舗（児童遊園）</v>
      </c>
      <c r="C1223" s="14" t="s">
        <v>1512</v>
      </c>
      <c r="D1223" s="14" t="s">
        <v>137</v>
      </c>
      <c r="E1223" s="1">
        <v>529.88</v>
      </c>
      <c r="F1223" s="2"/>
      <c r="G1223" s="1"/>
      <c r="H1223" s="3"/>
      <c r="I1223" s="14" t="s">
        <v>5349</v>
      </c>
    </row>
    <row r="1224" spans="1:9" ht="18.75" customHeight="1" x14ac:dyDescent="0.4">
      <c r="A1224" s="14" t="s">
        <v>2122</v>
      </c>
      <c r="B1224" s="16" t="str">
        <f>TRIM("市岡元町老人憩の家・集会所")</f>
        <v>市岡元町老人憩の家・集会所</v>
      </c>
      <c r="C1224" s="14" t="s">
        <v>1512</v>
      </c>
      <c r="D1224" s="14" t="s">
        <v>1067</v>
      </c>
      <c r="E1224" s="1">
        <v>326.64</v>
      </c>
      <c r="F1224" s="2"/>
      <c r="G1224" s="1"/>
      <c r="H1224" s="3"/>
      <c r="I1224" s="14" t="s">
        <v>1988</v>
      </c>
    </row>
    <row r="1225" spans="1:9" ht="18.75" customHeight="1" x14ac:dyDescent="0.4">
      <c r="A1225" s="14" t="s">
        <v>2765</v>
      </c>
      <c r="B1225" s="16" t="str">
        <f>TRIM("　市岡小公園")</f>
        <v>市岡小公園</v>
      </c>
      <c r="C1225" s="14" t="s">
        <v>1512</v>
      </c>
      <c r="D1225" s="14" t="s">
        <v>1067</v>
      </c>
      <c r="E1225" s="1">
        <v>1164.95</v>
      </c>
      <c r="F1225" s="2"/>
      <c r="G1225" s="1"/>
      <c r="H1225" s="3"/>
      <c r="I1225" s="14" t="s">
        <v>2177</v>
      </c>
    </row>
    <row r="1226" spans="1:9" ht="18.75" customHeight="1" x14ac:dyDescent="0.4">
      <c r="A1226" s="14" t="s">
        <v>4839</v>
      </c>
      <c r="B1226" s="16" t="str">
        <f>TRIM("市岡東中学校")</f>
        <v>市岡東中学校</v>
      </c>
      <c r="C1226" s="14" t="s">
        <v>1512</v>
      </c>
      <c r="D1226" s="14" t="s">
        <v>1065</v>
      </c>
      <c r="E1226" s="1">
        <v>10115.9</v>
      </c>
      <c r="F1226" s="2"/>
      <c r="G1226" s="1">
        <v>6723.6</v>
      </c>
      <c r="H1226" s="3"/>
      <c r="I1226" s="14" t="s">
        <v>4689</v>
      </c>
    </row>
    <row r="1227" spans="1:9" ht="18.75" customHeight="1" x14ac:dyDescent="0.4">
      <c r="A1227" s="14" t="s">
        <v>2763</v>
      </c>
      <c r="B1227" s="16" t="str">
        <f>TRIM("　市岡元町公園")</f>
        <v>市岡元町公園</v>
      </c>
      <c r="C1227" s="14" t="s">
        <v>1512</v>
      </c>
      <c r="D1227" s="14" t="s">
        <v>1065</v>
      </c>
      <c r="E1227" s="1">
        <v>8630.42</v>
      </c>
      <c r="F1227" s="2"/>
      <c r="G1227" s="1"/>
      <c r="H1227" s="3"/>
      <c r="I1227" s="14" t="s">
        <v>2177</v>
      </c>
    </row>
    <row r="1228" spans="1:9" ht="18.75" customHeight="1" x14ac:dyDescent="0.4">
      <c r="A1228" s="14" t="s">
        <v>3566</v>
      </c>
      <c r="B1228" s="16" t="str">
        <f>TRIM("　市岡元町公園")</f>
        <v>市岡元町公園</v>
      </c>
      <c r="C1228" s="14" t="s">
        <v>1512</v>
      </c>
      <c r="D1228" s="14" t="s">
        <v>1065</v>
      </c>
      <c r="E1228" s="1"/>
      <c r="F1228" s="2"/>
      <c r="G1228" s="1">
        <v>19.2</v>
      </c>
      <c r="H1228" s="3"/>
      <c r="I1228" s="14" t="s">
        <v>2177</v>
      </c>
    </row>
    <row r="1229" spans="1:9" ht="18.75" customHeight="1" x14ac:dyDescent="0.4">
      <c r="A1229" s="14" t="s">
        <v>4236</v>
      </c>
      <c r="B1229" s="16" t="str">
        <f>TRIM("もと天保山駐車場")</f>
        <v>もと天保山駐車場</v>
      </c>
      <c r="C1229" s="14" t="s">
        <v>1512</v>
      </c>
      <c r="D1229" s="14" t="s">
        <v>11</v>
      </c>
      <c r="E1229" s="1">
        <v>11127.91</v>
      </c>
      <c r="F1229" s="2"/>
      <c r="G1229" s="1">
        <v>9196.75</v>
      </c>
      <c r="H1229" s="3"/>
      <c r="I1229" s="14" t="s">
        <v>4117</v>
      </c>
    </row>
    <row r="1230" spans="1:9" ht="18.75" customHeight="1" x14ac:dyDescent="0.4">
      <c r="A1230" s="14" t="s">
        <v>4237</v>
      </c>
      <c r="B1230" s="16" t="str">
        <f>TRIM("もと天保山緑地")</f>
        <v>もと天保山緑地</v>
      </c>
      <c r="C1230" s="14" t="s">
        <v>1512</v>
      </c>
      <c r="D1230" s="14" t="s">
        <v>11</v>
      </c>
      <c r="E1230" s="1">
        <v>3307.36</v>
      </c>
      <c r="F1230" s="2"/>
      <c r="G1230" s="1">
        <v>29.79</v>
      </c>
      <c r="H1230" s="3"/>
      <c r="I1230" s="14" t="s">
        <v>4117</v>
      </c>
    </row>
    <row r="1231" spans="1:9" ht="18.75" customHeight="1" x14ac:dyDescent="0.4">
      <c r="A1231" s="14" t="s">
        <v>4310</v>
      </c>
      <c r="B1231" s="16" t="str">
        <f>TRIM("中央7号上屋")</f>
        <v>中央7号上屋</v>
      </c>
      <c r="C1231" s="14" t="s">
        <v>1512</v>
      </c>
      <c r="D1231" s="14" t="s">
        <v>11</v>
      </c>
      <c r="E1231" s="1">
        <v>3015.96</v>
      </c>
      <c r="F1231" s="2"/>
      <c r="G1231" s="12">
        <v>2818.67</v>
      </c>
      <c r="H1231" s="3"/>
      <c r="I1231" s="14" t="s">
        <v>4117</v>
      </c>
    </row>
    <row r="1232" spans="1:9" ht="18.75" customHeight="1" x14ac:dyDescent="0.4">
      <c r="A1232" s="14" t="s">
        <v>7018</v>
      </c>
      <c r="B1232" s="16" t="str">
        <f>TRIM("築港地区活性化事業施設")</f>
        <v>築港地区活性化事業施設</v>
      </c>
      <c r="C1232" s="14" t="s">
        <v>1512</v>
      </c>
      <c r="D1232" s="14" t="s">
        <v>11</v>
      </c>
      <c r="E1232" s="1">
        <v>5365.02</v>
      </c>
      <c r="F1232" s="2"/>
      <c r="G1232" s="1">
        <v>10737.41</v>
      </c>
      <c r="H1232" s="3"/>
      <c r="I1232" s="14" t="s">
        <v>4115</v>
      </c>
    </row>
    <row r="1233" spans="1:9" ht="18.75" customHeight="1" x14ac:dyDescent="0.4">
      <c r="A1233" s="14" t="s">
        <v>4170</v>
      </c>
      <c r="B1233" s="16" t="str">
        <f>TRIM("大阪港咲洲トンネル港区側換気所")</f>
        <v>大阪港咲洲トンネル港区側換気所</v>
      </c>
      <c r="C1233" s="14" t="s">
        <v>1512</v>
      </c>
      <c r="D1233" s="14" t="s">
        <v>11</v>
      </c>
      <c r="E1233" s="1"/>
      <c r="F1233" s="2"/>
      <c r="G1233" s="1">
        <v>6993.98</v>
      </c>
      <c r="H1233" s="3"/>
      <c r="I1233" s="14" t="s">
        <v>4117</v>
      </c>
    </row>
    <row r="1234" spans="1:9" ht="18.75" customHeight="1" x14ac:dyDescent="0.4">
      <c r="A1234" s="14" t="s">
        <v>4174</v>
      </c>
      <c r="B1234" s="16" t="str">
        <f>TRIM("中央突堤臨港緑地")</f>
        <v>中央突堤臨港緑地</v>
      </c>
      <c r="C1234" s="14" t="s">
        <v>1512</v>
      </c>
      <c r="D1234" s="14" t="s">
        <v>11</v>
      </c>
      <c r="E1234" s="1">
        <v>18966.330000000002</v>
      </c>
      <c r="F1234" s="2"/>
      <c r="G1234" s="1"/>
      <c r="H1234" s="3"/>
      <c r="I1234" s="14" t="s">
        <v>4117</v>
      </c>
    </row>
    <row r="1235" spans="1:9" ht="18.75" customHeight="1" x14ac:dyDescent="0.4">
      <c r="A1235" s="14" t="s">
        <v>4190</v>
      </c>
      <c r="B1235" s="16" t="str">
        <f>TRIM("もと臨港道路（港・一般）")</f>
        <v>もと臨港道路（港・一般）</v>
      </c>
      <c r="C1235" s="14" t="s">
        <v>1512</v>
      </c>
      <c r="D1235" s="14" t="s">
        <v>11</v>
      </c>
      <c r="E1235" s="1">
        <v>3301.21</v>
      </c>
      <c r="F1235" s="2"/>
      <c r="G1235" s="1"/>
      <c r="H1235" s="3"/>
      <c r="I1235" s="14" t="s">
        <v>4117</v>
      </c>
    </row>
    <row r="1236" spans="1:9" ht="18.75" customHeight="1" x14ac:dyDescent="0.4">
      <c r="A1236" s="14" t="s">
        <v>4226</v>
      </c>
      <c r="B1236" s="16" t="str">
        <f>TRIM("天保山西岸壁船客待合所")</f>
        <v>天保山西岸壁船客待合所</v>
      </c>
      <c r="C1236" s="14" t="s">
        <v>1512</v>
      </c>
      <c r="D1236" s="14" t="s">
        <v>11</v>
      </c>
      <c r="E1236" s="1"/>
      <c r="F1236" s="2"/>
      <c r="G1236" s="1">
        <v>26.73</v>
      </c>
      <c r="H1236" s="3"/>
      <c r="I1236" s="14" t="s">
        <v>4117</v>
      </c>
    </row>
    <row r="1237" spans="1:9" ht="18.75" customHeight="1" x14ac:dyDescent="0.4">
      <c r="A1237" s="14" t="s">
        <v>4238</v>
      </c>
      <c r="B1237" s="16" t="str">
        <f>TRIM("    築港地区活性化事業施設")</f>
        <v>築港地区活性化事業施設</v>
      </c>
      <c r="C1237" s="14" t="s">
        <v>1512</v>
      </c>
      <c r="D1237" s="14" t="s">
        <v>11</v>
      </c>
      <c r="E1237" s="1"/>
      <c r="F1237" s="2"/>
      <c r="G1237" s="1">
        <v>7056.24</v>
      </c>
      <c r="H1237" s="3"/>
      <c r="I1237" s="14" t="s">
        <v>4117</v>
      </c>
    </row>
    <row r="1238" spans="1:9" ht="18.75" customHeight="1" x14ac:dyDescent="0.4">
      <c r="A1238" s="14" t="s">
        <v>4307</v>
      </c>
      <c r="B1238" s="16" t="str">
        <f>TRIM("中央1号上屋")</f>
        <v>中央1号上屋</v>
      </c>
      <c r="C1238" s="14" t="s">
        <v>1512</v>
      </c>
      <c r="D1238" s="14" t="s">
        <v>3</v>
      </c>
      <c r="E1238" s="1">
        <v>3143.21</v>
      </c>
      <c r="F1238" s="2"/>
      <c r="G1238" s="12">
        <v>2739.23</v>
      </c>
      <c r="H1238" s="3"/>
      <c r="I1238" s="14" t="s">
        <v>4117</v>
      </c>
    </row>
    <row r="1239" spans="1:9" ht="18.75" customHeight="1" x14ac:dyDescent="0.4">
      <c r="A1239" s="14" t="s">
        <v>4308</v>
      </c>
      <c r="B1239" s="16" t="str">
        <f>TRIM("中央2号上屋")</f>
        <v>中央2号上屋</v>
      </c>
      <c r="C1239" s="14" t="s">
        <v>1512</v>
      </c>
      <c r="D1239" s="14" t="s">
        <v>3</v>
      </c>
      <c r="E1239" s="1">
        <v>2621.19</v>
      </c>
      <c r="F1239" s="2"/>
      <c r="G1239" s="12">
        <v>2155.09</v>
      </c>
      <c r="H1239" s="3"/>
      <c r="I1239" s="14" t="s">
        <v>4117</v>
      </c>
    </row>
    <row r="1240" spans="1:9" ht="18.75" customHeight="1" x14ac:dyDescent="0.4">
      <c r="A1240" s="14" t="s">
        <v>4309</v>
      </c>
      <c r="B1240" s="16" t="str">
        <f>TRIM("中央3号上屋")</f>
        <v>中央3号上屋</v>
      </c>
      <c r="C1240" s="14" t="s">
        <v>1512</v>
      </c>
      <c r="D1240" s="14" t="s">
        <v>3</v>
      </c>
      <c r="E1240" s="1">
        <v>3214.76</v>
      </c>
      <c r="F1240" s="2"/>
      <c r="G1240" s="12">
        <v>2691.65</v>
      </c>
      <c r="H1240" s="3"/>
      <c r="I1240" s="14" t="s">
        <v>4117</v>
      </c>
    </row>
    <row r="1241" spans="1:9" ht="18.75" customHeight="1" x14ac:dyDescent="0.4">
      <c r="A1241" s="14" t="s">
        <v>4114</v>
      </c>
      <c r="B1241" s="16" t="str">
        <f>TRIM("築港地区活性化事業施設")</f>
        <v>築港地区活性化事業施設</v>
      </c>
      <c r="C1241" s="14" t="s">
        <v>1512</v>
      </c>
      <c r="D1241" s="14" t="s">
        <v>3</v>
      </c>
      <c r="E1241" s="1">
        <v>16260.83</v>
      </c>
      <c r="F1241" s="2"/>
      <c r="G1241" s="1"/>
      <c r="H1241" s="3"/>
      <c r="I1241" s="14" t="s">
        <v>4115</v>
      </c>
    </row>
    <row r="1242" spans="1:9" ht="18.75" customHeight="1" x14ac:dyDescent="0.4">
      <c r="A1242" s="14" t="s">
        <v>4124</v>
      </c>
      <c r="B1242" s="16" t="str">
        <f>TRIM("もと大阪港船員待合所")</f>
        <v>もと大阪港船員待合所</v>
      </c>
      <c r="C1242" s="14" t="s">
        <v>1512</v>
      </c>
      <c r="D1242" s="14" t="s">
        <v>3</v>
      </c>
      <c r="E1242" s="1">
        <v>253.41</v>
      </c>
      <c r="F1242" s="2"/>
      <c r="G1242" s="1"/>
      <c r="H1242" s="3"/>
      <c r="I1242" s="14" t="s">
        <v>4117</v>
      </c>
    </row>
    <row r="1243" spans="1:9" ht="18.75" customHeight="1" x14ac:dyDescent="0.4">
      <c r="A1243" s="14" t="s">
        <v>4202</v>
      </c>
      <c r="B1243" s="16" t="str">
        <f>TRIM("　築港地区活性化事業施設")</f>
        <v>築港地区活性化事業施設</v>
      </c>
      <c r="C1243" s="14" t="s">
        <v>1512</v>
      </c>
      <c r="D1243" s="14" t="s">
        <v>3</v>
      </c>
      <c r="E1243" s="1">
        <v>12206.07</v>
      </c>
      <c r="F1243" s="2"/>
      <c r="G1243" s="1"/>
      <c r="H1243" s="3"/>
      <c r="I1243" s="14" t="s">
        <v>4117</v>
      </c>
    </row>
    <row r="1244" spans="1:9" ht="21" x14ac:dyDescent="0.4">
      <c r="A1244" s="14" t="s">
        <v>4133</v>
      </c>
      <c r="B1244" s="16" t="str">
        <f>TRIM("港湾局賃貸地（港・一般）")</f>
        <v>港湾局賃貸地（港・一般）</v>
      </c>
      <c r="C1244" s="14" t="s">
        <v>1512</v>
      </c>
      <c r="D1244" s="14" t="s">
        <v>1322</v>
      </c>
      <c r="E1244" s="1">
        <v>455607.92</v>
      </c>
      <c r="F1244" s="15" t="s">
        <v>7348</v>
      </c>
      <c r="G1244" s="1"/>
      <c r="H1244" s="3"/>
      <c r="I1244" s="14" t="s">
        <v>4117</v>
      </c>
    </row>
    <row r="1245" spans="1:9" ht="18.75" customHeight="1" x14ac:dyDescent="0.4">
      <c r="A1245" s="14" t="s">
        <v>4038</v>
      </c>
      <c r="B1245" s="16" t="str">
        <f>TRIM("港1号抽水所")</f>
        <v>港1号抽水所</v>
      </c>
      <c r="C1245" s="14" t="s">
        <v>1512</v>
      </c>
      <c r="D1245" s="14" t="s">
        <v>1322</v>
      </c>
      <c r="E1245" s="1">
        <v>403.45</v>
      </c>
      <c r="F1245" s="2"/>
      <c r="G1245" s="1">
        <v>182.62</v>
      </c>
      <c r="H1245" s="3"/>
      <c r="I1245" s="14" t="s">
        <v>2177</v>
      </c>
    </row>
    <row r="1246" spans="1:9" ht="18.75" customHeight="1" x14ac:dyDescent="0.4">
      <c r="A1246" s="14" t="s">
        <v>4246</v>
      </c>
      <c r="B1246" s="16" t="str">
        <f>TRIM("第2突堤現場事務所")</f>
        <v>第2突堤現場事務所</v>
      </c>
      <c r="C1246" s="14" t="s">
        <v>1512</v>
      </c>
      <c r="D1246" s="14" t="s">
        <v>1322</v>
      </c>
      <c r="E1246" s="1">
        <v>20791.099999999999</v>
      </c>
      <c r="F1246" s="2"/>
      <c r="G1246" s="1">
        <v>5355.67</v>
      </c>
      <c r="H1246" s="3"/>
      <c r="I1246" s="14" t="s">
        <v>4117</v>
      </c>
    </row>
    <row r="1247" spans="1:9" ht="18.75" customHeight="1" x14ac:dyDescent="0.4">
      <c r="A1247" s="14" t="s">
        <v>4254</v>
      </c>
      <c r="B1247" s="16" t="str">
        <f>TRIM("ＡＢ号上屋")</f>
        <v>ＡＢ号上屋</v>
      </c>
      <c r="C1247" s="14" t="s">
        <v>1512</v>
      </c>
      <c r="D1247" s="14" t="s">
        <v>1322</v>
      </c>
      <c r="E1247" s="1">
        <v>4208.63</v>
      </c>
      <c r="F1247" s="2"/>
      <c r="G1247" s="12">
        <v>4260.55</v>
      </c>
      <c r="H1247" s="3"/>
      <c r="I1247" s="14" t="s">
        <v>4117</v>
      </c>
    </row>
    <row r="1248" spans="1:9" ht="18.75" customHeight="1" x14ac:dyDescent="0.4">
      <c r="A1248" s="14" t="s">
        <v>4255</v>
      </c>
      <c r="B1248" s="16" t="str">
        <f>TRIM("ＣＤ号上屋")</f>
        <v>ＣＤ号上屋</v>
      </c>
      <c r="C1248" s="14" t="s">
        <v>1512</v>
      </c>
      <c r="D1248" s="14" t="s">
        <v>1322</v>
      </c>
      <c r="E1248" s="1">
        <v>4178.3999999999996</v>
      </c>
      <c r="F1248" s="2"/>
      <c r="G1248" s="12">
        <v>4236.34</v>
      </c>
      <c r="H1248" s="3"/>
      <c r="I1248" s="14" t="s">
        <v>4117</v>
      </c>
    </row>
    <row r="1249" spans="1:9" ht="18.75" customHeight="1" x14ac:dyDescent="0.4">
      <c r="A1249" s="14" t="s">
        <v>4256</v>
      </c>
      <c r="B1249" s="16" t="str">
        <f>TRIM("Ｌ号上屋")</f>
        <v>Ｌ号上屋</v>
      </c>
      <c r="C1249" s="14" t="s">
        <v>1512</v>
      </c>
      <c r="D1249" s="14" t="s">
        <v>1322</v>
      </c>
      <c r="E1249" s="1">
        <v>12042.68</v>
      </c>
      <c r="F1249" s="2"/>
      <c r="G1249" s="12">
        <v>7161.88</v>
      </c>
      <c r="H1249" s="3"/>
      <c r="I1249" s="14" t="s">
        <v>4117</v>
      </c>
    </row>
    <row r="1250" spans="1:9" ht="18.75" customHeight="1" x14ac:dyDescent="0.4">
      <c r="A1250" s="14" t="s">
        <v>4257</v>
      </c>
      <c r="B1250" s="16" t="str">
        <f>TRIM("Ｍ号上屋")</f>
        <v>Ｍ号上屋</v>
      </c>
      <c r="C1250" s="14" t="s">
        <v>1512</v>
      </c>
      <c r="D1250" s="14" t="s">
        <v>1322</v>
      </c>
      <c r="E1250" s="1">
        <v>2174.5300000000002</v>
      </c>
      <c r="F1250" s="2"/>
      <c r="G1250" s="12">
        <v>1666.68</v>
      </c>
      <c r="H1250" s="3"/>
      <c r="I1250" s="14" t="s">
        <v>4117</v>
      </c>
    </row>
    <row r="1251" spans="1:9" ht="18.75" customHeight="1" x14ac:dyDescent="0.4">
      <c r="A1251" s="14" t="s">
        <v>4258</v>
      </c>
      <c r="B1251" s="16" t="str">
        <f>TRIM("Ｎ号上屋")</f>
        <v>Ｎ号上屋</v>
      </c>
      <c r="C1251" s="14" t="s">
        <v>1512</v>
      </c>
      <c r="D1251" s="14" t="s">
        <v>1322</v>
      </c>
      <c r="E1251" s="1">
        <v>2174.5300000000002</v>
      </c>
      <c r="F1251" s="2"/>
      <c r="G1251" s="12">
        <v>1690.5</v>
      </c>
      <c r="H1251" s="3"/>
      <c r="I1251" s="14" t="s">
        <v>4117</v>
      </c>
    </row>
    <row r="1252" spans="1:9" ht="18.75" customHeight="1" x14ac:dyDescent="0.4">
      <c r="A1252" s="14" t="s">
        <v>4259</v>
      </c>
      <c r="B1252" s="16" t="str">
        <f>TRIM("Ｏ号上屋")</f>
        <v>Ｏ号上屋</v>
      </c>
      <c r="C1252" s="14" t="s">
        <v>1512</v>
      </c>
      <c r="D1252" s="14" t="s">
        <v>1322</v>
      </c>
      <c r="E1252" s="1">
        <v>2174.5300000000002</v>
      </c>
      <c r="F1252" s="2"/>
      <c r="G1252" s="12">
        <v>1704.55</v>
      </c>
      <c r="H1252" s="3"/>
      <c r="I1252" s="14" t="s">
        <v>4117</v>
      </c>
    </row>
    <row r="1253" spans="1:9" ht="18.75" customHeight="1" x14ac:dyDescent="0.4">
      <c r="A1253" s="14" t="s">
        <v>4125</v>
      </c>
      <c r="B1253" s="16" t="str">
        <f>TRIM("もと1・2突堤港湾労働者休憩所")</f>
        <v>もと1・2突堤港湾労働者休憩所</v>
      </c>
      <c r="C1253" s="14" t="s">
        <v>1512</v>
      </c>
      <c r="D1253" s="14" t="s">
        <v>1322</v>
      </c>
      <c r="E1253" s="1">
        <v>286.51</v>
      </c>
      <c r="F1253" s="2"/>
      <c r="G1253" s="1"/>
      <c r="H1253" s="3"/>
      <c r="I1253" s="14" t="s">
        <v>4117</v>
      </c>
    </row>
    <row r="1254" spans="1:9" ht="18.75" customHeight="1" x14ac:dyDescent="0.4">
      <c r="A1254" s="14" t="s">
        <v>4138</v>
      </c>
      <c r="B1254" s="16" t="str">
        <f>TRIM("野積場（港・一般）")</f>
        <v>野積場（港・一般）</v>
      </c>
      <c r="C1254" s="14" t="s">
        <v>1512</v>
      </c>
      <c r="D1254" s="14" t="s">
        <v>1322</v>
      </c>
      <c r="E1254" s="1">
        <v>209.8</v>
      </c>
      <c r="F1254" s="2"/>
      <c r="G1254" s="1"/>
      <c r="H1254" s="3"/>
      <c r="I1254" s="14" t="s">
        <v>4117</v>
      </c>
    </row>
    <row r="1255" spans="1:9" ht="18.75" customHeight="1" x14ac:dyDescent="0.4">
      <c r="A1255" s="14" t="s">
        <v>4165</v>
      </c>
      <c r="B1255" s="16" t="str">
        <f>TRIM("第１・２突堤中臨港緑地")</f>
        <v>第１・２突堤中臨港緑地</v>
      </c>
      <c r="C1255" s="14" t="s">
        <v>1512</v>
      </c>
      <c r="D1255" s="14" t="s">
        <v>1322</v>
      </c>
      <c r="E1255" s="1">
        <v>704.23</v>
      </c>
      <c r="F1255" s="2"/>
      <c r="G1255" s="1"/>
      <c r="H1255" s="3"/>
      <c r="I1255" s="14" t="s">
        <v>4117</v>
      </c>
    </row>
    <row r="1256" spans="1:9" ht="18.75" customHeight="1" x14ac:dyDescent="0.4">
      <c r="A1256" s="14" t="s">
        <v>4173</v>
      </c>
      <c r="B1256" s="16" t="str">
        <f>TRIM("第1・2突堤南臨港緑地")</f>
        <v>第1・2突堤南臨港緑地</v>
      </c>
      <c r="C1256" s="14" t="s">
        <v>1512</v>
      </c>
      <c r="D1256" s="14" t="s">
        <v>1322</v>
      </c>
      <c r="E1256" s="1">
        <v>539.72</v>
      </c>
      <c r="F1256" s="2"/>
      <c r="G1256" s="1"/>
      <c r="H1256" s="3"/>
      <c r="I1256" s="14" t="s">
        <v>4117</v>
      </c>
    </row>
    <row r="1257" spans="1:9" ht="18.75" customHeight="1" x14ac:dyDescent="0.4">
      <c r="A1257" s="14" t="s">
        <v>4182</v>
      </c>
      <c r="B1257" s="16" t="str">
        <f>TRIM("臨港道路（港・一般）")</f>
        <v>臨港道路（港・一般）</v>
      </c>
      <c r="C1257" s="14" t="s">
        <v>1512</v>
      </c>
      <c r="D1257" s="14" t="s">
        <v>1322</v>
      </c>
      <c r="E1257" s="1">
        <v>168206.45</v>
      </c>
      <c r="F1257" s="2"/>
      <c r="G1257" s="1"/>
      <c r="H1257" s="3"/>
      <c r="I1257" s="14" t="s">
        <v>4117</v>
      </c>
    </row>
    <row r="1258" spans="1:9" ht="18.75" customHeight="1" x14ac:dyDescent="0.4">
      <c r="A1258" s="14" t="s">
        <v>4213</v>
      </c>
      <c r="B1258" s="16" t="str">
        <f>TRIM("オイルフェンス他付属備品倉庫")</f>
        <v>オイルフェンス他付属備品倉庫</v>
      </c>
      <c r="C1258" s="14" t="s">
        <v>1512</v>
      </c>
      <c r="D1258" s="14" t="s">
        <v>1322</v>
      </c>
      <c r="E1258" s="1"/>
      <c r="F1258" s="2"/>
      <c r="G1258" s="1">
        <v>58.73</v>
      </c>
      <c r="H1258" s="3"/>
      <c r="I1258" s="14" t="s">
        <v>4117</v>
      </c>
    </row>
    <row r="1259" spans="1:9" ht="18.75" customHeight="1" x14ac:dyDescent="0.4">
      <c r="A1259" s="14" t="s">
        <v>4250</v>
      </c>
      <c r="B1259" s="16" t="str">
        <f>TRIM("防潮扉集中監視装置港区準監視局")</f>
        <v>防潮扉集中監視装置港区準監視局</v>
      </c>
      <c r="C1259" s="14" t="s">
        <v>1512</v>
      </c>
      <c r="D1259" s="14" t="s">
        <v>1322</v>
      </c>
      <c r="E1259" s="1"/>
      <c r="F1259" s="2"/>
      <c r="G1259" s="1">
        <v>118.55</v>
      </c>
      <c r="H1259" s="3"/>
      <c r="I1259" s="14" t="s">
        <v>4117</v>
      </c>
    </row>
    <row r="1260" spans="1:9" ht="18.75" customHeight="1" x14ac:dyDescent="0.4">
      <c r="A1260" s="14" t="s">
        <v>4039</v>
      </c>
      <c r="B1260" s="16" t="str">
        <f>TRIM("港2号抽水所")</f>
        <v>港2号抽水所</v>
      </c>
      <c r="C1260" s="14" t="s">
        <v>1512</v>
      </c>
      <c r="D1260" s="14" t="s">
        <v>933</v>
      </c>
      <c r="E1260" s="1">
        <v>463.88</v>
      </c>
      <c r="F1260" s="2"/>
      <c r="G1260" s="1">
        <v>194.57</v>
      </c>
      <c r="H1260" s="3"/>
      <c r="I1260" s="14" t="s">
        <v>2177</v>
      </c>
    </row>
    <row r="1261" spans="1:9" ht="18.75" customHeight="1" x14ac:dyDescent="0.4">
      <c r="A1261" s="14" t="s">
        <v>4260</v>
      </c>
      <c r="B1261" s="16" t="str">
        <f>TRIM("ＱＲ号上屋")</f>
        <v>ＱＲ号上屋</v>
      </c>
      <c r="C1261" s="14" t="s">
        <v>1512</v>
      </c>
      <c r="D1261" s="14" t="s">
        <v>933</v>
      </c>
      <c r="E1261" s="1">
        <v>5299.78</v>
      </c>
      <c r="F1261" s="2"/>
      <c r="G1261" s="12">
        <v>5081.75</v>
      </c>
      <c r="H1261" s="3"/>
      <c r="I1261" s="14" t="s">
        <v>4117</v>
      </c>
    </row>
    <row r="1262" spans="1:9" ht="18.75" customHeight="1" x14ac:dyDescent="0.4">
      <c r="A1262" s="14" t="s">
        <v>4261</v>
      </c>
      <c r="B1262" s="16" t="str">
        <f>TRIM("ＳＴ号上屋")</f>
        <v>ＳＴ号上屋</v>
      </c>
      <c r="C1262" s="14" t="s">
        <v>1512</v>
      </c>
      <c r="D1262" s="14" t="s">
        <v>933</v>
      </c>
      <c r="E1262" s="1">
        <v>5399.89</v>
      </c>
      <c r="F1262" s="2"/>
      <c r="G1262" s="12">
        <v>5032.7299999999996</v>
      </c>
      <c r="H1262" s="3"/>
      <c r="I1262" s="14" t="s">
        <v>4117</v>
      </c>
    </row>
    <row r="1263" spans="1:9" ht="18.75" customHeight="1" x14ac:dyDescent="0.4">
      <c r="A1263" s="14" t="s">
        <v>4263</v>
      </c>
      <c r="B1263" s="16" t="str">
        <f>TRIM("ＵＶ号上屋")</f>
        <v>ＵＶ号上屋</v>
      </c>
      <c r="C1263" s="14" t="s">
        <v>1512</v>
      </c>
      <c r="D1263" s="14" t="s">
        <v>933</v>
      </c>
      <c r="E1263" s="1">
        <v>2821.97</v>
      </c>
      <c r="F1263" s="2"/>
      <c r="G1263" s="12">
        <v>4438.88</v>
      </c>
      <c r="H1263" s="3"/>
      <c r="I1263" s="14" t="s">
        <v>4117</v>
      </c>
    </row>
    <row r="1264" spans="1:9" ht="18.75" customHeight="1" x14ac:dyDescent="0.4">
      <c r="A1264" s="14" t="s">
        <v>4264</v>
      </c>
      <c r="B1264" s="16" t="str">
        <f>TRIM("ＷＸ号上屋")</f>
        <v>ＷＸ号上屋</v>
      </c>
      <c r="C1264" s="14" t="s">
        <v>1512</v>
      </c>
      <c r="D1264" s="14" t="s">
        <v>933</v>
      </c>
      <c r="E1264" s="1">
        <v>2566.81</v>
      </c>
      <c r="F1264" s="2"/>
      <c r="G1264" s="12">
        <v>4230.1499999999996</v>
      </c>
      <c r="H1264" s="3"/>
      <c r="I1264" s="14" t="s">
        <v>4117</v>
      </c>
    </row>
    <row r="1265" spans="1:9" ht="18.75" customHeight="1" x14ac:dyDescent="0.4">
      <c r="A1265" s="14" t="s">
        <v>4265</v>
      </c>
      <c r="B1265" s="16" t="str">
        <f>TRIM("Ｙ号上屋")</f>
        <v>Ｙ号上屋</v>
      </c>
      <c r="C1265" s="14" t="s">
        <v>1512</v>
      </c>
      <c r="D1265" s="14" t="s">
        <v>933</v>
      </c>
      <c r="E1265" s="1">
        <v>3842.65</v>
      </c>
      <c r="F1265" s="2"/>
      <c r="G1265" s="12">
        <v>3052.6</v>
      </c>
      <c r="H1265" s="3"/>
      <c r="I1265" s="14" t="s">
        <v>4117</v>
      </c>
    </row>
    <row r="1266" spans="1:9" ht="18.75" customHeight="1" x14ac:dyDescent="0.4">
      <c r="A1266" s="14" t="s">
        <v>4266</v>
      </c>
      <c r="B1266" s="16" t="str">
        <f>TRIM("Ｚ号上屋")</f>
        <v>Ｚ号上屋</v>
      </c>
      <c r="C1266" s="14" t="s">
        <v>1512</v>
      </c>
      <c r="D1266" s="14" t="s">
        <v>933</v>
      </c>
      <c r="E1266" s="1">
        <v>3484.98</v>
      </c>
      <c r="F1266" s="2"/>
      <c r="G1266" s="12">
        <v>2613.88</v>
      </c>
      <c r="H1266" s="3"/>
      <c r="I1266" s="14" t="s">
        <v>4117</v>
      </c>
    </row>
    <row r="1267" spans="1:9" ht="18.75" customHeight="1" x14ac:dyDescent="0.4">
      <c r="A1267" s="14" t="s">
        <v>2255</v>
      </c>
      <c r="B1267" s="16" t="str">
        <f>TRIM("大阪港八尾線（港）（管財課）")</f>
        <v>大阪港八尾線（港）（管財課）</v>
      </c>
      <c r="C1267" s="14" t="s">
        <v>1512</v>
      </c>
      <c r="D1267" s="14" t="s">
        <v>933</v>
      </c>
      <c r="E1267" s="1">
        <v>923.88</v>
      </c>
      <c r="F1267" s="2"/>
      <c r="G1267" s="1"/>
      <c r="H1267" s="3"/>
      <c r="I1267" s="14" t="s">
        <v>2177</v>
      </c>
    </row>
    <row r="1268" spans="1:9" ht="18.75" customHeight="1" x14ac:dyDescent="0.4">
      <c r="A1268" s="14" t="s">
        <v>3768</v>
      </c>
      <c r="B1268" s="16" t="str">
        <f>TRIM("市岡工営所　産業廃棄物置場")</f>
        <v>市岡工営所　産業廃棄物置場</v>
      </c>
      <c r="C1268" s="14" t="s">
        <v>1512</v>
      </c>
      <c r="D1268" s="14" t="s">
        <v>933</v>
      </c>
      <c r="E1268" s="1"/>
      <c r="F1268" s="2"/>
      <c r="G1268" s="1">
        <v>19.61</v>
      </c>
      <c r="H1268" s="3"/>
      <c r="I1268" s="14" t="s">
        <v>2177</v>
      </c>
    </row>
    <row r="1269" spans="1:9" ht="18.75" customHeight="1" x14ac:dyDescent="0.4">
      <c r="A1269" s="14" t="s">
        <v>4162</v>
      </c>
      <c r="B1269" s="16" t="str">
        <f>TRIM("第3突堤港湾労働者便所")</f>
        <v>第3突堤港湾労働者便所</v>
      </c>
      <c r="C1269" s="14" t="s">
        <v>1512</v>
      </c>
      <c r="D1269" s="14" t="s">
        <v>933</v>
      </c>
      <c r="E1269" s="1"/>
      <c r="F1269" s="2"/>
      <c r="G1269" s="1">
        <v>7.14</v>
      </c>
      <c r="H1269" s="3"/>
      <c r="I1269" s="14" t="s">
        <v>4117</v>
      </c>
    </row>
    <row r="1270" spans="1:9" ht="18.75" customHeight="1" x14ac:dyDescent="0.4">
      <c r="A1270" s="14" t="s">
        <v>4285</v>
      </c>
      <c r="B1270" s="16" t="str">
        <f>TRIM("荷捌地（港・港営）")</f>
        <v>荷捌地（港・港営）</v>
      </c>
      <c r="C1270" s="14" t="s">
        <v>1512</v>
      </c>
      <c r="D1270" s="14" t="s">
        <v>933</v>
      </c>
      <c r="E1270" s="1">
        <v>33540.300000000003</v>
      </c>
      <c r="F1270" s="2"/>
      <c r="G1270" s="12"/>
      <c r="H1270" s="3"/>
      <c r="I1270" s="14" t="s">
        <v>4117</v>
      </c>
    </row>
    <row r="1271" spans="1:9" ht="18.75" customHeight="1" x14ac:dyDescent="0.4">
      <c r="A1271" s="14" t="s">
        <v>4800</v>
      </c>
      <c r="B1271" s="16" t="str">
        <f>TRIM("港晴小学校")</f>
        <v>港晴小学校</v>
      </c>
      <c r="C1271" s="14" t="s">
        <v>1512</v>
      </c>
      <c r="D1271" s="14" t="s">
        <v>289</v>
      </c>
      <c r="E1271" s="1">
        <v>9046.6200000000008</v>
      </c>
      <c r="F1271" s="2"/>
      <c r="G1271" s="1">
        <v>6037.25</v>
      </c>
      <c r="H1271" s="3"/>
      <c r="I1271" s="14" t="s">
        <v>4689</v>
      </c>
    </row>
    <row r="1272" spans="1:9" ht="18.75" customHeight="1" x14ac:dyDescent="0.4">
      <c r="A1272" s="14" t="s">
        <v>6712</v>
      </c>
      <c r="B1272" s="16" t="str">
        <f>TRIM("八幡屋宝町第3住宅")</f>
        <v>八幡屋宝町第3住宅</v>
      </c>
      <c r="C1272" s="14" t="s">
        <v>1512</v>
      </c>
      <c r="D1272" s="14" t="s">
        <v>289</v>
      </c>
      <c r="E1272" s="1">
        <v>3259.1</v>
      </c>
      <c r="F1272" s="2"/>
      <c r="G1272" s="1">
        <v>5232.96</v>
      </c>
      <c r="H1272" s="3"/>
      <c r="I1272" s="14" t="s">
        <v>6177</v>
      </c>
    </row>
    <row r="1273" spans="1:9" ht="18.75" customHeight="1" x14ac:dyDescent="0.4">
      <c r="A1273" s="14" t="s">
        <v>1760</v>
      </c>
      <c r="B1273" s="16" t="str">
        <f>TRIM("障がい福祉サービス事業所　あいらぶ工房")</f>
        <v>障がい福祉サービス事業所　あいらぶ工房</v>
      </c>
      <c r="C1273" s="14" t="s">
        <v>1512</v>
      </c>
      <c r="D1273" s="14" t="s">
        <v>289</v>
      </c>
      <c r="E1273" s="1">
        <v>846.91</v>
      </c>
      <c r="F1273" s="2"/>
      <c r="G1273" s="1"/>
      <c r="H1273" s="3"/>
      <c r="I1273" s="14" t="s">
        <v>1654</v>
      </c>
    </row>
    <row r="1274" spans="1:9" ht="18.75" customHeight="1" x14ac:dyDescent="0.4">
      <c r="A1274" s="14" t="s">
        <v>2022</v>
      </c>
      <c r="B1274" s="16" t="str">
        <f>TRIM("港晴会館・老人憩の家")</f>
        <v>港晴会館・老人憩の家</v>
      </c>
      <c r="C1274" s="14" t="s">
        <v>1512</v>
      </c>
      <c r="D1274" s="14" t="s">
        <v>289</v>
      </c>
      <c r="E1274" s="1">
        <v>117.44</v>
      </c>
      <c r="F1274" s="2"/>
      <c r="G1274" s="1"/>
      <c r="H1274" s="3"/>
      <c r="I1274" s="14" t="s">
        <v>1988</v>
      </c>
    </row>
    <row r="1275" spans="1:9" ht="18.75" customHeight="1" x14ac:dyDescent="0.4">
      <c r="A1275" s="14" t="s">
        <v>5578</v>
      </c>
      <c r="B1275" s="16" t="str">
        <f>TRIM("もと港湾地帯用地（契約予定地）")</f>
        <v>もと港湾地帯用地（契約予定地）</v>
      </c>
      <c r="C1275" s="14" t="s">
        <v>1512</v>
      </c>
      <c r="D1275" s="14" t="s">
        <v>289</v>
      </c>
      <c r="E1275" s="1">
        <v>99.27</v>
      </c>
      <c r="F1275" s="2"/>
      <c r="G1275" s="1"/>
      <c r="H1275" s="3"/>
      <c r="I1275" s="14" t="s">
        <v>5349</v>
      </c>
    </row>
    <row r="1276" spans="1:9" ht="18.75" customHeight="1" x14ac:dyDescent="0.4">
      <c r="A1276" s="14" t="s">
        <v>5969</v>
      </c>
      <c r="B1276" s="16" t="str">
        <f>TRIM("民間移管保育所建設用地（八幡屋保育所）")</f>
        <v>民間移管保育所建設用地（八幡屋保育所）</v>
      </c>
      <c r="C1276" s="14" t="s">
        <v>1512</v>
      </c>
      <c r="D1276" s="14" t="s">
        <v>289</v>
      </c>
      <c r="E1276" s="1">
        <v>871.66</v>
      </c>
      <c r="F1276" s="2"/>
      <c r="G1276" s="1"/>
      <c r="H1276" s="3"/>
      <c r="I1276" s="14" t="s">
        <v>5617</v>
      </c>
    </row>
    <row r="1277" spans="1:9" ht="18.75" customHeight="1" x14ac:dyDescent="0.4">
      <c r="A1277" s="14" t="s">
        <v>4142</v>
      </c>
      <c r="B1277" s="16" t="str">
        <f>TRIM("もと物揚場敷（港）")</f>
        <v>もと物揚場敷（港）</v>
      </c>
      <c r="C1277" s="14" t="s">
        <v>1512</v>
      </c>
      <c r="D1277" s="14" t="s">
        <v>826</v>
      </c>
      <c r="E1277" s="1">
        <v>930.14</v>
      </c>
      <c r="F1277" s="2">
        <v>1923</v>
      </c>
      <c r="G1277" s="1"/>
      <c r="H1277" s="3"/>
      <c r="I1277" s="14" t="s">
        <v>4117</v>
      </c>
    </row>
    <row r="1278" spans="1:9" ht="18.75" customHeight="1" x14ac:dyDescent="0.4">
      <c r="A1278" s="14" t="s">
        <v>4149</v>
      </c>
      <c r="B1278" s="16" t="str">
        <f>TRIM("大阪港湾労働者福祉センター")</f>
        <v>大阪港湾労働者福祉センター</v>
      </c>
      <c r="C1278" s="14" t="s">
        <v>1512</v>
      </c>
      <c r="D1278" s="14" t="s">
        <v>826</v>
      </c>
      <c r="E1278" s="1">
        <v>1514.63</v>
      </c>
      <c r="F1278" s="2"/>
      <c r="G1278" s="1">
        <v>2579.71</v>
      </c>
      <c r="H1278" s="3"/>
      <c r="I1278" s="14" t="s">
        <v>4117</v>
      </c>
    </row>
    <row r="1279" spans="1:9" ht="18.75" customHeight="1" x14ac:dyDescent="0.4">
      <c r="A1279" s="14" t="s">
        <v>4317</v>
      </c>
      <c r="B1279" s="16" t="str">
        <f>TRIM("浮島1号上屋")</f>
        <v>浮島1号上屋</v>
      </c>
      <c r="C1279" s="14" t="s">
        <v>1512</v>
      </c>
      <c r="D1279" s="14" t="s">
        <v>826</v>
      </c>
      <c r="E1279" s="1">
        <v>3503.15</v>
      </c>
      <c r="F1279" s="2"/>
      <c r="G1279" s="12">
        <v>1678.97</v>
      </c>
      <c r="H1279" s="3"/>
      <c r="I1279" s="14" t="s">
        <v>4117</v>
      </c>
    </row>
    <row r="1280" spans="1:9" ht="18.75" customHeight="1" x14ac:dyDescent="0.4">
      <c r="A1280" s="14" t="s">
        <v>6631</v>
      </c>
      <c r="B1280" s="16" t="str">
        <f>TRIM("八幡屋宝町住宅")</f>
        <v>八幡屋宝町住宅</v>
      </c>
      <c r="C1280" s="14" t="s">
        <v>1512</v>
      </c>
      <c r="D1280" s="14" t="s">
        <v>826</v>
      </c>
      <c r="E1280" s="1">
        <v>3740.48</v>
      </c>
      <c r="F1280" s="2"/>
      <c r="G1280" s="1">
        <v>6261.85</v>
      </c>
      <c r="H1280" s="3"/>
      <c r="I1280" s="14" t="s">
        <v>6177</v>
      </c>
    </row>
    <row r="1281" spans="1:9" ht="18.75" customHeight="1" x14ac:dyDescent="0.4">
      <c r="A1281" s="14" t="s">
        <v>6711</v>
      </c>
      <c r="B1281" s="16" t="str">
        <f>TRIM("八幡屋宝町第2住宅")</f>
        <v>八幡屋宝町第2住宅</v>
      </c>
      <c r="C1281" s="14" t="s">
        <v>1512</v>
      </c>
      <c r="D1281" s="14" t="s">
        <v>826</v>
      </c>
      <c r="E1281" s="1">
        <v>3542.29</v>
      </c>
      <c r="F1281" s="2"/>
      <c r="G1281" s="1">
        <v>3908.42</v>
      </c>
      <c r="H1281" s="3"/>
      <c r="I1281" s="14" t="s">
        <v>6177</v>
      </c>
    </row>
    <row r="1282" spans="1:9" ht="18.75" customHeight="1" x14ac:dyDescent="0.4">
      <c r="A1282" s="14" t="s">
        <v>2700</v>
      </c>
      <c r="B1282" s="16" t="str">
        <f>TRIM("　港晴南公園")</f>
        <v>港晴南公園</v>
      </c>
      <c r="C1282" s="14" t="s">
        <v>1512</v>
      </c>
      <c r="D1282" s="14" t="s">
        <v>826</v>
      </c>
      <c r="E1282" s="1">
        <v>1477.4</v>
      </c>
      <c r="F1282" s="2"/>
      <c r="G1282" s="1"/>
      <c r="H1282" s="3"/>
      <c r="I1282" s="14" t="s">
        <v>2177</v>
      </c>
    </row>
    <row r="1283" spans="1:9" ht="18.75" customHeight="1" x14ac:dyDescent="0.4">
      <c r="A1283" s="14" t="s">
        <v>4291</v>
      </c>
      <c r="B1283" s="16" t="str">
        <f>TRIM("港湾局賃貸地（港・港営）")</f>
        <v>港湾局賃貸地（港・港営）</v>
      </c>
      <c r="C1283" s="14" t="s">
        <v>1512</v>
      </c>
      <c r="D1283" s="14" t="s">
        <v>826</v>
      </c>
      <c r="E1283" s="1">
        <v>3750.73</v>
      </c>
      <c r="F1283" s="2"/>
      <c r="G1283" s="12"/>
      <c r="H1283" s="3"/>
      <c r="I1283" s="14" t="s">
        <v>4117</v>
      </c>
    </row>
    <row r="1284" spans="1:9" ht="18.75" customHeight="1" x14ac:dyDescent="0.4">
      <c r="A1284" s="14" t="s">
        <v>2023</v>
      </c>
      <c r="B1284" s="16" t="str">
        <f>TRIM("港晴東会館・老人憩の家")</f>
        <v>港晴東会館・老人憩の家</v>
      </c>
      <c r="C1284" s="14" t="s">
        <v>1512</v>
      </c>
      <c r="D1284" s="14" t="s">
        <v>546</v>
      </c>
      <c r="E1284" s="1">
        <v>330.81</v>
      </c>
      <c r="F1284" s="2"/>
      <c r="G1284" s="1"/>
      <c r="H1284" s="3"/>
      <c r="I1284" s="14" t="s">
        <v>1988</v>
      </c>
    </row>
    <row r="1285" spans="1:9" ht="18.75" customHeight="1" x14ac:dyDescent="0.4">
      <c r="A1285" s="14" t="s">
        <v>2699</v>
      </c>
      <c r="B1285" s="16" t="str">
        <f>TRIM("　港晴東公園")</f>
        <v>港晴東公園</v>
      </c>
      <c r="C1285" s="14" t="s">
        <v>1512</v>
      </c>
      <c r="D1285" s="14" t="s">
        <v>546</v>
      </c>
      <c r="E1285" s="1">
        <v>1251.17</v>
      </c>
      <c r="F1285" s="2"/>
      <c r="G1285" s="1"/>
      <c r="H1285" s="3"/>
      <c r="I1285" s="14" t="s">
        <v>2177</v>
      </c>
    </row>
    <row r="1286" spans="1:9" ht="18.75" customHeight="1" x14ac:dyDescent="0.4">
      <c r="A1286" s="14" t="s">
        <v>5743</v>
      </c>
      <c r="B1286" s="16" t="str">
        <f>TRIM("善児園")</f>
        <v>善児園</v>
      </c>
      <c r="C1286" s="14" t="s">
        <v>1512</v>
      </c>
      <c r="D1286" s="14" t="s">
        <v>546</v>
      </c>
      <c r="E1286" s="1">
        <v>85.83</v>
      </c>
      <c r="F1286" s="2"/>
      <c r="G1286" s="1"/>
      <c r="H1286" s="3"/>
      <c r="I1286" s="14" t="s">
        <v>5617</v>
      </c>
    </row>
    <row r="1287" spans="1:9" ht="18.75" customHeight="1" x14ac:dyDescent="0.4">
      <c r="A1287" s="14" t="s">
        <v>2701</v>
      </c>
      <c r="B1287" s="16" t="str">
        <f>TRIM("　港晴北公園")</f>
        <v>港晴北公園</v>
      </c>
      <c r="C1287" s="14" t="s">
        <v>1512</v>
      </c>
      <c r="D1287" s="14" t="s">
        <v>1039</v>
      </c>
      <c r="E1287" s="1">
        <v>748.02</v>
      </c>
      <c r="F1287" s="2"/>
      <c r="G1287" s="1"/>
      <c r="H1287" s="3"/>
      <c r="I1287" s="14" t="s">
        <v>2177</v>
      </c>
    </row>
    <row r="1288" spans="1:9" ht="18.75" customHeight="1" x14ac:dyDescent="0.4">
      <c r="A1288" s="14" t="s">
        <v>4270</v>
      </c>
      <c r="B1288" s="16" t="str">
        <f>TRIM("安治川11号上屋")</f>
        <v>安治川11号上屋</v>
      </c>
      <c r="C1288" s="14" t="s">
        <v>1512</v>
      </c>
      <c r="D1288" s="14" t="s">
        <v>1354</v>
      </c>
      <c r="E1288" s="1">
        <v>5032.3</v>
      </c>
      <c r="F1288" s="2"/>
      <c r="G1288" s="12">
        <v>10011.06</v>
      </c>
      <c r="H1288" s="3"/>
      <c r="I1288" s="14" t="s">
        <v>4117</v>
      </c>
    </row>
    <row r="1289" spans="1:9" ht="18.75" customHeight="1" x14ac:dyDescent="0.4">
      <c r="A1289" s="14" t="s">
        <v>4272</v>
      </c>
      <c r="B1289" s="16" t="str">
        <f>TRIM("安治川1号上屋")</f>
        <v>安治川1号上屋</v>
      </c>
      <c r="C1289" s="14" t="s">
        <v>1512</v>
      </c>
      <c r="D1289" s="14" t="s">
        <v>1354</v>
      </c>
      <c r="E1289" s="1">
        <v>3559.75</v>
      </c>
      <c r="F1289" s="2"/>
      <c r="G1289" s="12">
        <v>5337.71</v>
      </c>
      <c r="H1289" s="3"/>
      <c r="I1289" s="14" t="s">
        <v>4117</v>
      </c>
    </row>
    <row r="1290" spans="1:9" ht="18.75" customHeight="1" x14ac:dyDescent="0.4">
      <c r="A1290" s="14" t="s">
        <v>4273</v>
      </c>
      <c r="B1290" s="16" t="str">
        <f>TRIM("安治川2号上屋")</f>
        <v>安治川2号上屋</v>
      </c>
      <c r="C1290" s="14" t="s">
        <v>1512</v>
      </c>
      <c r="D1290" s="14" t="s">
        <v>1354</v>
      </c>
      <c r="E1290" s="1">
        <v>3155.6</v>
      </c>
      <c r="F1290" s="2"/>
      <c r="G1290" s="12">
        <v>3022</v>
      </c>
      <c r="H1290" s="3"/>
      <c r="I1290" s="14" t="s">
        <v>4117</v>
      </c>
    </row>
    <row r="1291" spans="1:9" ht="18.75" customHeight="1" x14ac:dyDescent="0.4">
      <c r="A1291" s="14" t="s">
        <v>6566</v>
      </c>
      <c r="B1291" s="16" t="str">
        <f>TRIM("田中住宅")</f>
        <v>田中住宅</v>
      </c>
      <c r="C1291" s="14" t="s">
        <v>1512</v>
      </c>
      <c r="D1291" s="14" t="s">
        <v>802</v>
      </c>
      <c r="E1291" s="1">
        <v>4093.16</v>
      </c>
      <c r="F1291" s="2"/>
      <c r="G1291" s="1">
        <v>6813.44</v>
      </c>
      <c r="H1291" s="3"/>
      <c r="I1291" s="14" t="s">
        <v>6177</v>
      </c>
    </row>
    <row r="1292" spans="1:9" ht="18.75" customHeight="1" x14ac:dyDescent="0.4">
      <c r="A1292" s="14" t="s">
        <v>2947</v>
      </c>
      <c r="B1292" s="16" t="str">
        <f>TRIM("　石田公園")</f>
        <v>石田公園</v>
      </c>
      <c r="C1292" s="14" t="s">
        <v>1512</v>
      </c>
      <c r="D1292" s="14" t="s">
        <v>802</v>
      </c>
      <c r="E1292" s="1">
        <v>2184.08</v>
      </c>
      <c r="F1292" s="2"/>
      <c r="G1292" s="1"/>
      <c r="H1292" s="3"/>
      <c r="I1292" s="14" t="s">
        <v>2177</v>
      </c>
    </row>
    <row r="1293" spans="1:9" ht="18.75" customHeight="1" x14ac:dyDescent="0.4">
      <c r="A1293" s="14" t="s">
        <v>3150</v>
      </c>
      <c r="B1293" s="16" t="str">
        <f>TRIM("　東田中公園")</f>
        <v>東田中公園</v>
      </c>
      <c r="C1293" s="14" t="s">
        <v>1512</v>
      </c>
      <c r="D1293" s="14" t="s">
        <v>802</v>
      </c>
      <c r="E1293" s="1">
        <v>1428.27</v>
      </c>
      <c r="F1293" s="2"/>
      <c r="G1293" s="1"/>
      <c r="H1293" s="3"/>
      <c r="I1293" s="14" t="s">
        <v>2177</v>
      </c>
    </row>
    <row r="1294" spans="1:9" ht="18.75" customHeight="1" x14ac:dyDescent="0.4">
      <c r="A1294" s="14" t="s">
        <v>3648</v>
      </c>
      <c r="B1294" s="16" t="str">
        <f>TRIM("　東田中公園")</f>
        <v>東田中公園</v>
      </c>
      <c r="C1294" s="14" t="s">
        <v>1512</v>
      </c>
      <c r="D1294" s="14" t="s">
        <v>802</v>
      </c>
      <c r="E1294" s="1"/>
      <c r="F1294" s="2"/>
      <c r="G1294" s="1">
        <v>19.2</v>
      </c>
      <c r="H1294" s="3"/>
      <c r="I1294" s="14" t="s">
        <v>2177</v>
      </c>
    </row>
    <row r="1295" spans="1:9" ht="18.75" customHeight="1" x14ac:dyDescent="0.4">
      <c r="A1295" s="14" t="s">
        <v>5907</v>
      </c>
      <c r="B1295" s="16" t="str">
        <f>TRIM("田中保育所")</f>
        <v>田中保育所</v>
      </c>
      <c r="C1295" s="14" t="s">
        <v>1512</v>
      </c>
      <c r="D1295" s="14" t="s">
        <v>802</v>
      </c>
      <c r="E1295" s="1"/>
      <c r="F1295" s="2"/>
      <c r="G1295" s="1">
        <v>401.94</v>
      </c>
      <c r="H1295" s="3"/>
      <c r="I1295" s="14" t="s">
        <v>5617</v>
      </c>
    </row>
    <row r="1296" spans="1:9" ht="18.75" customHeight="1" x14ac:dyDescent="0.4">
      <c r="A1296" s="14" t="s">
        <v>5006</v>
      </c>
      <c r="B1296" s="16" t="str">
        <f>TRIM("田中小学校")</f>
        <v>田中小学校</v>
      </c>
      <c r="C1296" s="14" t="s">
        <v>1512</v>
      </c>
      <c r="D1296" s="14" t="s">
        <v>1361</v>
      </c>
      <c r="E1296" s="1">
        <v>10266.049999999999</v>
      </c>
      <c r="F1296" s="2"/>
      <c r="G1296" s="1">
        <v>4238.08</v>
      </c>
      <c r="H1296" s="3"/>
      <c r="I1296" s="14" t="s">
        <v>4689</v>
      </c>
    </row>
    <row r="1297" spans="1:9" ht="18.75" customHeight="1" x14ac:dyDescent="0.4">
      <c r="A1297" s="14" t="s">
        <v>5232</v>
      </c>
      <c r="B1297" s="16" t="str">
        <f>TRIM("港消防署田中出張所")</f>
        <v>港消防署田中出張所</v>
      </c>
      <c r="C1297" s="14" t="s">
        <v>1512</v>
      </c>
      <c r="D1297" s="14" t="s">
        <v>1361</v>
      </c>
      <c r="E1297" s="1">
        <v>330.87</v>
      </c>
      <c r="F1297" s="2"/>
      <c r="G1297" s="1">
        <v>701.27</v>
      </c>
      <c r="H1297" s="3"/>
      <c r="I1297" s="14" t="s">
        <v>5219</v>
      </c>
    </row>
    <row r="1298" spans="1:9" ht="18.75" customHeight="1" x14ac:dyDescent="0.4">
      <c r="A1298" s="14" t="s">
        <v>2107</v>
      </c>
      <c r="B1298" s="16" t="str">
        <f>TRIM("田中会館・老人憩の家")</f>
        <v>田中会館・老人憩の家</v>
      </c>
      <c r="C1298" s="14" t="s">
        <v>1512</v>
      </c>
      <c r="D1298" s="14" t="s">
        <v>1361</v>
      </c>
      <c r="E1298" s="1">
        <v>299.43</v>
      </c>
      <c r="F1298" s="2"/>
      <c r="G1298" s="1"/>
      <c r="H1298" s="3"/>
      <c r="I1298" s="14" t="s">
        <v>1988</v>
      </c>
    </row>
    <row r="1299" spans="1:9" ht="18.75" customHeight="1" x14ac:dyDescent="0.4">
      <c r="A1299" s="14" t="s">
        <v>5992</v>
      </c>
      <c r="B1299" s="16" t="str">
        <f>TRIM("港地盤沈下観測所")</f>
        <v>港地盤沈下観測所</v>
      </c>
      <c r="C1299" s="14" t="s">
        <v>1512</v>
      </c>
      <c r="D1299" s="14" t="s">
        <v>69</v>
      </c>
      <c r="E1299" s="1">
        <v>88.77</v>
      </c>
      <c r="F1299" s="2"/>
      <c r="G1299" s="1">
        <v>40</v>
      </c>
      <c r="H1299" s="3"/>
      <c r="I1299" s="14" t="s">
        <v>5977</v>
      </c>
    </row>
    <row r="1300" spans="1:9" ht="18.75" customHeight="1" x14ac:dyDescent="0.4">
      <c r="A1300" s="14" t="s">
        <v>7090</v>
      </c>
      <c r="B1300" s="16" t="str">
        <f>TRIM("計量検査所")</f>
        <v>計量検査所</v>
      </c>
      <c r="C1300" s="14" t="s">
        <v>1512</v>
      </c>
      <c r="D1300" s="14" t="s">
        <v>69</v>
      </c>
      <c r="E1300" s="1">
        <v>4363.32</v>
      </c>
      <c r="F1300" s="2"/>
      <c r="G1300" s="1">
        <v>1239.3699999999999</v>
      </c>
      <c r="H1300" s="3"/>
      <c r="I1300" s="14" t="s">
        <v>4115</v>
      </c>
    </row>
    <row r="1301" spans="1:9" ht="18.75" customHeight="1" x14ac:dyDescent="0.4">
      <c r="A1301" s="14" t="s">
        <v>1684</v>
      </c>
      <c r="B1301" s="16" t="str">
        <f>TRIM("第2港晴寮")</f>
        <v>第2港晴寮</v>
      </c>
      <c r="C1301" s="14" t="s">
        <v>1512</v>
      </c>
      <c r="D1301" s="14" t="s">
        <v>69</v>
      </c>
      <c r="E1301" s="1"/>
      <c r="F1301" s="2"/>
      <c r="G1301" s="1">
        <v>2470.67</v>
      </c>
      <c r="H1301" s="3"/>
      <c r="I1301" s="14" t="s">
        <v>1654</v>
      </c>
    </row>
    <row r="1302" spans="1:9" ht="18.75" customHeight="1" x14ac:dyDescent="0.4">
      <c r="A1302" s="14" t="s">
        <v>3236</v>
      </c>
      <c r="B1302" s="16" t="str">
        <f>TRIM("　八幡屋公園")</f>
        <v>八幡屋公園</v>
      </c>
      <c r="C1302" s="14" t="s">
        <v>1512</v>
      </c>
      <c r="D1302" s="14" t="s">
        <v>69</v>
      </c>
      <c r="E1302" s="1">
        <v>122797.42</v>
      </c>
      <c r="F1302" s="2"/>
      <c r="G1302" s="1"/>
      <c r="H1302" s="3"/>
      <c r="I1302" s="14" t="s">
        <v>2177</v>
      </c>
    </row>
    <row r="1303" spans="1:9" ht="18.75" customHeight="1" x14ac:dyDescent="0.4">
      <c r="A1303" s="14" t="s">
        <v>3663</v>
      </c>
      <c r="B1303" s="16" t="str">
        <f>TRIM("　八幡屋公園")</f>
        <v>八幡屋公園</v>
      </c>
      <c r="C1303" s="14" t="s">
        <v>1512</v>
      </c>
      <c r="D1303" s="14" t="s">
        <v>69</v>
      </c>
      <c r="E1303" s="1"/>
      <c r="F1303" s="2"/>
      <c r="G1303" s="1">
        <v>1355.78</v>
      </c>
      <c r="H1303" s="3"/>
      <c r="I1303" s="14" t="s">
        <v>2177</v>
      </c>
    </row>
    <row r="1304" spans="1:9" ht="18.75" customHeight="1" x14ac:dyDescent="0.4">
      <c r="A1304" s="14" t="s">
        <v>3901</v>
      </c>
      <c r="B1304" s="16" t="str">
        <f>TRIM("朝潮橋駅自転車駐車場南側管理ボックス")</f>
        <v>朝潮橋駅自転車駐車場南側管理ボックス</v>
      </c>
      <c r="C1304" s="14" t="s">
        <v>1512</v>
      </c>
      <c r="D1304" s="14" t="s">
        <v>69</v>
      </c>
      <c r="E1304" s="1"/>
      <c r="F1304" s="2"/>
      <c r="G1304" s="1">
        <v>1.44</v>
      </c>
      <c r="H1304" s="3"/>
      <c r="I1304" s="14" t="s">
        <v>2177</v>
      </c>
    </row>
    <row r="1305" spans="1:9" ht="18.75" customHeight="1" x14ac:dyDescent="0.4">
      <c r="A1305" s="14" t="s">
        <v>3902</v>
      </c>
      <c r="B1305" s="16" t="str">
        <f>TRIM("朝潮橋駅自転車駐車場北側管理ボックス")</f>
        <v>朝潮橋駅自転車駐車場北側管理ボックス</v>
      </c>
      <c r="C1305" s="14" t="s">
        <v>1512</v>
      </c>
      <c r="D1305" s="14" t="s">
        <v>69</v>
      </c>
      <c r="E1305" s="1"/>
      <c r="F1305" s="2"/>
      <c r="G1305" s="1">
        <v>3.89</v>
      </c>
      <c r="H1305" s="3"/>
      <c r="I1305" s="14" t="s">
        <v>2177</v>
      </c>
    </row>
    <row r="1306" spans="1:9" ht="18.75" customHeight="1" x14ac:dyDescent="0.4">
      <c r="A1306" s="14" t="s">
        <v>7098</v>
      </c>
      <c r="B1306" s="16" t="str">
        <f>TRIM("港スポーツセンター")</f>
        <v>港スポーツセンター</v>
      </c>
      <c r="C1306" s="14" t="s">
        <v>1512</v>
      </c>
      <c r="D1306" s="14" t="s">
        <v>69</v>
      </c>
      <c r="E1306" s="1"/>
      <c r="F1306" s="2"/>
      <c r="G1306" s="1">
        <v>3794.33</v>
      </c>
      <c r="H1306" s="3"/>
      <c r="I1306" s="14" t="s">
        <v>4115</v>
      </c>
    </row>
    <row r="1307" spans="1:9" ht="18.75" customHeight="1" x14ac:dyDescent="0.4">
      <c r="A1307" s="14" t="s">
        <v>7120</v>
      </c>
      <c r="B1307" s="16" t="str">
        <f>TRIM("中央体育館")</f>
        <v>中央体育館</v>
      </c>
      <c r="C1307" s="14" t="s">
        <v>1512</v>
      </c>
      <c r="D1307" s="14" t="s">
        <v>69</v>
      </c>
      <c r="E1307" s="1"/>
      <c r="F1307" s="2"/>
      <c r="G1307" s="1">
        <v>38425</v>
      </c>
      <c r="H1307" s="3"/>
      <c r="I1307" s="14" t="s">
        <v>4115</v>
      </c>
    </row>
    <row r="1308" spans="1:9" ht="18.75" customHeight="1" x14ac:dyDescent="0.4">
      <c r="A1308" s="14" t="s">
        <v>7143</v>
      </c>
      <c r="B1308" s="16" t="str">
        <f>TRIM("大阪プール　")</f>
        <v>大阪プール</v>
      </c>
      <c r="C1308" s="14" t="s">
        <v>1512</v>
      </c>
      <c r="D1308" s="14" t="s">
        <v>69</v>
      </c>
      <c r="E1308" s="1"/>
      <c r="F1308" s="2"/>
      <c r="G1308" s="1">
        <v>25137.93</v>
      </c>
      <c r="H1308" s="3"/>
      <c r="I1308" s="14" t="s">
        <v>4115</v>
      </c>
    </row>
    <row r="1309" spans="1:9" ht="18.75" customHeight="1" x14ac:dyDescent="0.4">
      <c r="A1309" s="14" t="s">
        <v>4040</v>
      </c>
      <c r="B1309" s="16" t="str">
        <f>TRIM("港抽水所")</f>
        <v>港抽水所</v>
      </c>
      <c r="C1309" s="14" t="s">
        <v>1512</v>
      </c>
      <c r="D1309" s="14" t="s">
        <v>550</v>
      </c>
      <c r="E1309" s="1">
        <v>1875.73</v>
      </c>
      <c r="F1309" s="2"/>
      <c r="G1309" s="1">
        <v>736.89</v>
      </c>
      <c r="H1309" s="3"/>
      <c r="I1309" s="14" t="s">
        <v>2177</v>
      </c>
    </row>
    <row r="1310" spans="1:9" ht="18.75" customHeight="1" x14ac:dyDescent="0.4">
      <c r="A1310" s="14" t="s">
        <v>4960</v>
      </c>
      <c r="B1310" s="16" t="str">
        <f>TRIM("築港小学校")</f>
        <v>築港小学校</v>
      </c>
      <c r="C1310" s="14" t="s">
        <v>1512</v>
      </c>
      <c r="D1310" s="14" t="s">
        <v>550</v>
      </c>
      <c r="E1310" s="1">
        <v>14467.26</v>
      </c>
      <c r="F1310" s="2"/>
      <c r="G1310" s="1">
        <v>5496.74</v>
      </c>
      <c r="H1310" s="3"/>
      <c r="I1310" s="14" t="s">
        <v>4689</v>
      </c>
    </row>
    <row r="1311" spans="1:9" ht="18.75" customHeight="1" x14ac:dyDescent="0.4">
      <c r="A1311" s="14" t="s">
        <v>4961</v>
      </c>
      <c r="B1311" s="16" t="str">
        <f>TRIM("築港中学校")</f>
        <v>築港中学校</v>
      </c>
      <c r="C1311" s="14" t="s">
        <v>1512</v>
      </c>
      <c r="D1311" s="14" t="s">
        <v>550</v>
      </c>
      <c r="E1311" s="1">
        <v>15994.06</v>
      </c>
      <c r="F1311" s="2"/>
      <c r="G1311" s="1">
        <v>6192.25</v>
      </c>
      <c r="H1311" s="3"/>
      <c r="I1311" s="14" t="s">
        <v>4689</v>
      </c>
    </row>
    <row r="1312" spans="1:9" ht="18.75" customHeight="1" x14ac:dyDescent="0.4">
      <c r="A1312" s="14" t="s">
        <v>5749</v>
      </c>
      <c r="B1312" s="16" t="str">
        <f>TRIM("築港保育園")</f>
        <v>築港保育園</v>
      </c>
      <c r="C1312" s="14" t="s">
        <v>1512</v>
      </c>
      <c r="D1312" s="14" t="s">
        <v>550</v>
      </c>
      <c r="E1312" s="1">
        <v>488.17</v>
      </c>
      <c r="F1312" s="2"/>
      <c r="G1312" s="1">
        <v>405.46</v>
      </c>
      <c r="H1312" s="3"/>
      <c r="I1312" s="14" t="s">
        <v>5617</v>
      </c>
    </row>
    <row r="1313" spans="1:9" ht="18.75" customHeight="1" x14ac:dyDescent="0.4">
      <c r="A1313" s="14" t="s">
        <v>6504</v>
      </c>
      <c r="B1313" s="16" t="str">
        <f>TRIM("築港住宅")</f>
        <v>築港住宅</v>
      </c>
      <c r="C1313" s="14" t="s">
        <v>1512</v>
      </c>
      <c r="D1313" s="14" t="s">
        <v>550</v>
      </c>
      <c r="E1313" s="1">
        <v>9598.89</v>
      </c>
      <c r="F1313" s="2"/>
      <c r="G1313" s="1">
        <v>10656.23</v>
      </c>
      <c r="H1313" s="3"/>
      <c r="I1313" s="14" t="s">
        <v>6177</v>
      </c>
    </row>
    <row r="1314" spans="1:9" ht="18.75" customHeight="1" x14ac:dyDescent="0.4">
      <c r="A1314" s="14" t="s">
        <v>3033</v>
      </c>
      <c r="B1314" s="16" t="str">
        <f>TRIM("　築港南公園")</f>
        <v>築港南公園</v>
      </c>
      <c r="C1314" s="14" t="s">
        <v>1512</v>
      </c>
      <c r="D1314" s="14" t="s">
        <v>550</v>
      </c>
      <c r="E1314" s="1">
        <v>5784.05</v>
      </c>
      <c r="F1314" s="2"/>
      <c r="G1314" s="1"/>
      <c r="H1314" s="3"/>
      <c r="I1314" s="14" t="s">
        <v>2177</v>
      </c>
    </row>
    <row r="1315" spans="1:9" ht="18.75" customHeight="1" x14ac:dyDescent="0.4">
      <c r="A1315" s="14" t="s">
        <v>3615</v>
      </c>
      <c r="B1315" s="16" t="str">
        <f>TRIM("　築港南公園")</f>
        <v>築港南公園</v>
      </c>
      <c r="C1315" s="14" t="s">
        <v>1512</v>
      </c>
      <c r="D1315" s="14" t="s">
        <v>550</v>
      </c>
      <c r="E1315" s="1"/>
      <c r="F1315" s="2"/>
      <c r="G1315" s="1">
        <v>19.2</v>
      </c>
      <c r="H1315" s="3"/>
      <c r="I1315" s="14" t="s">
        <v>2177</v>
      </c>
    </row>
    <row r="1316" spans="1:9" ht="18.75" customHeight="1" x14ac:dyDescent="0.4">
      <c r="A1316" s="14" t="s">
        <v>1899</v>
      </c>
      <c r="B1316" s="16" t="str">
        <f>TRIM("築港地域在宅サービスステーション")</f>
        <v>築港地域在宅サービスステーション</v>
      </c>
      <c r="C1316" s="14" t="s">
        <v>1512</v>
      </c>
      <c r="D1316" s="14" t="s">
        <v>208</v>
      </c>
      <c r="E1316" s="1">
        <v>455.28</v>
      </c>
      <c r="F1316" s="2"/>
      <c r="G1316" s="1"/>
      <c r="H1316" s="3"/>
      <c r="I1316" s="14" t="s">
        <v>1654</v>
      </c>
    </row>
    <row r="1317" spans="1:9" ht="18.75" customHeight="1" x14ac:dyDescent="0.4">
      <c r="A1317" s="14" t="s">
        <v>2085</v>
      </c>
      <c r="B1317" s="16" t="str">
        <f>TRIM("築港会館・老人憩の家")</f>
        <v>築港会館・老人憩の家</v>
      </c>
      <c r="C1317" s="14" t="s">
        <v>1512</v>
      </c>
      <c r="D1317" s="14" t="s">
        <v>208</v>
      </c>
      <c r="E1317" s="1">
        <v>330.92</v>
      </c>
      <c r="F1317" s="2"/>
      <c r="G1317" s="1"/>
      <c r="H1317" s="3"/>
      <c r="I1317" s="14" t="s">
        <v>1988</v>
      </c>
    </row>
    <row r="1318" spans="1:9" ht="18.75" customHeight="1" x14ac:dyDescent="0.4">
      <c r="A1318" s="14" t="s">
        <v>4129</v>
      </c>
      <c r="B1318" s="16" t="str">
        <f>TRIM("もと築港地区活性化事業施設")</f>
        <v>もと築港地区活性化事業施設</v>
      </c>
      <c r="C1318" s="14" t="s">
        <v>1512</v>
      </c>
      <c r="D1318" s="14" t="s">
        <v>208</v>
      </c>
      <c r="E1318" s="1">
        <v>1987.79</v>
      </c>
      <c r="F1318" s="2"/>
      <c r="G1318" s="1"/>
      <c r="H1318" s="3"/>
      <c r="I1318" s="14" t="s">
        <v>4117</v>
      </c>
    </row>
    <row r="1319" spans="1:9" ht="18.75" customHeight="1" x14ac:dyDescent="0.4">
      <c r="A1319" s="14" t="s">
        <v>5467</v>
      </c>
      <c r="B1319" s="16" t="str">
        <f>TRIM("契約管財局賃貸地（港・その他）")</f>
        <v>契約管財局賃貸地（港・その他）</v>
      </c>
      <c r="C1319" s="14" t="s">
        <v>1512</v>
      </c>
      <c r="D1319" s="14" t="s">
        <v>208</v>
      </c>
      <c r="E1319" s="1">
        <v>98.19</v>
      </c>
      <c r="F1319" s="2"/>
      <c r="G1319" s="1"/>
      <c r="H1319" s="3"/>
      <c r="I1319" s="14" t="s">
        <v>5349</v>
      </c>
    </row>
    <row r="1320" spans="1:9" ht="18.75" customHeight="1" x14ac:dyDescent="0.4">
      <c r="A1320" s="14" t="s">
        <v>4234</v>
      </c>
      <c r="B1320" s="16" t="str">
        <f>TRIM("天保山船客上屋")</f>
        <v>天保山船客上屋</v>
      </c>
      <c r="C1320" s="14" t="s">
        <v>1512</v>
      </c>
      <c r="D1320" s="14" t="s">
        <v>1176</v>
      </c>
      <c r="E1320" s="1">
        <v>2900.12</v>
      </c>
      <c r="F1320" s="2"/>
      <c r="G1320" s="1">
        <v>2702.74</v>
      </c>
      <c r="H1320" s="3"/>
      <c r="I1320" s="14" t="s">
        <v>4117</v>
      </c>
    </row>
    <row r="1321" spans="1:9" ht="18.75" customHeight="1" x14ac:dyDescent="0.4">
      <c r="A1321" s="14" t="s">
        <v>5252</v>
      </c>
      <c r="B1321" s="16" t="str">
        <f>TRIM("水上消防署")</f>
        <v>水上消防署</v>
      </c>
      <c r="C1321" s="14" t="s">
        <v>1512</v>
      </c>
      <c r="D1321" s="14" t="s">
        <v>1176</v>
      </c>
      <c r="E1321" s="1">
        <v>2234.89</v>
      </c>
      <c r="F1321" s="2"/>
      <c r="G1321" s="1">
        <v>4177.68</v>
      </c>
      <c r="H1321" s="3"/>
      <c r="I1321" s="14" t="s">
        <v>5219</v>
      </c>
    </row>
    <row r="1322" spans="1:9" ht="18.75" customHeight="1" x14ac:dyDescent="0.4">
      <c r="A1322" s="14" t="s">
        <v>2511</v>
      </c>
      <c r="B1322" s="16" t="str">
        <f>TRIM("天保山渡船場左岸待合所")</f>
        <v>天保山渡船場左岸待合所</v>
      </c>
      <c r="C1322" s="14" t="s">
        <v>1512</v>
      </c>
      <c r="D1322" s="14" t="s">
        <v>1176</v>
      </c>
      <c r="E1322" s="1"/>
      <c r="F1322" s="2"/>
      <c r="G1322" s="1">
        <v>81.489999999999995</v>
      </c>
      <c r="H1322" s="3"/>
      <c r="I1322" s="14" t="s">
        <v>2177</v>
      </c>
    </row>
    <row r="1323" spans="1:9" ht="18.75" customHeight="1" x14ac:dyDescent="0.4">
      <c r="A1323" s="14" t="s">
        <v>3107</v>
      </c>
      <c r="B1323" s="16" t="str">
        <f>TRIM("　天保山公園")</f>
        <v>天保山公園</v>
      </c>
      <c r="C1323" s="14" t="s">
        <v>1512</v>
      </c>
      <c r="D1323" s="14" t="s">
        <v>1176</v>
      </c>
      <c r="E1323" s="1">
        <v>20779.02</v>
      </c>
      <c r="F1323" s="2"/>
      <c r="G1323" s="1"/>
      <c r="H1323" s="3"/>
      <c r="I1323" s="14" t="s">
        <v>2177</v>
      </c>
    </row>
    <row r="1324" spans="1:9" ht="18.75" customHeight="1" x14ac:dyDescent="0.4">
      <c r="A1324" s="14" t="s">
        <v>3637</v>
      </c>
      <c r="B1324" s="16" t="str">
        <f>TRIM("　天保山公園")</f>
        <v>天保山公園</v>
      </c>
      <c r="C1324" s="14" t="s">
        <v>1512</v>
      </c>
      <c r="D1324" s="14" t="s">
        <v>1176</v>
      </c>
      <c r="E1324" s="1"/>
      <c r="F1324" s="2"/>
      <c r="G1324" s="1">
        <v>19.2</v>
      </c>
      <c r="H1324" s="3"/>
      <c r="I1324" s="14" t="s">
        <v>2177</v>
      </c>
    </row>
    <row r="1325" spans="1:9" ht="18.75" customHeight="1" x14ac:dyDescent="0.4">
      <c r="A1325" s="14" t="s">
        <v>4239</v>
      </c>
      <c r="B1325" s="16" t="str">
        <f>TRIM("クルーズ客船関係車両整理場")</f>
        <v>クルーズ客船関係車両整理場</v>
      </c>
      <c r="C1325" s="14" t="s">
        <v>1512</v>
      </c>
      <c r="D1325" s="14" t="s">
        <v>1176</v>
      </c>
      <c r="E1325" s="1">
        <v>1522.18</v>
      </c>
      <c r="F1325" s="2"/>
      <c r="G1325" s="1"/>
      <c r="H1325" s="3"/>
      <c r="I1325" s="14" t="s">
        <v>4117</v>
      </c>
    </row>
    <row r="1326" spans="1:9" ht="18.75" customHeight="1" x14ac:dyDescent="0.4">
      <c r="A1326" s="14" t="s">
        <v>4240</v>
      </c>
      <c r="B1326" s="16" t="str">
        <f>TRIM("天保山船客上屋（大型テント）")</f>
        <v>天保山船客上屋（大型テント）</v>
      </c>
      <c r="C1326" s="14" t="s">
        <v>1512</v>
      </c>
      <c r="D1326" s="14" t="s">
        <v>1176</v>
      </c>
      <c r="E1326" s="1"/>
      <c r="F1326" s="2"/>
      <c r="G1326" s="1">
        <v>845.4</v>
      </c>
      <c r="H1326" s="3"/>
      <c r="I1326" s="14" t="s">
        <v>4117</v>
      </c>
    </row>
    <row r="1327" spans="1:9" ht="18.75" customHeight="1" x14ac:dyDescent="0.4">
      <c r="A1327" s="14" t="s">
        <v>6005</v>
      </c>
      <c r="B1327" s="16" t="str">
        <f>TRIM("天保山地盤沈下観測所")</f>
        <v>天保山地盤沈下観測所</v>
      </c>
      <c r="C1327" s="14" t="s">
        <v>1512</v>
      </c>
      <c r="D1327" s="14" t="s">
        <v>623</v>
      </c>
      <c r="E1327" s="1">
        <v>62.08</v>
      </c>
      <c r="F1327" s="2"/>
      <c r="G1327" s="1">
        <v>10.9</v>
      </c>
      <c r="H1327" s="3"/>
      <c r="I1327" s="14" t="s">
        <v>5977</v>
      </c>
    </row>
    <row r="1328" spans="1:9" ht="18.75" customHeight="1" x14ac:dyDescent="0.4">
      <c r="A1328" s="14" t="s">
        <v>6710</v>
      </c>
      <c r="B1328" s="16" t="str">
        <f>TRIM("一条通住宅")</f>
        <v>一条通住宅</v>
      </c>
      <c r="C1328" s="14" t="s">
        <v>1512</v>
      </c>
      <c r="D1328" s="14" t="s">
        <v>623</v>
      </c>
      <c r="E1328" s="1">
        <v>1945.72</v>
      </c>
      <c r="F1328" s="2"/>
      <c r="G1328" s="1">
        <v>6558.89</v>
      </c>
      <c r="H1328" s="3"/>
      <c r="I1328" s="14" t="s">
        <v>6177</v>
      </c>
    </row>
    <row r="1329" spans="1:9" ht="18.75" customHeight="1" x14ac:dyDescent="0.4">
      <c r="A1329" s="14" t="s">
        <v>3975</v>
      </c>
      <c r="B1329" s="16" t="str">
        <f>TRIM("大阪港駅自転車駐車場管理事務所")</f>
        <v>大阪港駅自転車駐車場管理事務所</v>
      </c>
      <c r="C1329" s="14" t="s">
        <v>1512</v>
      </c>
      <c r="D1329" s="14" t="s">
        <v>623</v>
      </c>
      <c r="E1329" s="1"/>
      <c r="F1329" s="2"/>
      <c r="G1329" s="1">
        <v>6.48</v>
      </c>
      <c r="H1329" s="3"/>
      <c r="I1329" s="14" t="s">
        <v>2177</v>
      </c>
    </row>
    <row r="1330" spans="1:9" ht="18.75" customHeight="1" x14ac:dyDescent="0.4">
      <c r="A1330" s="14" t="s">
        <v>5724</v>
      </c>
      <c r="B1330" s="16" t="str">
        <f>TRIM("安治川保育園")</f>
        <v>安治川保育園</v>
      </c>
      <c r="C1330" s="14" t="s">
        <v>1512</v>
      </c>
      <c r="D1330" s="14" t="s">
        <v>536</v>
      </c>
      <c r="E1330" s="1">
        <v>791.84</v>
      </c>
      <c r="F1330" s="2"/>
      <c r="G1330" s="1">
        <v>484.48</v>
      </c>
      <c r="H1330" s="3"/>
      <c r="I1330" s="14" t="s">
        <v>5617</v>
      </c>
    </row>
    <row r="1331" spans="1:9" ht="18.75" customHeight="1" x14ac:dyDescent="0.4">
      <c r="A1331" s="14" t="s">
        <v>6621</v>
      </c>
      <c r="B1331" s="16" t="str">
        <f>TRIM("波除第2住宅")</f>
        <v>波除第2住宅</v>
      </c>
      <c r="C1331" s="14" t="s">
        <v>1512</v>
      </c>
      <c r="D1331" s="14" t="s">
        <v>536</v>
      </c>
      <c r="E1331" s="1">
        <v>27511.79</v>
      </c>
      <c r="F1331" s="2"/>
      <c r="G1331" s="1">
        <v>49902.35</v>
      </c>
      <c r="H1331" s="3"/>
      <c r="I1331" s="14" t="s">
        <v>6177</v>
      </c>
    </row>
    <row r="1332" spans="1:9" ht="18.75" customHeight="1" x14ac:dyDescent="0.4">
      <c r="A1332" s="14" t="s">
        <v>2123</v>
      </c>
      <c r="B1332" s="16" t="s">
        <v>7358</v>
      </c>
      <c r="C1332" s="14" t="s">
        <v>1512</v>
      </c>
      <c r="D1332" s="14" t="s">
        <v>221</v>
      </c>
      <c r="E1332" s="1">
        <v>160.96</v>
      </c>
      <c r="F1332" s="2">
        <v>2132</v>
      </c>
      <c r="G1332" s="1">
        <v>105.34</v>
      </c>
      <c r="H1332" s="3" t="s">
        <v>7353</v>
      </c>
      <c r="I1332" s="14" t="s">
        <v>1988</v>
      </c>
    </row>
    <row r="1333" spans="1:9" ht="18.75" customHeight="1" x14ac:dyDescent="0.4">
      <c r="A1333" s="14" t="s">
        <v>6620</v>
      </c>
      <c r="B1333" s="16" t="str">
        <f>TRIM("波除住宅")</f>
        <v>波除住宅</v>
      </c>
      <c r="C1333" s="14" t="s">
        <v>1512</v>
      </c>
      <c r="D1333" s="14" t="s">
        <v>221</v>
      </c>
      <c r="E1333" s="1">
        <v>5769.67</v>
      </c>
      <c r="F1333" s="2"/>
      <c r="G1333" s="1">
        <v>9973.3700000000008</v>
      </c>
      <c r="H1333" s="3"/>
      <c r="I1333" s="14" t="s">
        <v>6177</v>
      </c>
    </row>
    <row r="1334" spans="1:9" ht="18.75" customHeight="1" x14ac:dyDescent="0.4">
      <c r="A1334" s="14" t="s">
        <v>3279</v>
      </c>
      <c r="B1334" s="16" t="str">
        <f>TRIM("　抱月公園")</f>
        <v>抱月公園</v>
      </c>
      <c r="C1334" s="14" t="s">
        <v>1512</v>
      </c>
      <c r="D1334" s="14" t="s">
        <v>221</v>
      </c>
      <c r="E1334" s="1">
        <v>5419.3</v>
      </c>
      <c r="F1334" s="2"/>
      <c r="G1334" s="1"/>
      <c r="H1334" s="3"/>
      <c r="I1334" s="14" t="s">
        <v>2177</v>
      </c>
    </row>
    <row r="1335" spans="1:9" ht="18.75" customHeight="1" x14ac:dyDescent="0.4">
      <c r="A1335" s="14" t="s">
        <v>3738</v>
      </c>
      <c r="B1335" s="16" t="str">
        <f>TRIM(" 弁天町北自転車保管所管理員詰所")</f>
        <v>弁天町北自転車保管所管理員詰所</v>
      </c>
      <c r="C1335" s="14" t="s">
        <v>1512</v>
      </c>
      <c r="D1335" s="14" t="s">
        <v>1486</v>
      </c>
      <c r="E1335" s="1"/>
      <c r="F1335" s="2"/>
      <c r="G1335" s="1">
        <v>25.65</v>
      </c>
      <c r="H1335" s="3"/>
      <c r="I1335" s="14" t="s">
        <v>2177</v>
      </c>
    </row>
    <row r="1336" spans="1:9" ht="18.75" customHeight="1" x14ac:dyDescent="0.4">
      <c r="A1336" s="14" t="s">
        <v>3739</v>
      </c>
      <c r="B1336" s="16" t="str">
        <f>TRIM(" 弁天町北自転車保管所管理事務所")</f>
        <v>弁天町北自転車保管所管理事務所</v>
      </c>
      <c r="C1336" s="14" t="s">
        <v>1512</v>
      </c>
      <c r="D1336" s="14" t="s">
        <v>1486</v>
      </c>
      <c r="E1336" s="1"/>
      <c r="F1336" s="2"/>
      <c r="G1336" s="1">
        <v>25.65</v>
      </c>
      <c r="H1336" s="3"/>
      <c r="I1336" s="14" t="s">
        <v>2177</v>
      </c>
    </row>
    <row r="1337" spans="1:9" ht="18.75" customHeight="1" x14ac:dyDescent="0.4">
      <c r="A1337" s="14" t="s">
        <v>3939</v>
      </c>
      <c r="B1337" s="16" t="str">
        <f>TRIM("弁天町駅東自転車駐車場管理ボックス")</f>
        <v>弁天町駅東自転車駐車場管理ボックス</v>
      </c>
      <c r="C1337" s="14" t="s">
        <v>1512</v>
      </c>
      <c r="D1337" s="14" t="s">
        <v>1486</v>
      </c>
      <c r="E1337" s="1"/>
      <c r="F1337" s="2"/>
      <c r="G1337" s="1">
        <v>3.89</v>
      </c>
      <c r="H1337" s="3"/>
      <c r="I1337" s="14" t="s">
        <v>2177</v>
      </c>
    </row>
    <row r="1338" spans="1:9" ht="18.75" customHeight="1" x14ac:dyDescent="0.4">
      <c r="A1338" s="14" t="s">
        <v>3940</v>
      </c>
      <c r="B1338" s="16" t="str">
        <f>TRIM("弁天町駅東自転車駐車場管理事務所")</f>
        <v>弁天町駅東自転車駐車場管理事務所</v>
      </c>
      <c r="C1338" s="14" t="s">
        <v>1512</v>
      </c>
      <c r="D1338" s="14" t="s">
        <v>1486</v>
      </c>
      <c r="E1338" s="1"/>
      <c r="F1338" s="2"/>
      <c r="G1338" s="1">
        <v>12.56</v>
      </c>
      <c r="H1338" s="3"/>
      <c r="I1338" s="14" t="s">
        <v>2177</v>
      </c>
    </row>
    <row r="1339" spans="1:9" ht="18.75" customHeight="1" x14ac:dyDescent="0.4">
      <c r="A1339" s="14" t="s">
        <v>3941</v>
      </c>
      <c r="B1339" s="16" t="str">
        <f>TRIM("弁天町駅東自転車駐車場高架下管理ボックス")</f>
        <v>弁天町駅東自転車駐車場高架下管理ボックス</v>
      </c>
      <c r="C1339" s="14" t="s">
        <v>1512</v>
      </c>
      <c r="D1339" s="14" t="s">
        <v>1486</v>
      </c>
      <c r="E1339" s="1"/>
      <c r="F1339" s="2"/>
      <c r="G1339" s="1">
        <v>1.44</v>
      </c>
      <c r="H1339" s="3"/>
      <c r="I1339" s="14" t="s">
        <v>2177</v>
      </c>
    </row>
    <row r="1340" spans="1:9" ht="18.75" customHeight="1" x14ac:dyDescent="0.4">
      <c r="A1340" s="14" t="s">
        <v>3942</v>
      </c>
      <c r="B1340" s="16" t="str">
        <f>TRIM("弁天町駅東自転車駐車場北側管理ボックス")</f>
        <v>弁天町駅東自転車駐車場北側管理ボックス</v>
      </c>
      <c r="C1340" s="14" t="s">
        <v>1512</v>
      </c>
      <c r="D1340" s="14" t="s">
        <v>1486</v>
      </c>
      <c r="E1340" s="1"/>
      <c r="F1340" s="2"/>
      <c r="G1340" s="1">
        <v>1.44</v>
      </c>
      <c r="H1340" s="3"/>
      <c r="I1340" s="14" t="s">
        <v>2177</v>
      </c>
    </row>
    <row r="1341" spans="1:9" ht="18.75" customHeight="1" x14ac:dyDescent="0.4">
      <c r="A1341" s="14" t="s">
        <v>5061</v>
      </c>
      <c r="B1341" s="16" t="str">
        <f>TRIM("波除小学校")</f>
        <v>波除小学校</v>
      </c>
      <c r="C1341" s="14" t="s">
        <v>1512</v>
      </c>
      <c r="D1341" s="14" t="s">
        <v>1237</v>
      </c>
      <c r="E1341" s="1">
        <v>10196.469999999999</v>
      </c>
      <c r="F1341" s="2"/>
      <c r="G1341" s="1">
        <v>7456.72</v>
      </c>
      <c r="H1341" s="3"/>
      <c r="I1341" s="14" t="s">
        <v>4689</v>
      </c>
    </row>
    <row r="1342" spans="1:9" ht="18.75" customHeight="1" x14ac:dyDescent="0.4">
      <c r="A1342" s="14" t="s">
        <v>3280</v>
      </c>
      <c r="B1342" s="16" t="str">
        <f>TRIM("　抱月小公園")</f>
        <v>抱月小公園</v>
      </c>
      <c r="C1342" s="14" t="s">
        <v>1512</v>
      </c>
      <c r="D1342" s="14" t="s">
        <v>1237</v>
      </c>
      <c r="E1342" s="1">
        <v>575.92999999999995</v>
      </c>
      <c r="F1342" s="2"/>
      <c r="G1342" s="1"/>
      <c r="H1342" s="3"/>
      <c r="I1342" s="14" t="s">
        <v>2177</v>
      </c>
    </row>
    <row r="1343" spans="1:9" ht="18.75" customHeight="1" x14ac:dyDescent="0.4">
      <c r="A1343" s="14" t="s">
        <v>4418</v>
      </c>
      <c r="B1343" s="16" t="str">
        <f>TRIM("波除会館")</f>
        <v>波除会館</v>
      </c>
      <c r="C1343" s="14" t="s">
        <v>1512</v>
      </c>
      <c r="D1343" s="14" t="s">
        <v>1237</v>
      </c>
      <c r="E1343" s="1">
        <v>293.64</v>
      </c>
      <c r="F1343" s="2"/>
      <c r="G1343" s="1"/>
      <c r="H1343" s="3"/>
      <c r="I1343" s="14" t="s">
        <v>1988</v>
      </c>
    </row>
    <row r="1344" spans="1:9" ht="18.75" customHeight="1" x14ac:dyDescent="0.4">
      <c r="A1344" s="14" t="s">
        <v>3225</v>
      </c>
      <c r="B1344" s="16" t="str">
        <f>TRIM("　波除公園")</f>
        <v>波除公園</v>
      </c>
      <c r="C1344" s="14" t="s">
        <v>1512</v>
      </c>
      <c r="D1344" s="14" t="s">
        <v>288</v>
      </c>
      <c r="E1344" s="1">
        <v>21380.09</v>
      </c>
      <c r="F1344" s="2"/>
      <c r="G1344" s="1"/>
      <c r="H1344" s="3"/>
      <c r="I1344" s="14" t="s">
        <v>2177</v>
      </c>
    </row>
    <row r="1345" spans="1:9" ht="18.75" customHeight="1" x14ac:dyDescent="0.4">
      <c r="A1345" s="14" t="s">
        <v>3660</v>
      </c>
      <c r="B1345" s="16" t="str">
        <f>TRIM("　波除公園")</f>
        <v>波除公園</v>
      </c>
      <c r="C1345" s="14" t="s">
        <v>1512</v>
      </c>
      <c r="D1345" s="14" t="s">
        <v>288</v>
      </c>
      <c r="E1345" s="1"/>
      <c r="F1345" s="2"/>
      <c r="G1345" s="1">
        <v>24.17</v>
      </c>
      <c r="H1345" s="3"/>
      <c r="I1345" s="14" t="s">
        <v>2177</v>
      </c>
    </row>
    <row r="1346" spans="1:9" ht="18.75" customHeight="1" x14ac:dyDescent="0.4">
      <c r="A1346" s="14" t="s">
        <v>4414</v>
      </c>
      <c r="B1346" s="16" t="str">
        <f>TRIM("波除会館")</f>
        <v>波除会館</v>
      </c>
      <c r="C1346" s="14" t="s">
        <v>1512</v>
      </c>
      <c r="D1346" s="14" t="s">
        <v>288</v>
      </c>
      <c r="E1346" s="1">
        <v>209.14</v>
      </c>
      <c r="F1346" s="2"/>
      <c r="G1346" s="1"/>
      <c r="H1346" s="3"/>
      <c r="I1346" s="14" t="s">
        <v>1988</v>
      </c>
    </row>
    <row r="1347" spans="1:9" ht="18.75" customHeight="1" x14ac:dyDescent="0.4">
      <c r="A1347" s="14" t="s">
        <v>5577</v>
      </c>
      <c r="B1347" s="16" t="str">
        <f>TRIM("もと港湾地帯用地（もと契約管財局賃貸地）")</f>
        <v>もと港湾地帯用地（もと契約管財局賃貸地）</v>
      </c>
      <c r="C1347" s="14" t="s">
        <v>1512</v>
      </c>
      <c r="D1347" s="14" t="s">
        <v>288</v>
      </c>
      <c r="E1347" s="1">
        <v>98.38</v>
      </c>
      <c r="F1347" s="2"/>
      <c r="G1347" s="1"/>
      <c r="H1347" s="3"/>
      <c r="I1347" s="14" t="s">
        <v>5349</v>
      </c>
    </row>
    <row r="1348" spans="1:9" ht="18.75" customHeight="1" x14ac:dyDescent="0.4">
      <c r="A1348" s="14" t="s">
        <v>1742</v>
      </c>
      <c r="B1348" s="16" t="str">
        <f>TRIM("知的障がい者更生施設　港育成園")</f>
        <v>知的障がい者更生施設　港育成園</v>
      </c>
      <c r="C1348" s="14" t="s">
        <v>1512</v>
      </c>
      <c r="D1348" s="14" t="s">
        <v>145</v>
      </c>
      <c r="E1348" s="1">
        <v>1769.97</v>
      </c>
      <c r="F1348" s="2"/>
      <c r="G1348" s="1"/>
      <c r="H1348" s="3"/>
      <c r="I1348" s="14" t="s">
        <v>1654</v>
      </c>
    </row>
    <row r="1349" spans="1:9" ht="18.75" customHeight="1" x14ac:dyDescent="0.4">
      <c r="A1349" s="14" t="s">
        <v>5384</v>
      </c>
      <c r="B1349" s="16" t="str">
        <f>TRIM("もと国鉄貨物線用地")</f>
        <v>もと国鉄貨物線用地</v>
      </c>
      <c r="C1349" s="14" t="s">
        <v>1512</v>
      </c>
      <c r="D1349" s="14" t="s">
        <v>145</v>
      </c>
      <c r="E1349" s="1">
        <v>4762.1099999999997</v>
      </c>
      <c r="F1349" s="2"/>
      <c r="G1349" s="1"/>
      <c r="H1349" s="3"/>
      <c r="I1349" s="14" t="s">
        <v>5349</v>
      </c>
    </row>
    <row r="1350" spans="1:9" ht="18.75" customHeight="1" x14ac:dyDescent="0.4">
      <c r="A1350" s="14" t="s">
        <v>2503</v>
      </c>
      <c r="B1350" s="16" t="str">
        <f>TRIM("甚兵衛渡船場右岸待合所")</f>
        <v>甚兵衛渡船場右岸待合所</v>
      </c>
      <c r="C1350" s="14" t="s">
        <v>1512</v>
      </c>
      <c r="D1350" s="14" t="s">
        <v>688</v>
      </c>
      <c r="E1350" s="1"/>
      <c r="F1350" s="2"/>
      <c r="G1350" s="1">
        <v>24.9</v>
      </c>
      <c r="H1350" s="3"/>
      <c r="I1350" s="14" t="s">
        <v>2177</v>
      </c>
    </row>
    <row r="1351" spans="1:9" ht="18.75" customHeight="1" x14ac:dyDescent="0.4">
      <c r="A1351" s="14" t="s">
        <v>6085</v>
      </c>
      <c r="B1351" s="16" t="str">
        <f>TRIM("もと港工場")</f>
        <v>もと港工場</v>
      </c>
      <c r="C1351" s="14" t="s">
        <v>1512</v>
      </c>
      <c r="D1351" s="14" t="s">
        <v>688</v>
      </c>
      <c r="E1351" s="1">
        <v>14276.8</v>
      </c>
      <c r="F1351" s="2"/>
      <c r="G1351" s="1"/>
      <c r="H1351" s="3"/>
      <c r="I1351" s="14" t="s">
        <v>5977</v>
      </c>
    </row>
    <row r="1352" spans="1:9" ht="18.75" customHeight="1" x14ac:dyDescent="0.4">
      <c r="A1352" s="14" t="s">
        <v>4245</v>
      </c>
      <c r="B1352" s="16" t="str">
        <f>TRIM("もと第1建設事務所潜水基地詰所")</f>
        <v>もと第1建設事務所潜水基地詰所</v>
      </c>
      <c r="C1352" s="14" t="s">
        <v>1512</v>
      </c>
      <c r="D1352" s="14" t="s">
        <v>951</v>
      </c>
      <c r="E1352" s="1">
        <v>374.01</v>
      </c>
      <c r="F1352" s="2">
        <v>890</v>
      </c>
      <c r="G1352" s="1"/>
      <c r="H1352" s="3"/>
      <c r="I1352" s="14" t="s">
        <v>4117</v>
      </c>
    </row>
    <row r="1353" spans="1:9" ht="18.75" customHeight="1" x14ac:dyDescent="0.4">
      <c r="A1353" s="14" t="s">
        <v>2295</v>
      </c>
      <c r="B1353" s="16" t="str">
        <f>TRIM("道路（港）（管財課）")</f>
        <v>道路（港）（管財課）</v>
      </c>
      <c r="C1353" s="14" t="s">
        <v>1512</v>
      </c>
      <c r="D1353" s="14" t="s">
        <v>951</v>
      </c>
      <c r="E1353" s="1">
        <v>1356060.11</v>
      </c>
      <c r="F1353" s="2"/>
      <c r="G1353" s="1"/>
      <c r="H1353" s="3"/>
      <c r="I1353" s="14" t="s">
        <v>2177</v>
      </c>
    </row>
    <row r="1354" spans="1:9" ht="18.75" customHeight="1" x14ac:dyDescent="0.4">
      <c r="A1354" s="14" t="s">
        <v>4199</v>
      </c>
      <c r="B1354" s="16" t="str">
        <f>TRIM("防潮堤（港）")</f>
        <v>防潮堤（港）</v>
      </c>
      <c r="C1354" s="14" t="s">
        <v>1512</v>
      </c>
      <c r="D1354" s="14" t="s">
        <v>951</v>
      </c>
      <c r="E1354" s="1">
        <v>36942.03</v>
      </c>
      <c r="F1354" s="2"/>
      <c r="G1354" s="1"/>
      <c r="H1354" s="3"/>
      <c r="I1354" s="14" t="s">
        <v>4117</v>
      </c>
    </row>
    <row r="1355" spans="1:9" ht="18.75" customHeight="1" x14ac:dyDescent="0.4">
      <c r="A1355" s="14" t="s">
        <v>4215</v>
      </c>
      <c r="B1355" s="16" t="str">
        <f>TRIM("運河用地（港）")</f>
        <v>運河用地（港）</v>
      </c>
      <c r="C1355" s="14" t="s">
        <v>1512</v>
      </c>
      <c r="D1355" s="14" t="s">
        <v>951</v>
      </c>
      <c r="E1355" s="1">
        <v>358822.11</v>
      </c>
      <c r="F1355" s="2"/>
      <c r="G1355" s="1"/>
      <c r="H1355" s="3"/>
      <c r="I1355" s="14" t="s">
        <v>4117</v>
      </c>
    </row>
    <row r="1356" spans="1:9" ht="18.75" customHeight="1" x14ac:dyDescent="0.4">
      <c r="A1356" s="14" t="s">
        <v>4691</v>
      </c>
      <c r="B1356" s="16" t="str">
        <f>TRIM("もと市岡商業高等学校")</f>
        <v>もと市岡商業高等学校</v>
      </c>
      <c r="C1356" s="14" t="s">
        <v>1512</v>
      </c>
      <c r="D1356" s="14" t="s">
        <v>871</v>
      </c>
      <c r="E1356" s="1">
        <v>19408.29</v>
      </c>
      <c r="F1356" s="2">
        <v>1295</v>
      </c>
      <c r="G1356" s="1"/>
      <c r="H1356" s="3"/>
      <c r="I1356" s="14" t="s">
        <v>4689</v>
      </c>
    </row>
    <row r="1357" spans="1:9" ht="18.75" customHeight="1" x14ac:dyDescent="0.4">
      <c r="A1357" s="14" t="s">
        <v>5215</v>
      </c>
      <c r="B1357" s="16" t="str">
        <f>TRIM("もと大阪市教育センター")</f>
        <v>もと大阪市教育センター</v>
      </c>
      <c r="C1357" s="14" t="s">
        <v>1512</v>
      </c>
      <c r="D1357" s="14" t="s">
        <v>871</v>
      </c>
      <c r="E1357" s="1">
        <v>1655.01</v>
      </c>
      <c r="F1357" s="2"/>
      <c r="G1357" s="1">
        <v>10063.26</v>
      </c>
      <c r="H1357" s="3" t="s">
        <v>7353</v>
      </c>
      <c r="I1357" s="14" t="s">
        <v>4689</v>
      </c>
    </row>
    <row r="1358" spans="1:9" ht="18.75" customHeight="1" x14ac:dyDescent="0.4">
      <c r="A1358" s="14" t="s">
        <v>5231</v>
      </c>
      <c r="B1358" s="16" t="str">
        <f>TRIM("港消防署")</f>
        <v>港消防署</v>
      </c>
      <c r="C1358" s="14" t="s">
        <v>1512</v>
      </c>
      <c r="D1358" s="14" t="s">
        <v>871</v>
      </c>
      <c r="E1358" s="1">
        <v>689.72</v>
      </c>
      <c r="F1358" s="2"/>
      <c r="G1358" s="1">
        <v>1983.15</v>
      </c>
      <c r="H1358" s="3"/>
      <c r="I1358" s="14" t="s">
        <v>5219</v>
      </c>
    </row>
    <row r="1359" spans="1:9" ht="18.75" customHeight="1" x14ac:dyDescent="0.4">
      <c r="A1359" s="14" t="s">
        <v>3937</v>
      </c>
      <c r="B1359" s="16" t="str">
        <f>TRIM("弁天町駅西自転車駐車場管理ボックス")</f>
        <v>弁天町駅西自転車駐車場管理ボックス</v>
      </c>
      <c r="C1359" s="14" t="s">
        <v>1512</v>
      </c>
      <c r="D1359" s="14" t="s">
        <v>871</v>
      </c>
      <c r="E1359" s="1"/>
      <c r="F1359" s="2"/>
      <c r="G1359" s="1">
        <v>1.44</v>
      </c>
      <c r="H1359" s="3"/>
      <c r="I1359" s="14" t="s">
        <v>2177</v>
      </c>
    </row>
    <row r="1360" spans="1:9" ht="18.75" customHeight="1" x14ac:dyDescent="0.4">
      <c r="A1360" s="14" t="s">
        <v>3938</v>
      </c>
      <c r="B1360" s="16" t="str">
        <f>TRIM("弁天町駅西自転車駐車場管理事務所")</f>
        <v>弁天町駅西自転車駐車場管理事務所</v>
      </c>
      <c r="C1360" s="14" t="s">
        <v>1512</v>
      </c>
      <c r="D1360" s="14" t="s">
        <v>871</v>
      </c>
      <c r="E1360" s="1"/>
      <c r="F1360" s="2"/>
      <c r="G1360" s="1">
        <v>12.56</v>
      </c>
      <c r="H1360" s="3"/>
      <c r="I1360" s="14" t="s">
        <v>2177</v>
      </c>
    </row>
    <row r="1361" spans="1:9" ht="18.75" customHeight="1" x14ac:dyDescent="0.4">
      <c r="A1361" s="14" t="s">
        <v>4415</v>
      </c>
      <c r="B1361" s="16" t="str">
        <f>TRIM("弁天会館・老人憩の家")</f>
        <v>弁天会館・老人憩の家</v>
      </c>
      <c r="C1361" s="14" t="s">
        <v>1512</v>
      </c>
      <c r="D1361" s="14" t="s">
        <v>871</v>
      </c>
      <c r="E1361" s="1">
        <v>169.51</v>
      </c>
      <c r="F1361" s="2"/>
      <c r="G1361" s="1"/>
      <c r="H1361" s="3"/>
      <c r="I1361" s="14" t="s">
        <v>1988</v>
      </c>
    </row>
    <row r="1362" spans="1:9" ht="18.75" customHeight="1" x14ac:dyDescent="0.4">
      <c r="A1362" s="14" t="s">
        <v>4692</v>
      </c>
      <c r="B1362" s="16" t="str">
        <f>TRIM(" もと市岡商業高等学校")</f>
        <v>もと市岡商業高等学校</v>
      </c>
      <c r="C1362" s="14" t="s">
        <v>1512</v>
      </c>
      <c r="D1362" s="14" t="s">
        <v>871</v>
      </c>
      <c r="E1362" s="1"/>
      <c r="F1362" s="2"/>
      <c r="G1362" s="1">
        <v>10692.75</v>
      </c>
      <c r="H1362" s="3" t="s">
        <v>7353</v>
      </c>
      <c r="I1362" s="14" t="s">
        <v>4689</v>
      </c>
    </row>
    <row r="1363" spans="1:9" ht="18.75" customHeight="1" x14ac:dyDescent="0.4">
      <c r="A1363" s="14" t="s">
        <v>6801</v>
      </c>
      <c r="B1363" s="16" t="str">
        <f>TRIM("公社賃貸住宅用地（コーシャハイツ弁天）")</f>
        <v>公社賃貸住宅用地（コーシャハイツ弁天）</v>
      </c>
      <c r="C1363" s="14" t="s">
        <v>1512</v>
      </c>
      <c r="D1363" s="14" t="s">
        <v>871</v>
      </c>
      <c r="E1363" s="1">
        <v>1164.3699999999999</v>
      </c>
      <c r="F1363" s="2"/>
      <c r="G1363" s="1"/>
      <c r="H1363" s="3"/>
      <c r="I1363" s="14" t="s">
        <v>6177</v>
      </c>
    </row>
    <row r="1364" spans="1:9" ht="18.75" customHeight="1" x14ac:dyDescent="0.4">
      <c r="A1364" s="14" t="s">
        <v>5089</v>
      </c>
      <c r="B1364" s="16" t="str">
        <f>TRIM("弁天小学校")</f>
        <v>弁天小学校</v>
      </c>
      <c r="C1364" s="14" t="s">
        <v>1512</v>
      </c>
      <c r="D1364" s="14" t="s">
        <v>378</v>
      </c>
      <c r="E1364" s="1">
        <v>9921.2199999999993</v>
      </c>
      <c r="F1364" s="2"/>
      <c r="G1364" s="1">
        <v>7096.45</v>
      </c>
      <c r="H1364" s="3"/>
      <c r="I1364" s="14" t="s">
        <v>4689</v>
      </c>
    </row>
    <row r="1365" spans="1:9" ht="18.75" customHeight="1" x14ac:dyDescent="0.4">
      <c r="A1365" s="14" t="s">
        <v>1871</v>
      </c>
      <c r="B1365" s="16" t="str">
        <f>TRIM("港区在宅サービスセンター")</f>
        <v>港区在宅サービスセンター</v>
      </c>
      <c r="C1365" s="14" t="s">
        <v>1512</v>
      </c>
      <c r="D1365" s="14" t="s">
        <v>378</v>
      </c>
      <c r="E1365" s="1">
        <v>859.14</v>
      </c>
      <c r="F1365" s="2"/>
      <c r="G1365" s="1"/>
      <c r="H1365" s="3"/>
      <c r="I1365" s="14" t="s">
        <v>1654</v>
      </c>
    </row>
    <row r="1366" spans="1:9" ht="18.75" customHeight="1" x14ac:dyDescent="0.4">
      <c r="A1366" s="14" t="s">
        <v>3276</v>
      </c>
      <c r="B1366" s="16" t="str">
        <f>TRIM("　弁天西公園")</f>
        <v>弁天西公園</v>
      </c>
      <c r="C1366" s="14" t="s">
        <v>1512</v>
      </c>
      <c r="D1366" s="14" t="s">
        <v>378</v>
      </c>
      <c r="E1366" s="1">
        <v>971.65</v>
      </c>
      <c r="F1366" s="2"/>
      <c r="G1366" s="1"/>
      <c r="H1366" s="3"/>
      <c r="I1366" s="14" t="s">
        <v>2177</v>
      </c>
    </row>
    <row r="1367" spans="1:9" ht="18.75" customHeight="1" x14ac:dyDescent="0.4">
      <c r="A1367" s="14" t="s">
        <v>4412</v>
      </c>
      <c r="B1367" s="16" t="s">
        <v>7359</v>
      </c>
      <c r="C1367" s="14" t="s">
        <v>1512</v>
      </c>
      <c r="D1367" s="14" t="s">
        <v>378</v>
      </c>
      <c r="E1367" s="1">
        <v>1819.5</v>
      </c>
      <c r="F1367" s="2"/>
      <c r="G1367" s="1"/>
      <c r="H1367" s="3"/>
      <c r="I1367" s="14" t="s">
        <v>1988</v>
      </c>
    </row>
    <row r="1368" spans="1:9" ht="18.75" customHeight="1" x14ac:dyDescent="0.4">
      <c r="A1368" s="14" t="s">
        <v>4422</v>
      </c>
      <c r="B1368" s="16" t="str">
        <f>TRIM("もと港区民センター")</f>
        <v>もと港区民センター</v>
      </c>
      <c r="C1368" s="14" t="s">
        <v>1512</v>
      </c>
      <c r="D1368" s="14" t="s">
        <v>378</v>
      </c>
      <c r="E1368" s="1"/>
      <c r="F1368" s="2"/>
      <c r="G1368" s="1">
        <v>1989.37</v>
      </c>
      <c r="H1368" s="3" t="s">
        <v>7353</v>
      </c>
      <c r="I1368" s="14" t="s">
        <v>1988</v>
      </c>
    </row>
    <row r="1369" spans="1:9" ht="18.75" customHeight="1" x14ac:dyDescent="0.4">
      <c r="A1369" s="14" t="s">
        <v>5214</v>
      </c>
      <c r="B1369" s="16" t="str">
        <f>TRIM("もと港図書館")</f>
        <v>もと港図書館</v>
      </c>
      <c r="C1369" s="14" t="s">
        <v>1512</v>
      </c>
      <c r="D1369" s="14" t="s">
        <v>378</v>
      </c>
      <c r="E1369" s="1"/>
      <c r="F1369" s="2"/>
      <c r="G1369" s="1">
        <v>598.63</v>
      </c>
      <c r="H1369" s="3" t="s">
        <v>7353</v>
      </c>
      <c r="I1369" s="14" t="s">
        <v>4689</v>
      </c>
    </row>
    <row r="1370" spans="1:9" ht="18.75" customHeight="1" x14ac:dyDescent="0.4">
      <c r="A1370" s="14" t="s">
        <v>2135</v>
      </c>
      <c r="B1370" s="16" t="str">
        <f>TRIM("弁天老人憩の家")</f>
        <v>弁天老人憩の家</v>
      </c>
      <c r="C1370" s="14" t="s">
        <v>1512</v>
      </c>
      <c r="D1370" s="14" t="s">
        <v>1235</v>
      </c>
      <c r="E1370" s="1">
        <v>151.63999999999999</v>
      </c>
      <c r="F1370" s="2"/>
      <c r="G1370" s="1"/>
      <c r="H1370" s="3"/>
      <c r="I1370" s="14" t="s">
        <v>1988</v>
      </c>
    </row>
    <row r="1371" spans="1:9" ht="18.75" customHeight="1" x14ac:dyDescent="0.4">
      <c r="A1371" s="14" t="s">
        <v>3275</v>
      </c>
      <c r="B1371" s="16" t="str">
        <f>TRIM("　弁天公園")</f>
        <v>弁天公園</v>
      </c>
      <c r="C1371" s="14" t="s">
        <v>1512</v>
      </c>
      <c r="D1371" s="14" t="s">
        <v>1235</v>
      </c>
      <c r="E1371" s="1">
        <v>2192.86</v>
      </c>
      <c r="F1371" s="2"/>
      <c r="G1371" s="1"/>
      <c r="H1371" s="3"/>
      <c r="I1371" s="14" t="s">
        <v>2177</v>
      </c>
    </row>
    <row r="1372" spans="1:9" ht="18.75" customHeight="1" x14ac:dyDescent="0.4">
      <c r="A1372" s="14" t="s">
        <v>4276</v>
      </c>
      <c r="B1372" s="16" t="str">
        <f>TRIM("安治川5号上屋")</f>
        <v>安治川5号上屋</v>
      </c>
      <c r="C1372" s="14" t="s">
        <v>1512</v>
      </c>
      <c r="D1372" s="14" t="s">
        <v>463</v>
      </c>
      <c r="E1372" s="1">
        <v>2451.1999999999998</v>
      </c>
      <c r="F1372" s="2"/>
      <c r="G1372" s="12">
        <v>1491</v>
      </c>
      <c r="H1372" s="3"/>
      <c r="I1372" s="14" t="s">
        <v>4117</v>
      </c>
    </row>
    <row r="1373" spans="1:9" ht="18.75" customHeight="1" x14ac:dyDescent="0.4">
      <c r="A1373" s="14" t="s">
        <v>4277</v>
      </c>
      <c r="B1373" s="16" t="str">
        <f>TRIM("安治川6号上屋")</f>
        <v>安治川6号上屋</v>
      </c>
      <c r="C1373" s="14" t="s">
        <v>1512</v>
      </c>
      <c r="D1373" s="14" t="s">
        <v>463</v>
      </c>
      <c r="E1373" s="1">
        <v>2527.33</v>
      </c>
      <c r="F1373" s="2"/>
      <c r="G1373" s="12">
        <v>1491</v>
      </c>
      <c r="H1373" s="3"/>
      <c r="I1373" s="14" t="s">
        <v>4117</v>
      </c>
    </row>
    <row r="1374" spans="1:9" ht="18.75" customHeight="1" x14ac:dyDescent="0.4">
      <c r="A1374" s="14" t="s">
        <v>4278</v>
      </c>
      <c r="B1374" s="16" t="str">
        <f>TRIM("安治川7号上屋")</f>
        <v>安治川7号上屋</v>
      </c>
      <c r="C1374" s="14" t="s">
        <v>1512</v>
      </c>
      <c r="D1374" s="14" t="s">
        <v>463</v>
      </c>
      <c r="E1374" s="1">
        <v>2610.29</v>
      </c>
      <c r="F1374" s="2"/>
      <c r="G1374" s="12">
        <v>1491</v>
      </c>
      <c r="H1374" s="3"/>
      <c r="I1374" s="14" t="s">
        <v>4117</v>
      </c>
    </row>
    <row r="1375" spans="1:9" ht="18.75" customHeight="1" x14ac:dyDescent="0.4">
      <c r="A1375" s="14" t="s">
        <v>1835</v>
      </c>
      <c r="B1375" s="16" t="str">
        <f>TRIM("もと弁天東老人憩の家")</f>
        <v>もと弁天東老人憩の家</v>
      </c>
      <c r="C1375" s="14" t="s">
        <v>1512</v>
      </c>
      <c r="D1375" s="14" t="s">
        <v>463</v>
      </c>
      <c r="E1375" s="1">
        <v>131.97</v>
      </c>
      <c r="F1375" s="2"/>
      <c r="G1375" s="1"/>
      <c r="H1375" s="3"/>
      <c r="I1375" s="14" t="s">
        <v>1654</v>
      </c>
    </row>
    <row r="1376" spans="1:9" ht="18.75" customHeight="1" x14ac:dyDescent="0.4">
      <c r="A1376" s="14" t="s">
        <v>3277</v>
      </c>
      <c r="B1376" s="16" t="str">
        <f>TRIM("　弁天東公園")</f>
        <v>弁天東公園</v>
      </c>
      <c r="C1376" s="14" t="s">
        <v>1512</v>
      </c>
      <c r="D1376" s="14" t="s">
        <v>463</v>
      </c>
      <c r="E1376" s="1">
        <v>767.94</v>
      </c>
      <c r="F1376" s="2"/>
      <c r="G1376" s="1"/>
      <c r="H1376" s="3"/>
      <c r="I1376" s="14" t="s">
        <v>2177</v>
      </c>
    </row>
    <row r="1377" spans="1:9" ht="18.75" customHeight="1" x14ac:dyDescent="0.4">
      <c r="A1377" s="14" t="s">
        <v>4281</v>
      </c>
      <c r="B1377" s="16" t="str">
        <f>TRIM("安治川突堤1号上屋")</f>
        <v>安治川突堤1号上屋</v>
      </c>
      <c r="C1377" s="14" t="s">
        <v>1512</v>
      </c>
      <c r="D1377" s="14" t="s">
        <v>1236</v>
      </c>
      <c r="E1377" s="1">
        <v>3330.93</v>
      </c>
      <c r="F1377" s="2"/>
      <c r="G1377" s="12">
        <v>2024.41</v>
      </c>
      <c r="H1377" s="3"/>
      <c r="I1377" s="14" t="s">
        <v>4117</v>
      </c>
    </row>
    <row r="1378" spans="1:9" ht="18.75" customHeight="1" x14ac:dyDescent="0.4">
      <c r="A1378" s="14" t="s">
        <v>4282</v>
      </c>
      <c r="B1378" s="16" t="str">
        <f>TRIM("安治川突堤2号上屋")</f>
        <v>安治川突堤2号上屋</v>
      </c>
      <c r="C1378" s="14" t="s">
        <v>1512</v>
      </c>
      <c r="D1378" s="14" t="s">
        <v>1236</v>
      </c>
      <c r="E1378" s="1">
        <v>3250.4</v>
      </c>
      <c r="F1378" s="2"/>
      <c r="G1378" s="12">
        <v>2024.41</v>
      </c>
      <c r="H1378" s="3"/>
      <c r="I1378" s="14" t="s">
        <v>4117</v>
      </c>
    </row>
    <row r="1379" spans="1:9" ht="18.75" customHeight="1" x14ac:dyDescent="0.4">
      <c r="A1379" s="14" t="s">
        <v>4283</v>
      </c>
      <c r="B1379" s="16" t="str">
        <f>TRIM("安治川突堤3号上屋")</f>
        <v>安治川突堤3号上屋</v>
      </c>
      <c r="C1379" s="14" t="s">
        <v>1512</v>
      </c>
      <c r="D1379" s="14" t="s">
        <v>1236</v>
      </c>
      <c r="E1379" s="1">
        <v>3478.2</v>
      </c>
      <c r="F1379" s="2"/>
      <c r="G1379" s="12">
        <v>2024.41</v>
      </c>
      <c r="H1379" s="3"/>
      <c r="I1379" s="14" t="s">
        <v>4117</v>
      </c>
    </row>
    <row r="1380" spans="1:9" ht="18.75" customHeight="1" x14ac:dyDescent="0.4">
      <c r="A1380" s="14" t="s">
        <v>4284</v>
      </c>
      <c r="B1380" s="16" t="str">
        <f>TRIM("安治川突堤4号上屋")</f>
        <v>安治川突堤4号上屋</v>
      </c>
      <c r="C1380" s="14" t="s">
        <v>1512</v>
      </c>
      <c r="D1380" s="14" t="s">
        <v>1236</v>
      </c>
      <c r="E1380" s="1">
        <v>3266.1</v>
      </c>
      <c r="F1380" s="2"/>
      <c r="G1380" s="12">
        <v>2597.6999999999998</v>
      </c>
      <c r="H1380" s="3"/>
      <c r="I1380" s="14" t="s">
        <v>4117</v>
      </c>
    </row>
    <row r="1381" spans="1:9" ht="18.75" customHeight="1" x14ac:dyDescent="0.4">
      <c r="A1381" s="14" t="s">
        <v>3278</v>
      </c>
      <c r="B1381" s="16" t="str">
        <f>TRIM("　弁天埠頭公園")</f>
        <v>弁天埠頭公園</v>
      </c>
      <c r="C1381" s="14" t="s">
        <v>1512</v>
      </c>
      <c r="D1381" s="14" t="s">
        <v>1236</v>
      </c>
      <c r="E1381" s="1">
        <v>1777</v>
      </c>
      <c r="F1381" s="2"/>
      <c r="G1381" s="1"/>
      <c r="H1381" s="3"/>
      <c r="I1381" s="14" t="s">
        <v>2177</v>
      </c>
    </row>
    <row r="1382" spans="1:9" ht="18.75" customHeight="1" x14ac:dyDescent="0.4">
      <c r="A1382" s="14" t="s">
        <v>4166</v>
      </c>
      <c r="B1382" s="16" t="str">
        <f>TRIM("安治川突堤公共広場")</f>
        <v>安治川突堤公共広場</v>
      </c>
      <c r="C1382" s="14" t="s">
        <v>1512</v>
      </c>
      <c r="D1382" s="14" t="s">
        <v>1236</v>
      </c>
      <c r="E1382" s="1">
        <v>4306.83</v>
      </c>
      <c r="F1382" s="2"/>
      <c r="G1382" s="1"/>
      <c r="H1382" s="3"/>
      <c r="I1382" s="14" t="s">
        <v>4117</v>
      </c>
    </row>
    <row r="1383" spans="1:9" ht="18.75" customHeight="1" x14ac:dyDescent="0.4">
      <c r="A1383" s="14" t="s">
        <v>4178</v>
      </c>
      <c r="B1383" s="16" t="str">
        <f>TRIM("弁天埠頭臨港緑地")</f>
        <v>弁天埠頭臨港緑地</v>
      </c>
      <c r="C1383" s="14" t="s">
        <v>1512</v>
      </c>
      <c r="D1383" s="14" t="s">
        <v>1236</v>
      </c>
      <c r="E1383" s="1">
        <v>1898.41</v>
      </c>
      <c r="F1383" s="2"/>
      <c r="G1383" s="1"/>
      <c r="H1383" s="3"/>
      <c r="I1383" s="14" t="s">
        <v>4117</v>
      </c>
    </row>
    <row r="1384" spans="1:9" ht="18.75" customHeight="1" x14ac:dyDescent="0.4">
      <c r="A1384" s="14" t="s">
        <v>4229</v>
      </c>
      <c r="B1384" s="16" t="str">
        <f>TRIM("物揚場敷（港）")</f>
        <v>物揚場敷（港）</v>
      </c>
      <c r="C1384" s="14" t="s">
        <v>1512</v>
      </c>
      <c r="D1384" s="14" t="s">
        <v>1236</v>
      </c>
      <c r="E1384" s="1">
        <v>103360.26</v>
      </c>
      <c r="F1384" s="2"/>
      <c r="G1384" s="1"/>
      <c r="H1384" s="3"/>
      <c r="I1384" s="14" t="s">
        <v>4117</v>
      </c>
    </row>
    <row r="1385" spans="1:9" ht="18.75" customHeight="1" x14ac:dyDescent="0.4">
      <c r="A1385" s="14"/>
      <c r="B1385" s="14" t="s">
        <v>7192</v>
      </c>
      <c r="C1385" s="14" t="s">
        <v>1512</v>
      </c>
      <c r="D1385" s="1" t="s">
        <v>1236</v>
      </c>
      <c r="E1385" s="1"/>
      <c r="F1385" s="2"/>
      <c r="G1385" s="1">
        <v>723.6</v>
      </c>
      <c r="H1385" s="1"/>
      <c r="I1385" s="14" t="s">
        <v>7190</v>
      </c>
    </row>
    <row r="1386" spans="1:9" ht="18.75" customHeight="1" x14ac:dyDescent="0.4">
      <c r="A1386" s="14" t="s">
        <v>4802</v>
      </c>
      <c r="B1386" s="16" t="str">
        <f>TRIM("港南中学校")</f>
        <v>港南中学校</v>
      </c>
      <c r="C1386" s="14" t="s">
        <v>1512</v>
      </c>
      <c r="D1386" s="14" t="s">
        <v>502</v>
      </c>
      <c r="E1386" s="1">
        <v>15105.35</v>
      </c>
      <c r="F1386" s="2"/>
      <c r="G1386" s="1">
        <v>7415.39</v>
      </c>
      <c r="H1386" s="3"/>
      <c r="I1386" s="14" t="s">
        <v>4689</v>
      </c>
    </row>
    <row r="1387" spans="1:9" ht="18.75" customHeight="1" x14ac:dyDescent="0.4">
      <c r="A1387" s="14" t="s">
        <v>5789</v>
      </c>
      <c r="B1387" s="16" t="str">
        <f>TRIM("三先幼稚園")</f>
        <v>三先幼稚園</v>
      </c>
      <c r="C1387" s="14" t="s">
        <v>1512</v>
      </c>
      <c r="D1387" s="14" t="s">
        <v>502</v>
      </c>
      <c r="E1387" s="1">
        <v>1858.3</v>
      </c>
      <c r="F1387" s="2"/>
      <c r="G1387" s="1">
        <v>1230.5</v>
      </c>
      <c r="H1387" s="3"/>
      <c r="I1387" s="14" t="s">
        <v>5617</v>
      </c>
    </row>
    <row r="1388" spans="1:9" ht="18.75" customHeight="1" x14ac:dyDescent="0.4">
      <c r="A1388" s="14" t="s">
        <v>2036</v>
      </c>
      <c r="B1388" s="16" t="str">
        <f>TRIM("三先老人憩の家")</f>
        <v>三先老人憩の家</v>
      </c>
      <c r="C1388" s="14" t="s">
        <v>1512</v>
      </c>
      <c r="D1388" s="14" t="s">
        <v>502</v>
      </c>
      <c r="E1388" s="1">
        <v>357.11</v>
      </c>
      <c r="F1388" s="2"/>
      <c r="G1388" s="1"/>
      <c r="H1388" s="3"/>
      <c r="I1388" s="14" t="s">
        <v>1988</v>
      </c>
    </row>
    <row r="1389" spans="1:9" ht="18.75" customHeight="1" x14ac:dyDescent="0.4">
      <c r="A1389" s="14" t="s">
        <v>2702</v>
      </c>
      <c r="B1389" s="16" t="str">
        <f>TRIM("　港南公園")</f>
        <v>港南公園</v>
      </c>
      <c r="C1389" s="14" t="s">
        <v>1512</v>
      </c>
      <c r="D1389" s="14" t="s">
        <v>502</v>
      </c>
      <c r="E1389" s="1">
        <v>1651.9</v>
      </c>
      <c r="F1389" s="2"/>
      <c r="G1389" s="1"/>
      <c r="H1389" s="3"/>
      <c r="I1389" s="14" t="s">
        <v>2177</v>
      </c>
    </row>
    <row r="1390" spans="1:9" ht="18.75" customHeight="1" x14ac:dyDescent="0.4">
      <c r="A1390" s="14" t="s">
        <v>4832</v>
      </c>
      <c r="B1390" s="16" t="str">
        <f>TRIM("三先小学校")</f>
        <v>三先小学校</v>
      </c>
      <c r="C1390" s="14" t="s">
        <v>1512</v>
      </c>
      <c r="D1390" s="14" t="s">
        <v>209</v>
      </c>
      <c r="E1390" s="1">
        <v>9693.1</v>
      </c>
      <c r="F1390" s="2"/>
      <c r="G1390" s="1">
        <v>6102.15</v>
      </c>
      <c r="H1390" s="3"/>
      <c r="I1390" s="14" t="s">
        <v>4689</v>
      </c>
    </row>
    <row r="1391" spans="1:9" ht="18.75" customHeight="1" x14ac:dyDescent="0.4">
      <c r="A1391" s="14" t="s">
        <v>6385</v>
      </c>
      <c r="B1391" s="16" t="str">
        <f>TRIM("三先住宅")</f>
        <v>三先住宅</v>
      </c>
      <c r="C1391" s="14" t="s">
        <v>1512</v>
      </c>
      <c r="D1391" s="14" t="s">
        <v>209</v>
      </c>
      <c r="E1391" s="1">
        <v>17789.52</v>
      </c>
      <c r="F1391" s="2"/>
      <c r="G1391" s="1">
        <v>30778.5</v>
      </c>
      <c r="H1391" s="3"/>
      <c r="I1391" s="14" t="s">
        <v>6177</v>
      </c>
    </row>
    <row r="1392" spans="1:9" ht="18.75" customHeight="1" x14ac:dyDescent="0.4">
      <c r="A1392" s="14" t="s">
        <v>2751</v>
      </c>
      <c r="B1392" s="16" t="str">
        <f>TRIM("　三先公園")</f>
        <v>三先公園</v>
      </c>
      <c r="C1392" s="14" t="s">
        <v>1512</v>
      </c>
      <c r="D1392" s="14" t="s">
        <v>209</v>
      </c>
      <c r="E1392" s="1">
        <v>5166.45</v>
      </c>
      <c r="F1392" s="2"/>
      <c r="G1392" s="1"/>
      <c r="H1392" s="3"/>
      <c r="I1392" s="14" t="s">
        <v>2177</v>
      </c>
    </row>
    <row r="1393" spans="1:9" ht="18.75" customHeight="1" x14ac:dyDescent="0.4">
      <c r="A1393" s="14" t="s">
        <v>3563</v>
      </c>
      <c r="B1393" s="16" t="str">
        <f>TRIM("　三先公園")</f>
        <v>三先公園</v>
      </c>
      <c r="C1393" s="14" t="s">
        <v>1512</v>
      </c>
      <c r="D1393" s="14" t="s">
        <v>209</v>
      </c>
      <c r="E1393" s="1"/>
      <c r="F1393" s="2"/>
      <c r="G1393" s="1">
        <v>19.2</v>
      </c>
      <c r="H1393" s="3"/>
      <c r="I1393" s="14" t="s">
        <v>2177</v>
      </c>
    </row>
    <row r="1394" spans="1:9" ht="18.75" customHeight="1" x14ac:dyDescent="0.4">
      <c r="A1394" s="14" t="s">
        <v>4416</v>
      </c>
      <c r="B1394" s="16" t="str">
        <f>TRIM("防災モニュメント等用地")</f>
        <v>防災モニュメント等用地</v>
      </c>
      <c r="C1394" s="14" t="s">
        <v>1512</v>
      </c>
      <c r="D1394" s="14" t="s">
        <v>209</v>
      </c>
      <c r="E1394" s="1">
        <v>39.78</v>
      </c>
      <c r="F1394" s="2"/>
      <c r="G1394" s="1"/>
      <c r="H1394" s="3"/>
      <c r="I1394" s="14" t="s">
        <v>1988</v>
      </c>
    </row>
    <row r="1395" spans="1:9" ht="18.75" customHeight="1" x14ac:dyDescent="0.4">
      <c r="A1395" s="14" t="s">
        <v>5468</v>
      </c>
      <c r="B1395" s="16" t="str">
        <f>TRIM("契約管財局賃貸地（港・港地区）")</f>
        <v>契約管財局賃貸地（港・港地区）</v>
      </c>
      <c r="C1395" s="14" t="s">
        <v>1512</v>
      </c>
      <c r="D1395" s="14" t="s">
        <v>209</v>
      </c>
      <c r="E1395" s="1">
        <v>118351.95</v>
      </c>
      <c r="F1395" s="2"/>
      <c r="G1395" s="1"/>
      <c r="H1395" s="3"/>
      <c r="I1395" s="14" t="s">
        <v>5349</v>
      </c>
    </row>
    <row r="1396" spans="1:9" ht="18.75" customHeight="1" x14ac:dyDescent="0.4">
      <c r="A1396" s="14" t="s">
        <v>4012</v>
      </c>
      <c r="B1396" s="16" t="str">
        <f>TRIM("下水道用地（港）")</f>
        <v>下水道用地（港）</v>
      </c>
      <c r="C1396" s="14" t="s">
        <v>1512</v>
      </c>
      <c r="D1396" s="14" t="s">
        <v>255</v>
      </c>
      <c r="E1396" s="1">
        <v>902.62</v>
      </c>
      <c r="F1396" s="2"/>
      <c r="G1396" s="1"/>
      <c r="H1396" s="3"/>
      <c r="I1396" s="14" t="s">
        <v>2177</v>
      </c>
    </row>
    <row r="1397" spans="1:9" ht="18.75" customHeight="1" x14ac:dyDescent="0.4">
      <c r="A1397" s="14" t="s">
        <v>4419</v>
      </c>
      <c r="B1397" s="16" t="str">
        <f>TRIM("南市岡会館・老人憩の家")</f>
        <v>南市岡会館・老人憩の家</v>
      </c>
      <c r="C1397" s="14" t="s">
        <v>1512</v>
      </c>
      <c r="D1397" s="14" t="s">
        <v>255</v>
      </c>
      <c r="E1397" s="1">
        <v>343.83</v>
      </c>
      <c r="F1397" s="2"/>
      <c r="G1397" s="1"/>
      <c r="H1397" s="3"/>
      <c r="I1397" s="14" t="s">
        <v>1988</v>
      </c>
    </row>
    <row r="1398" spans="1:9" ht="18.75" customHeight="1" x14ac:dyDescent="0.4">
      <c r="A1398" s="14" t="s">
        <v>5579</v>
      </c>
      <c r="B1398" s="16" t="str">
        <f>TRIM("もと港湾地帯用地（児童遊園）")</f>
        <v>もと港湾地帯用地（児童遊園）</v>
      </c>
      <c r="C1398" s="14" t="s">
        <v>1512</v>
      </c>
      <c r="D1398" s="14" t="s">
        <v>255</v>
      </c>
      <c r="E1398" s="1">
        <v>4041.77</v>
      </c>
      <c r="F1398" s="2"/>
      <c r="G1398" s="1"/>
      <c r="H1398" s="3"/>
      <c r="I1398" s="14" t="s">
        <v>5349</v>
      </c>
    </row>
    <row r="1399" spans="1:9" ht="18.75" customHeight="1" x14ac:dyDescent="0.4">
      <c r="A1399" s="14" t="s">
        <v>5611</v>
      </c>
      <c r="B1399" s="16" t="str">
        <f>TRIM("もと契約管財局賃貸地（港・港地区）")</f>
        <v>もと契約管財局賃貸地（港・港地区）</v>
      </c>
      <c r="C1399" s="14" t="s">
        <v>1512</v>
      </c>
      <c r="D1399" s="14" t="s">
        <v>255</v>
      </c>
      <c r="E1399" s="1">
        <v>109.71</v>
      </c>
      <c r="F1399" s="2"/>
      <c r="G1399" s="1"/>
      <c r="H1399" s="3"/>
      <c r="I1399" s="14" t="s">
        <v>5349</v>
      </c>
    </row>
    <row r="1400" spans="1:9" ht="18.75" customHeight="1" x14ac:dyDescent="0.4">
      <c r="A1400" s="14" t="s">
        <v>2117</v>
      </c>
      <c r="B1400" s="16" t="str">
        <f>TRIM("南市岡会館・老人憩の家")</f>
        <v>南市岡会館・老人憩の家</v>
      </c>
      <c r="C1400" s="14" t="s">
        <v>1512</v>
      </c>
      <c r="D1400" s="14" t="s">
        <v>1204</v>
      </c>
      <c r="E1400" s="1">
        <v>204.6</v>
      </c>
      <c r="F1400" s="2">
        <v>2133</v>
      </c>
      <c r="G1400" s="1">
        <v>101.22</v>
      </c>
      <c r="H1400" s="3"/>
      <c r="I1400" s="14" t="s">
        <v>1988</v>
      </c>
    </row>
    <row r="1401" spans="1:9" ht="18.75" customHeight="1" x14ac:dyDescent="0.4">
      <c r="A1401" s="14" t="s">
        <v>5045</v>
      </c>
      <c r="B1401" s="16" t="str">
        <f>TRIM("南市岡小学校")</f>
        <v>南市岡小学校</v>
      </c>
      <c r="C1401" s="14" t="s">
        <v>1512</v>
      </c>
      <c r="D1401" s="14" t="s">
        <v>1204</v>
      </c>
      <c r="E1401" s="1">
        <v>7529.35</v>
      </c>
      <c r="F1401" s="2"/>
      <c r="G1401" s="1">
        <v>6017.55</v>
      </c>
      <c r="H1401" s="3"/>
      <c r="I1401" s="14" t="s">
        <v>4689</v>
      </c>
    </row>
    <row r="1402" spans="1:9" ht="18.75" customHeight="1" x14ac:dyDescent="0.4">
      <c r="A1402" s="14" t="s">
        <v>3187</v>
      </c>
      <c r="B1402" s="16" t="str">
        <f>TRIM("　南市岡公園")</f>
        <v>南市岡公園</v>
      </c>
      <c r="C1402" s="14" t="s">
        <v>1512</v>
      </c>
      <c r="D1402" s="14" t="s">
        <v>1204</v>
      </c>
      <c r="E1402" s="1">
        <v>387.63</v>
      </c>
      <c r="F1402" s="2"/>
      <c r="G1402" s="1"/>
      <c r="H1402" s="3"/>
      <c r="I1402" s="14" t="s">
        <v>2177</v>
      </c>
    </row>
    <row r="1403" spans="1:9" ht="18.75" customHeight="1" x14ac:dyDescent="0.4">
      <c r="A1403" s="14" t="s">
        <v>3188</v>
      </c>
      <c r="B1403" s="16" t="str">
        <f>TRIM("　南市岡西公園")</f>
        <v>南市岡西公園</v>
      </c>
      <c r="C1403" s="14" t="s">
        <v>1512</v>
      </c>
      <c r="D1403" s="14" t="s">
        <v>1204</v>
      </c>
      <c r="E1403" s="1">
        <v>1877.3</v>
      </c>
      <c r="F1403" s="2"/>
      <c r="G1403" s="1"/>
      <c r="H1403" s="3"/>
      <c r="I1403" s="14" t="s">
        <v>2177</v>
      </c>
    </row>
    <row r="1404" spans="1:9" ht="18.75" customHeight="1" x14ac:dyDescent="0.4">
      <c r="A1404" s="14" t="s">
        <v>4413</v>
      </c>
      <c r="B1404" s="16" t="str">
        <f>TRIM("南市岡会館")</f>
        <v>南市岡会館</v>
      </c>
      <c r="C1404" s="14" t="s">
        <v>1512</v>
      </c>
      <c r="D1404" s="14" t="s">
        <v>1204</v>
      </c>
      <c r="E1404" s="1"/>
      <c r="F1404" s="2"/>
      <c r="G1404" s="1">
        <v>96.22</v>
      </c>
      <c r="H1404" s="3"/>
      <c r="I1404" s="14" t="s">
        <v>1988</v>
      </c>
    </row>
    <row r="1405" spans="1:9" ht="18.75" customHeight="1" x14ac:dyDescent="0.4">
      <c r="A1405" s="14" t="s">
        <v>5428</v>
      </c>
      <c r="B1405" s="16" t="str">
        <f>TRIM("もと復興土地区画整理事業用地")</f>
        <v>もと復興土地区画整理事業用地</v>
      </c>
      <c r="C1405" s="14" t="s">
        <v>1512</v>
      </c>
      <c r="D1405" s="14" t="s">
        <v>182</v>
      </c>
      <c r="E1405" s="1">
        <v>103.46</v>
      </c>
      <c r="F1405" s="2"/>
      <c r="G1405" s="1"/>
      <c r="H1405" s="3"/>
      <c r="I1405" s="14" t="s">
        <v>5349</v>
      </c>
    </row>
    <row r="1406" spans="1:9" ht="18.75" customHeight="1" x14ac:dyDescent="0.4">
      <c r="A1406" s="14" t="s">
        <v>5575</v>
      </c>
      <c r="B1406" s="16" t="str">
        <f>TRIM("もと港湾地帯用地")</f>
        <v>もと港湾地帯用地</v>
      </c>
      <c r="C1406" s="14" t="s">
        <v>1512</v>
      </c>
      <c r="D1406" s="14" t="s">
        <v>182</v>
      </c>
      <c r="E1406" s="1">
        <v>3417.45</v>
      </c>
      <c r="F1406" s="2"/>
      <c r="G1406" s="1"/>
      <c r="H1406" s="3"/>
      <c r="I1406" s="14" t="s">
        <v>5349</v>
      </c>
    </row>
    <row r="1407" spans="1:9" ht="18.75" customHeight="1" x14ac:dyDescent="0.4">
      <c r="A1407" s="14" t="s">
        <v>4411</v>
      </c>
      <c r="B1407" s="16" t="str">
        <f>TRIM("港近隣センター")</f>
        <v>港近隣センター</v>
      </c>
      <c r="C1407" s="14" t="s">
        <v>1512</v>
      </c>
      <c r="D1407" s="14" t="s">
        <v>1213</v>
      </c>
      <c r="E1407" s="1">
        <v>1298.4100000000001</v>
      </c>
      <c r="F1407" s="2"/>
      <c r="G1407" s="1">
        <v>739.41</v>
      </c>
      <c r="H1407" s="3"/>
      <c r="I1407" s="14" t="s">
        <v>1988</v>
      </c>
    </row>
    <row r="1408" spans="1:9" ht="18.75" customHeight="1" x14ac:dyDescent="0.4">
      <c r="A1408" s="14" t="s">
        <v>3221</v>
      </c>
      <c r="B1408" s="16" t="str">
        <f>TRIM("　入舟公園")</f>
        <v>入舟公園</v>
      </c>
      <c r="C1408" s="14" t="s">
        <v>1512</v>
      </c>
      <c r="D1408" s="14" t="s">
        <v>1213</v>
      </c>
      <c r="E1408" s="1">
        <v>9032.3700000000008</v>
      </c>
      <c r="F1408" s="2"/>
      <c r="G1408" s="1"/>
      <c r="H1408" s="3"/>
      <c r="I1408" s="14" t="s">
        <v>2177</v>
      </c>
    </row>
    <row r="1409" spans="1:9" ht="18.75" customHeight="1" x14ac:dyDescent="0.4">
      <c r="A1409" s="14" t="s">
        <v>3659</v>
      </c>
      <c r="B1409" s="16" t="str">
        <f>TRIM("　入舟公園")</f>
        <v>入舟公園</v>
      </c>
      <c r="C1409" s="14" t="s">
        <v>1512</v>
      </c>
      <c r="D1409" s="14" t="s">
        <v>1213</v>
      </c>
      <c r="E1409" s="1"/>
      <c r="F1409" s="2"/>
      <c r="G1409" s="1">
        <v>10.8</v>
      </c>
      <c r="H1409" s="3"/>
      <c r="I1409" s="14" t="s">
        <v>2177</v>
      </c>
    </row>
    <row r="1410" spans="1:9" ht="18.75" customHeight="1" x14ac:dyDescent="0.4">
      <c r="A1410" s="14" t="s">
        <v>6627</v>
      </c>
      <c r="B1410" s="16" t="str">
        <f>TRIM("八幡屋住宅")</f>
        <v>八幡屋住宅</v>
      </c>
      <c r="C1410" s="14" t="s">
        <v>1512</v>
      </c>
      <c r="D1410" s="14" t="s">
        <v>825</v>
      </c>
      <c r="E1410" s="1">
        <v>14001.28</v>
      </c>
      <c r="F1410" s="2" t="s">
        <v>7313</v>
      </c>
      <c r="G1410" s="1">
        <v>7200.61</v>
      </c>
      <c r="H1410" s="3"/>
      <c r="I1410" s="14" t="s">
        <v>6177</v>
      </c>
    </row>
    <row r="1411" spans="1:9" ht="18.75" customHeight="1" x14ac:dyDescent="0.4">
      <c r="A1411" s="14" t="s">
        <v>6628</v>
      </c>
      <c r="B1411" s="16" t="str">
        <f>TRIM("八幡屋第2住宅")</f>
        <v>八幡屋第2住宅</v>
      </c>
      <c r="C1411" s="14" t="s">
        <v>1512</v>
      </c>
      <c r="D1411" s="14" t="s">
        <v>595</v>
      </c>
      <c r="E1411" s="1">
        <v>20241.349999999999</v>
      </c>
      <c r="F1411" s="2">
        <v>157</v>
      </c>
      <c r="G1411" s="1">
        <v>32681.69</v>
      </c>
      <c r="H1411" s="3"/>
      <c r="I1411" s="14" t="s">
        <v>6177</v>
      </c>
    </row>
    <row r="1412" spans="1:9" ht="18.75" customHeight="1" x14ac:dyDescent="0.4">
      <c r="A1412" s="14" t="s">
        <v>5069</v>
      </c>
      <c r="B1412" s="16" t="str">
        <f>TRIM("八幡屋小学校")</f>
        <v>八幡屋小学校</v>
      </c>
      <c r="C1412" s="14" t="s">
        <v>1512</v>
      </c>
      <c r="D1412" s="14" t="s">
        <v>595</v>
      </c>
      <c r="E1412" s="1">
        <v>8734.1</v>
      </c>
      <c r="F1412" s="2"/>
      <c r="G1412" s="1">
        <v>5581.81</v>
      </c>
      <c r="H1412" s="3"/>
      <c r="I1412" s="14" t="s">
        <v>4689</v>
      </c>
    </row>
    <row r="1413" spans="1:9" ht="18.75" customHeight="1" x14ac:dyDescent="0.4">
      <c r="A1413" s="14" t="s">
        <v>5918</v>
      </c>
      <c r="B1413" s="16" t="str">
        <f>TRIM("八幡屋保育所")</f>
        <v>八幡屋保育所</v>
      </c>
      <c r="C1413" s="14" t="s">
        <v>1512</v>
      </c>
      <c r="D1413" s="14" t="s">
        <v>595</v>
      </c>
      <c r="E1413" s="1">
        <v>330.97</v>
      </c>
      <c r="F1413" s="2"/>
      <c r="G1413" s="1">
        <v>546.26</v>
      </c>
      <c r="H1413" s="3"/>
      <c r="I1413" s="14" t="s">
        <v>5617</v>
      </c>
    </row>
    <row r="1414" spans="1:9" ht="18.75" customHeight="1" x14ac:dyDescent="0.4">
      <c r="A1414" s="14" t="s">
        <v>2126</v>
      </c>
      <c r="B1414" s="16" t="str">
        <f>TRIM("八幡屋会館・老人憩の家")</f>
        <v>八幡屋会館・老人憩の家</v>
      </c>
      <c r="C1414" s="14" t="s">
        <v>1512</v>
      </c>
      <c r="D1414" s="14" t="s">
        <v>595</v>
      </c>
      <c r="E1414" s="1">
        <v>331.22</v>
      </c>
      <c r="F1414" s="2"/>
      <c r="G1414" s="1"/>
      <c r="H1414" s="3"/>
      <c r="I1414" s="14" t="s">
        <v>1988</v>
      </c>
    </row>
    <row r="1415" spans="1:9" ht="18.75" customHeight="1" x14ac:dyDescent="0.4">
      <c r="A1415" s="14" t="s">
        <v>3222</v>
      </c>
      <c r="B1415" s="16" t="str">
        <f>TRIM("　入舟南公園")</f>
        <v>入舟南公園</v>
      </c>
      <c r="C1415" s="14" t="s">
        <v>1512</v>
      </c>
      <c r="D1415" s="14" t="s">
        <v>595</v>
      </c>
      <c r="E1415" s="1">
        <v>1300.46</v>
      </c>
      <c r="F1415" s="2"/>
      <c r="G1415" s="1"/>
      <c r="H1415" s="3"/>
      <c r="I1415" s="14" t="s">
        <v>2177</v>
      </c>
    </row>
    <row r="1416" spans="1:9" ht="18.75" customHeight="1" x14ac:dyDescent="0.4">
      <c r="A1416" s="14" t="s">
        <v>6861</v>
      </c>
      <c r="B1416" s="16" t="str">
        <f>TRIM("道路（港）")</f>
        <v>道路（港）</v>
      </c>
      <c r="C1416" s="14" t="s">
        <v>1512</v>
      </c>
      <c r="D1416" s="14" t="s">
        <v>595</v>
      </c>
      <c r="E1416" s="1">
        <v>12.96</v>
      </c>
      <c r="F1416" s="2"/>
      <c r="G1416" s="1"/>
      <c r="H1416" s="3"/>
      <c r="I1416" s="14" t="s">
        <v>6177</v>
      </c>
    </row>
    <row r="1417" spans="1:9" ht="18.75" customHeight="1" x14ac:dyDescent="0.4">
      <c r="A1417" s="14" t="s">
        <v>4195</v>
      </c>
      <c r="B1417" s="16" t="str">
        <f>TRIM("角落扉倉庫（三十間堀川）")</f>
        <v>角落扉倉庫（三十間堀川）</v>
      </c>
      <c r="C1417" s="14" t="s">
        <v>1512</v>
      </c>
      <c r="D1417" s="14" t="s">
        <v>419</v>
      </c>
      <c r="E1417" s="1">
        <v>921.79</v>
      </c>
      <c r="F1417" s="2"/>
      <c r="G1417" s="1">
        <v>481.71</v>
      </c>
      <c r="H1417" s="3"/>
      <c r="I1417" s="14" t="s">
        <v>4117</v>
      </c>
    </row>
    <row r="1418" spans="1:9" ht="18.75" customHeight="1" x14ac:dyDescent="0.4">
      <c r="A1418" s="14" t="s">
        <v>6629</v>
      </c>
      <c r="B1418" s="16" t="str">
        <f>TRIM("八幡屋第3住宅")</f>
        <v>八幡屋第3住宅</v>
      </c>
      <c r="C1418" s="14" t="s">
        <v>1512</v>
      </c>
      <c r="D1418" s="14" t="s">
        <v>419</v>
      </c>
      <c r="E1418" s="1">
        <v>2054.73</v>
      </c>
      <c r="F1418" s="2"/>
      <c r="G1418" s="1">
        <v>2445.2199999999998</v>
      </c>
      <c r="H1418" s="3"/>
      <c r="I1418" s="14" t="s">
        <v>6177</v>
      </c>
    </row>
    <row r="1419" spans="1:9" ht="18.75" customHeight="1" x14ac:dyDescent="0.4">
      <c r="A1419" s="14" t="s">
        <v>6630</v>
      </c>
      <c r="B1419" s="16" t="str">
        <f>TRIM("八幡屋第4住宅")</f>
        <v>八幡屋第4住宅</v>
      </c>
      <c r="C1419" s="14" t="s">
        <v>1512</v>
      </c>
      <c r="D1419" s="14" t="s">
        <v>419</v>
      </c>
      <c r="E1419" s="1">
        <v>3169.55</v>
      </c>
      <c r="F1419" s="2"/>
      <c r="G1419" s="1">
        <v>2723.03</v>
      </c>
      <c r="H1419" s="3"/>
      <c r="I1419" s="14" t="s">
        <v>6177</v>
      </c>
    </row>
    <row r="1420" spans="1:9" ht="18.75" customHeight="1" x14ac:dyDescent="0.4">
      <c r="A1420" s="14" t="s">
        <v>1942</v>
      </c>
      <c r="B1420" s="16" t="str">
        <f>TRIM("特別養護老人ホーム愛港園・第2愛港園・港地域在宅サービスステーション・ 認知症対応型共同生活介護ときめき・第2みなとデイサービスセンター")</f>
        <v>特別養護老人ホーム愛港園・第2愛港園・港地域在宅サービスステーション・ 認知症対応型共同生活介護ときめき・第2みなとデイサービスセンター</v>
      </c>
      <c r="C1420" s="14" t="s">
        <v>1512</v>
      </c>
      <c r="D1420" s="14" t="s">
        <v>419</v>
      </c>
      <c r="E1420" s="1">
        <v>5132.84</v>
      </c>
      <c r="F1420" s="2"/>
      <c r="G1420" s="1"/>
      <c r="H1420" s="3"/>
      <c r="I1420" s="14" t="s">
        <v>1654</v>
      </c>
    </row>
    <row r="1421" spans="1:9" ht="18.75" customHeight="1" x14ac:dyDescent="0.4">
      <c r="A1421" s="14" t="s">
        <v>3237</v>
      </c>
      <c r="B1421" s="16" t="str">
        <f>TRIM("　八幡屋南公園")</f>
        <v>八幡屋南公園</v>
      </c>
      <c r="C1421" s="14" t="s">
        <v>1512</v>
      </c>
      <c r="D1421" s="14" t="s">
        <v>419</v>
      </c>
      <c r="E1421" s="1">
        <v>759.04</v>
      </c>
      <c r="F1421" s="2"/>
      <c r="G1421" s="1"/>
      <c r="H1421" s="3"/>
      <c r="I1421" s="14" t="s">
        <v>2177</v>
      </c>
    </row>
    <row r="1422" spans="1:9" ht="18.75" customHeight="1" x14ac:dyDescent="0.4">
      <c r="A1422" s="14" t="s">
        <v>4196</v>
      </c>
      <c r="B1422" s="16" t="str">
        <f>TRIM("港区三十間堀川水門発電機室")</f>
        <v>港区三十間堀川水門発電機室</v>
      </c>
      <c r="C1422" s="14" t="s">
        <v>1512</v>
      </c>
      <c r="D1422" s="14" t="s">
        <v>419</v>
      </c>
      <c r="E1422" s="1"/>
      <c r="F1422" s="2"/>
      <c r="G1422" s="1">
        <v>24.78</v>
      </c>
      <c r="H1422" s="3"/>
      <c r="I1422" s="14" t="s">
        <v>4117</v>
      </c>
    </row>
    <row r="1423" spans="1:9" ht="18.75" customHeight="1" x14ac:dyDescent="0.4">
      <c r="A1423" s="14" t="s">
        <v>1845</v>
      </c>
      <c r="B1423" s="16" t="str">
        <f>TRIM("もと港区老人福祉センター")</f>
        <v>もと港区老人福祉センター</v>
      </c>
      <c r="C1423" s="14" t="s">
        <v>1512</v>
      </c>
      <c r="D1423" s="14" t="s">
        <v>20</v>
      </c>
      <c r="E1423" s="1">
        <v>1016.62</v>
      </c>
      <c r="F1423" s="2">
        <v>2118</v>
      </c>
      <c r="G1423" s="1">
        <v>496.67</v>
      </c>
      <c r="H1423" s="3" t="s">
        <v>7353</v>
      </c>
      <c r="I1423" s="14" t="s">
        <v>1654</v>
      </c>
    </row>
    <row r="1424" spans="1:9" ht="18.75" customHeight="1" x14ac:dyDescent="0.4">
      <c r="A1424" s="14" t="s">
        <v>1661</v>
      </c>
      <c r="B1424" s="16" t="str">
        <f>TRIM("もと夕凪寮")</f>
        <v>もと夕凪寮</v>
      </c>
      <c r="C1424" s="14" t="s">
        <v>1512</v>
      </c>
      <c r="D1424" s="14" t="s">
        <v>20</v>
      </c>
      <c r="E1424" s="1"/>
      <c r="F1424" s="2"/>
      <c r="G1424" s="1">
        <v>994.52</v>
      </c>
      <c r="H1424" s="3" t="s">
        <v>7353</v>
      </c>
      <c r="I1424" s="14" t="s">
        <v>1654</v>
      </c>
    </row>
    <row r="1425" spans="1:9" ht="18.75" customHeight="1" x14ac:dyDescent="0.4">
      <c r="A1425" s="14" t="s">
        <v>1708</v>
      </c>
      <c r="B1425" s="16" t="str">
        <f>TRIM("肢体不自由児施設あさしお園")</f>
        <v>肢体不自由児施設あさしお園</v>
      </c>
      <c r="C1425" s="14" t="s">
        <v>1512</v>
      </c>
      <c r="D1425" s="14" t="s">
        <v>20</v>
      </c>
      <c r="E1425" s="1">
        <v>1439.73</v>
      </c>
      <c r="F1425" s="2"/>
      <c r="G1425" s="1"/>
      <c r="H1425" s="3"/>
      <c r="I1425" s="14" t="s">
        <v>1654</v>
      </c>
    </row>
    <row r="1426" spans="1:9" ht="18.75" customHeight="1" x14ac:dyDescent="0.4">
      <c r="A1426" s="14" t="s">
        <v>3365</v>
      </c>
      <c r="B1426" s="16" t="str">
        <f>TRIM("　夕凪公園")</f>
        <v>夕凪公園</v>
      </c>
      <c r="C1426" s="14" t="s">
        <v>1512</v>
      </c>
      <c r="D1426" s="14" t="s">
        <v>20</v>
      </c>
      <c r="E1426" s="1">
        <v>2963.39</v>
      </c>
      <c r="F1426" s="2"/>
      <c r="G1426" s="1"/>
      <c r="H1426" s="3"/>
      <c r="I1426" s="14" t="s">
        <v>2177</v>
      </c>
    </row>
    <row r="1427" spans="1:9" ht="18.75" customHeight="1" x14ac:dyDescent="0.4">
      <c r="A1427" s="14" t="s">
        <v>3687</v>
      </c>
      <c r="B1427" s="16" t="str">
        <f>TRIM("　夕凪公園")</f>
        <v>夕凪公園</v>
      </c>
      <c r="C1427" s="14" t="s">
        <v>1512</v>
      </c>
      <c r="D1427" s="14" t="s">
        <v>20</v>
      </c>
      <c r="E1427" s="1"/>
      <c r="F1427" s="2"/>
      <c r="G1427" s="1">
        <v>21.12</v>
      </c>
      <c r="H1427" s="3"/>
      <c r="I1427" s="14" t="s">
        <v>2177</v>
      </c>
    </row>
    <row r="1428" spans="1:9" ht="18.75" customHeight="1" x14ac:dyDescent="0.4">
      <c r="A1428" s="14" t="s">
        <v>3900</v>
      </c>
      <c r="B1428" s="16" t="str">
        <f>TRIM("朝潮橋駅自転車駐車場管理事務所")</f>
        <v>朝潮橋駅自転車駐車場管理事務所</v>
      </c>
      <c r="C1428" s="14" t="s">
        <v>1512</v>
      </c>
      <c r="D1428" s="14" t="s">
        <v>20</v>
      </c>
      <c r="E1428" s="1"/>
      <c r="F1428" s="2"/>
      <c r="G1428" s="1">
        <v>12.56</v>
      </c>
      <c r="H1428" s="3"/>
      <c r="I1428" s="14" t="s">
        <v>2177</v>
      </c>
    </row>
    <row r="1429" spans="1:9" ht="18.75" customHeight="1" x14ac:dyDescent="0.4">
      <c r="A1429" s="14" t="s">
        <v>4417</v>
      </c>
      <c r="B1429" s="16" t="str">
        <f>TRIM("夕凪会館")</f>
        <v>夕凪会館</v>
      </c>
      <c r="C1429" s="14" t="s">
        <v>1512</v>
      </c>
      <c r="D1429" s="14" t="s">
        <v>20</v>
      </c>
      <c r="E1429" s="1">
        <v>216.01</v>
      </c>
      <c r="F1429" s="2"/>
      <c r="G1429" s="1"/>
      <c r="H1429" s="3"/>
      <c r="I1429" s="14" t="s">
        <v>1988</v>
      </c>
    </row>
    <row r="1430" spans="1:9" ht="18.75" customHeight="1" x14ac:dyDescent="0.4">
      <c r="A1430" s="14" t="s">
        <v>5576</v>
      </c>
      <c r="B1430" s="16" t="str">
        <f>TRIM("もと港湾地帯用地（コミュニティ用地等）")</f>
        <v>もと港湾地帯用地（コミュニティ用地等）</v>
      </c>
      <c r="C1430" s="14" t="s">
        <v>1512</v>
      </c>
      <c r="D1430" s="14" t="s">
        <v>20</v>
      </c>
      <c r="E1430" s="1">
        <v>1110.69</v>
      </c>
      <c r="F1430" s="2"/>
      <c r="G1430" s="1"/>
      <c r="H1430" s="3"/>
      <c r="I1430" s="14" t="s">
        <v>5349</v>
      </c>
    </row>
    <row r="1431" spans="1:9" ht="18.75" customHeight="1" x14ac:dyDescent="0.4">
      <c r="A1431" s="14" t="s">
        <v>5643</v>
      </c>
      <c r="B1431" s="16" t="str">
        <f>TRIM("港母子家庭集いの家")</f>
        <v>港母子家庭集いの家</v>
      </c>
      <c r="C1431" s="14" t="s">
        <v>1512</v>
      </c>
      <c r="D1431" s="14" t="s">
        <v>20</v>
      </c>
      <c r="E1431" s="1"/>
      <c r="F1431" s="2"/>
      <c r="G1431" s="1">
        <v>52.13</v>
      </c>
      <c r="H1431" s="3" t="s">
        <v>7353</v>
      </c>
      <c r="I1431" s="14" t="s">
        <v>5617</v>
      </c>
    </row>
    <row r="1432" spans="1:9" ht="18.75" customHeight="1" x14ac:dyDescent="0.4">
      <c r="A1432" s="14" t="s">
        <v>6023</v>
      </c>
      <c r="B1432" s="16" t="str">
        <f>TRIM("港区内公衆便所")</f>
        <v>港区内公衆便所</v>
      </c>
      <c r="C1432" s="14" t="s">
        <v>1512</v>
      </c>
      <c r="D1432" s="14" t="s">
        <v>20</v>
      </c>
      <c r="E1432" s="1"/>
      <c r="F1432" s="2"/>
      <c r="G1432" s="1">
        <v>14.93</v>
      </c>
      <c r="H1432" s="3"/>
      <c r="I1432" s="14" t="s">
        <v>5977</v>
      </c>
    </row>
    <row r="1433" spans="1:9" ht="18.75" customHeight="1" x14ac:dyDescent="0.4">
      <c r="A1433" s="14" t="s">
        <v>7033</v>
      </c>
      <c r="B1433" s="16" t="str">
        <f>TRIM("もと見本市恒久展示場駐車場")</f>
        <v>もと見本市恒久展示場駐車場</v>
      </c>
      <c r="C1433" s="14" t="s">
        <v>1512</v>
      </c>
      <c r="D1433" s="14" t="s">
        <v>20</v>
      </c>
      <c r="E1433" s="1">
        <v>20.88</v>
      </c>
      <c r="F1433" s="2"/>
      <c r="G1433" s="1"/>
      <c r="H1433" s="3"/>
      <c r="I1433" s="14" t="s">
        <v>4115</v>
      </c>
    </row>
    <row r="1434" spans="1:9" ht="18.75" customHeight="1" x14ac:dyDescent="0.4">
      <c r="A1434" s="14" t="s">
        <v>5267</v>
      </c>
      <c r="B1434" s="16" t="str">
        <f>TRIM("大正消防署泉尾出張所")</f>
        <v>大正消防署泉尾出張所</v>
      </c>
      <c r="C1434" s="14" t="s">
        <v>1529</v>
      </c>
      <c r="D1434" s="14" t="s">
        <v>139</v>
      </c>
      <c r="E1434" s="1">
        <v>279.26</v>
      </c>
      <c r="F1434" s="2"/>
      <c r="G1434" s="1">
        <v>301.27999999999997</v>
      </c>
      <c r="H1434" s="3"/>
      <c r="I1434" s="14" t="s">
        <v>5219</v>
      </c>
    </row>
    <row r="1435" spans="1:9" ht="18.75" customHeight="1" x14ac:dyDescent="0.4">
      <c r="A1435" s="14" t="s">
        <v>5377</v>
      </c>
      <c r="B1435" s="16" t="str">
        <f>TRIM("もと警察関係土地（大正警察）")</f>
        <v>もと警察関係土地（大正警察）</v>
      </c>
      <c r="C1435" s="14" t="s">
        <v>1529</v>
      </c>
      <c r="D1435" s="14" t="s">
        <v>139</v>
      </c>
      <c r="E1435" s="1">
        <v>3.33</v>
      </c>
      <c r="F1435" s="2"/>
      <c r="G1435" s="1"/>
      <c r="H1435" s="3"/>
      <c r="I1435" s="14" t="s">
        <v>5349</v>
      </c>
    </row>
    <row r="1436" spans="1:9" ht="18.75" customHeight="1" x14ac:dyDescent="0.4">
      <c r="A1436" s="14" t="s">
        <v>5505</v>
      </c>
      <c r="B1436" s="16" t="str">
        <f>TRIM("大正署長公舎及び単身寮")</f>
        <v>大正署長公舎及び単身寮</v>
      </c>
      <c r="C1436" s="14" t="s">
        <v>1529</v>
      </c>
      <c r="D1436" s="14" t="s">
        <v>139</v>
      </c>
      <c r="E1436" s="1">
        <v>735.16</v>
      </c>
      <c r="F1436" s="2"/>
      <c r="G1436" s="1"/>
      <c r="H1436" s="3"/>
      <c r="I1436" s="14" t="s">
        <v>5349</v>
      </c>
    </row>
    <row r="1437" spans="1:9" ht="18.75" customHeight="1" x14ac:dyDescent="0.4">
      <c r="A1437" s="14" t="s">
        <v>6383</v>
      </c>
      <c r="B1437" s="16" t="str">
        <f>TRIM("三軒家住宅")</f>
        <v>三軒家住宅</v>
      </c>
      <c r="C1437" s="14" t="s">
        <v>1529</v>
      </c>
      <c r="D1437" s="14" t="s">
        <v>61</v>
      </c>
      <c r="E1437" s="1">
        <v>14756.32</v>
      </c>
      <c r="F1437" s="2">
        <v>2074</v>
      </c>
      <c r="G1437" s="1">
        <v>18904.240000000002</v>
      </c>
      <c r="H1437" s="3"/>
      <c r="I1437" s="14" t="s">
        <v>6177</v>
      </c>
    </row>
    <row r="1438" spans="1:9" ht="18.75" customHeight="1" x14ac:dyDescent="0.4">
      <c r="A1438" s="14" t="s">
        <v>4924</v>
      </c>
      <c r="B1438" s="16" t="str">
        <f>TRIM("泉尾北小学校")</f>
        <v>泉尾北小学校</v>
      </c>
      <c r="C1438" s="14" t="s">
        <v>1529</v>
      </c>
      <c r="D1438" s="14" t="s">
        <v>61</v>
      </c>
      <c r="E1438" s="1">
        <v>7594.58</v>
      </c>
      <c r="F1438" s="2"/>
      <c r="G1438" s="1">
        <v>6151.68</v>
      </c>
      <c r="H1438" s="3"/>
      <c r="I1438" s="14" t="s">
        <v>4689</v>
      </c>
    </row>
    <row r="1439" spans="1:9" ht="18.75" customHeight="1" x14ac:dyDescent="0.4">
      <c r="A1439" s="14" t="s">
        <v>1898</v>
      </c>
      <c r="B1439" s="16" t="str">
        <f>TRIM("大正東地域在宅サービスステーション")</f>
        <v>大正東地域在宅サービスステーション</v>
      </c>
      <c r="C1439" s="14" t="s">
        <v>1529</v>
      </c>
      <c r="D1439" s="14" t="s">
        <v>61</v>
      </c>
      <c r="E1439" s="1">
        <v>439.71</v>
      </c>
      <c r="F1439" s="2"/>
      <c r="G1439" s="1"/>
      <c r="H1439" s="3"/>
      <c r="I1439" s="14" t="s">
        <v>1654</v>
      </c>
    </row>
    <row r="1440" spans="1:9" ht="18.75" customHeight="1" x14ac:dyDescent="0.4">
      <c r="A1440" s="14" t="s">
        <v>2075</v>
      </c>
      <c r="B1440" s="16" t="str">
        <f>TRIM("泉尾北会館")</f>
        <v>泉尾北会館</v>
      </c>
      <c r="C1440" s="14" t="s">
        <v>1529</v>
      </c>
      <c r="D1440" s="14" t="s">
        <v>61</v>
      </c>
      <c r="E1440" s="1">
        <v>220.49</v>
      </c>
      <c r="F1440" s="2"/>
      <c r="G1440" s="1"/>
      <c r="H1440" s="3"/>
      <c r="I1440" s="14" t="s">
        <v>2032</v>
      </c>
    </row>
    <row r="1441" spans="1:9" ht="18.75" customHeight="1" x14ac:dyDescent="0.4">
      <c r="A1441" s="14" t="s">
        <v>2962</v>
      </c>
      <c r="B1441" s="16" t="str">
        <f>TRIM("　泉尾2公園")</f>
        <v>泉尾2公園</v>
      </c>
      <c r="C1441" s="14" t="s">
        <v>1529</v>
      </c>
      <c r="D1441" s="14" t="s">
        <v>61</v>
      </c>
      <c r="E1441" s="1">
        <v>1041.04</v>
      </c>
      <c r="F1441" s="2"/>
      <c r="G1441" s="1"/>
      <c r="H1441" s="3"/>
      <c r="I1441" s="14" t="s">
        <v>2177</v>
      </c>
    </row>
    <row r="1442" spans="1:9" ht="18.75" customHeight="1" x14ac:dyDescent="0.4">
      <c r="A1442" s="14" t="s">
        <v>5890</v>
      </c>
      <c r="B1442" s="16" t="str">
        <f>TRIM("大正北保育所")</f>
        <v>大正北保育所</v>
      </c>
      <c r="C1442" s="14" t="s">
        <v>1529</v>
      </c>
      <c r="D1442" s="14" t="s">
        <v>61</v>
      </c>
      <c r="E1442" s="1"/>
      <c r="F1442" s="2"/>
      <c r="G1442" s="1">
        <v>452.65</v>
      </c>
      <c r="H1442" s="3"/>
      <c r="I1442" s="14" t="s">
        <v>5617</v>
      </c>
    </row>
    <row r="1443" spans="1:9" ht="18.75" customHeight="1" x14ac:dyDescent="0.4">
      <c r="A1443" s="14" t="s">
        <v>5971</v>
      </c>
      <c r="B1443" s="16" t="str">
        <f>TRIM("民間移管保育所建設用地（大正北保育所）")</f>
        <v>民間移管保育所建設用地（大正北保育所）</v>
      </c>
      <c r="C1443" s="14" t="s">
        <v>1529</v>
      </c>
      <c r="D1443" s="14" t="s">
        <v>61</v>
      </c>
      <c r="E1443" s="1">
        <v>913.37</v>
      </c>
      <c r="F1443" s="2"/>
      <c r="G1443" s="1"/>
      <c r="H1443" s="3"/>
      <c r="I1443" s="14" t="s">
        <v>5617</v>
      </c>
    </row>
    <row r="1444" spans="1:9" ht="18.75" customHeight="1" x14ac:dyDescent="0.4">
      <c r="A1444" s="14" t="s">
        <v>7079</v>
      </c>
      <c r="B1444" s="16" t="str">
        <f>TRIM("泉尾小売市場民営活性化事業施設")</f>
        <v>泉尾小売市場民営活性化事業施設</v>
      </c>
      <c r="C1444" s="14" t="s">
        <v>1529</v>
      </c>
      <c r="D1444" s="14" t="s">
        <v>61</v>
      </c>
      <c r="E1444" s="1">
        <v>1349.25</v>
      </c>
      <c r="F1444" s="2"/>
      <c r="G1444" s="1"/>
      <c r="H1444" s="3"/>
      <c r="I1444" s="14" t="s">
        <v>4115</v>
      </c>
    </row>
    <row r="1445" spans="1:9" ht="18.75" customHeight="1" x14ac:dyDescent="0.4">
      <c r="A1445" s="14" t="s">
        <v>1814</v>
      </c>
      <c r="B1445" s="16" t="str">
        <f>TRIM("大正区老人福祉センター")</f>
        <v>大正区老人福祉センター</v>
      </c>
      <c r="C1445" s="14" t="s">
        <v>1529</v>
      </c>
      <c r="D1445" s="14" t="s">
        <v>162</v>
      </c>
      <c r="E1445" s="1">
        <v>1790.03</v>
      </c>
      <c r="F1445" s="2"/>
      <c r="G1445" s="1">
        <v>1086.23</v>
      </c>
      <c r="H1445" s="3"/>
      <c r="I1445" s="14" t="s">
        <v>1654</v>
      </c>
    </row>
    <row r="1446" spans="1:9" ht="18.75" customHeight="1" x14ac:dyDescent="0.4">
      <c r="A1446" s="14" t="s">
        <v>4964</v>
      </c>
      <c r="B1446" s="16" t="str">
        <f>TRIM("中泉尾小学校")</f>
        <v>中泉尾小学校</v>
      </c>
      <c r="C1446" s="14" t="s">
        <v>1529</v>
      </c>
      <c r="D1446" s="14" t="s">
        <v>162</v>
      </c>
      <c r="E1446" s="1">
        <v>9037.77</v>
      </c>
      <c r="F1446" s="2"/>
      <c r="G1446" s="1">
        <v>5143.7299999999996</v>
      </c>
      <c r="H1446" s="3"/>
      <c r="I1446" s="14" t="s">
        <v>4689</v>
      </c>
    </row>
    <row r="1447" spans="1:9" ht="18.75" customHeight="1" x14ac:dyDescent="0.4">
      <c r="A1447" s="14" t="s">
        <v>2965</v>
      </c>
      <c r="B1447" s="16" t="str">
        <f>TRIM("　泉尾中公園")</f>
        <v>泉尾中公園</v>
      </c>
      <c r="C1447" s="14" t="s">
        <v>1529</v>
      </c>
      <c r="D1447" s="14" t="s">
        <v>162</v>
      </c>
      <c r="E1447" s="1">
        <v>3020.86</v>
      </c>
      <c r="F1447" s="2"/>
      <c r="G1447" s="1"/>
      <c r="H1447" s="3"/>
      <c r="I1447" s="14" t="s">
        <v>2177</v>
      </c>
    </row>
    <row r="1448" spans="1:9" ht="18.75" customHeight="1" x14ac:dyDescent="0.4">
      <c r="A1448" s="14" t="s">
        <v>5404</v>
      </c>
      <c r="B1448" s="16" t="str">
        <f>TRIM("もと泉尾浴場用地外")</f>
        <v>もと泉尾浴場用地外</v>
      </c>
      <c r="C1448" s="14" t="s">
        <v>1529</v>
      </c>
      <c r="D1448" s="14" t="s">
        <v>162</v>
      </c>
      <c r="E1448" s="1">
        <v>14.52</v>
      </c>
      <c r="F1448" s="2"/>
      <c r="G1448" s="1"/>
      <c r="H1448" s="3"/>
      <c r="I1448" s="14" t="s">
        <v>5349</v>
      </c>
    </row>
    <row r="1449" spans="1:9" ht="18.75" customHeight="1" x14ac:dyDescent="0.4">
      <c r="A1449" s="14" t="s">
        <v>5676</v>
      </c>
      <c r="B1449" s="16" t="str">
        <f>TRIM("もと大正勤労青少年ホーム")</f>
        <v>もと大正勤労青少年ホーム</v>
      </c>
      <c r="C1449" s="14" t="s">
        <v>1529</v>
      </c>
      <c r="D1449" s="14" t="s">
        <v>162</v>
      </c>
      <c r="E1449" s="1"/>
      <c r="F1449" s="2"/>
      <c r="G1449" s="1">
        <v>1126.1099999999999</v>
      </c>
      <c r="H1449" s="3" t="s">
        <v>7353</v>
      </c>
      <c r="I1449" s="14" t="s">
        <v>5617</v>
      </c>
    </row>
    <row r="1450" spans="1:9" ht="18.75" customHeight="1" x14ac:dyDescent="0.4">
      <c r="A1450" s="14" t="s">
        <v>2087</v>
      </c>
      <c r="B1450" s="16" t="str">
        <f>TRIM("中泉尾福祉会館")</f>
        <v>中泉尾福祉会館</v>
      </c>
      <c r="C1450" s="14" t="s">
        <v>1529</v>
      </c>
      <c r="D1450" s="14" t="s">
        <v>777</v>
      </c>
      <c r="E1450" s="1">
        <v>207.26</v>
      </c>
      <c r="F1450" s="2"/>
      <c r="G1450" s="1">
        <v>72.099999999999994</v>
      </c>
      <c r="H1450" s="3"/>
      <c r="I1450" s="14" t="s">
        <v>2032</v>
      </c>
    </row>
    <row r="1451" spans="1:9" ht="18.75" customHeight="1" x14ac:dyDescent="0.4">
      <c r="A1451" s="14" t="s">
        <v>6468</v>
      </c>
      <c r="B1451" s="16" t="str">
        <f>TRIM("泉尾住宅")</f>
        <v>泉尾住宅</v>
      </c>
      <c r="C1451" s="14" t="s">
        <v>1529</v>
      </c>
      <c r="D1451" s="14" t="s">
        <v>777</v>
      </c>
      <c r="E1451" s="1">
        <v>3414.36</v>
      </c>
      <c r="F1451" s="2"/>
      <c r="G1451" s="1">
        <v>3411.63</v>
      </c>
      <c r="H1451" s="3"/>
      <c r="I1451" s="14" t="s">
        <v>6177</v>
      </c>
    </row>
    <row r="1452" spans="1:9" ht="18.75" customHeight="1" x14ac:dyDescent="0.4">
      <c r="A1452" s="14" t="s">
        <v>2963</v>
      </c>
      <c r="B1452" s="16" t="str">
        <f>TRIM("　泉尾公園")</f>
        <v>泉尾公園</v>
      </c>
      <c r="C1452" s="14" t="s">
        <v>1529</v>
      </c>
      <c r="D1452" s="14" t="s">
        <v>777</v>
      </c>
      <c r="E1452" s="1">
        <v>45299.67</v>
      </c>
      <c r="F1452" s="2"/>
      <c r="G1452" s="1"/>
      <c r="H1452" s="3"/>
      <c r="I1452" s="14" t="s">
        <v>2177</v>
      </c>
    </row>
    <row r="1453" spans="1:9" ht="18.75" customHeight="1" x14ac:dyDescent="0.4">
      <c r="A1453" s="14" t="s">
        <v>3604</v>
      </c>
      <c r="B1453" s="16" t="str">
        <f>TRIM("　泉尾公園")</f>
        <v>泉尾公園</v>
      </c>
      <c r="C1453" s="14" t="s">
        <v>1529</v>
      </c>
      <c r="D1453" s="14" t="s">
        <v>777</v>
      </c>
      <c r="E1453" s="1"/>
      <c r="F1453" s="2"/>
      <c r="G1453" s="1">
        <v>38.4</v>
      </c>
      <c r="H1453" s="3"/>
      <c r="I1453" s="14" t="s">
        <v>2177</v>
      </c>
    </row>
    <row r="1454" spans="1:9" ht="18.75" customHeight="1" x14ac:dyDescent="0.4">
      <c r="A1454" s="14" t="s">
        <v>5101</v>
      </c>
      <c r="B1454" s="16" t="str">
        <f>TRIM("北恩加島小学校")</f>
        <v>北恩加島小学校</v>
      </c>
      <c r="C1454" s="14" t="s">
        <v>1529</v>
      </c>
      <c r="D1454" s="14" t="s">
        <v>780</v>
      </c>
      <c r="E1454" s="1">
        <v>12285.78</v>
      </c>
      <c r="F1454" s="2"/>
      <c r="G1454" s="1">
        <v>6059.11</v>
      </c>
      <c r="H1454" s="3"/>
      <c r="I1454" s="14" t="s">
        <v>4689</v>
      </c>
    </row>
    <row r="1455" spans="1:9" ht="18.75" customHeight="1" x14ac:dyDescent="0.4">
      <c r="A1455" s="14" t="s">
        <v>6473</v>
      </c>
      <c r="B1455" s="16" t="str">
        <f>TRIM("泉尾第6住宅")</f>
        <v>泉尾第6住宅</v>
      </c>
      <c r="C1455" s="14" t="s">
        <v>1529</v>
      </c>
      <c r="D1455" s="14" t="s">
        <v>780</v>
      </c>
      <c r="E1455" s="1">
        <v>1574.79</v>
      </c>
      <c r="F1455" s="2"/>
      <c r="G1455" s="1">
        <v>1691.82</v>
      </c>
      <c r="H1455" s="3"/>
      <c r="I1455" s="14" t="s">
        <v>6177</v>
      </c>
    </row>
    <row r="1456" spans="1:9" ht="18.75" customHeight="1" x14ac:dyDescent="0.4">
      <c r="A1456" s="14" t="s">
        <v>4778</v>
      </c>
      <c r="B1456" s="16" t="str">
        <f>TRIM("教育管理用地")</f>
        <v>教育管理用地</v>
      </c>
      <c r="C1456" s="14" t="s">
        <v>1529</v>
      </c>
      <c r="D1456" s="14" t="s">
        <v>780</v>
      </c>
      <c r="E1456" s="1">
        <v>1443.16</v>
      </c>
      <c r="F1456" s="2"/>
      <c r="G1456" s="1"/>
      <c r="H1456" s="3"/>
      <c r="I1456" s="14" t="s">
        <v>4689</v>
      </c>
    </row>
    <row r="1457" spans="1:9" ht="18.75" customHeight="1" x14ac:dyDescent="0.4">
      <c r="A1457" s="14" t="s">
        <v>7054</v>
      </c>
      <c r="B1457" s="16" t="str">
        <f>TRIM("泉尾賃貸工場")</f>
        <v>泉尾賃貸工場</v>
      </c>
      <c r="C1457" s="14" t="s">
        <v>1529</v>
      </c>
      <c r="D1457" s="14" t="s">
        <v>40</v>
      </c>
      <c r="E1457" s="1">
        <v>1830.93</v>
      </c>
      <c r="F1457" s="2"/>
      <c r="G1457" s="1"/>
      <c r="H1457" s="3"/>
      <c r="I1457" s="14" t="s">
        <v>4115</v>
      </c>
    </row>
    <row r="1458" spans="1:9" ht="18.75" customHeight="1" x14ac:dyDescent="0.4">
      <c r="A1458" s="14" t="s">
        <v>7085</v>
      </c>
      <c r="B1458" s="16" t="str">
        <f>TRIM("もと泉尾賃貸工場")</f>
        <v>もと泉尾賃貸工場</v>
      </c>
      <c r="C1458" s="14" t="s">
        <v>1529</v>
      </c>
      <c r="D1458" s="14" t="s">
        <v>40</v>
      </c>
      <c r="E1458" s="1">
        <v>40.04</v>
      </c>
      <c r="F1458" s="2"/>
      <c r="G1458" s="1"/>
      <c r="H1458" s="3"/>
      <c r="I1458" s="14" t="s">
        <v>4115</v>
      </c>
    </row>
    <row r="1459" spans="1:9" ht="18.75" customHeight="1" x14ac:dyDescent="0.4">
      <c r="A1459" s="14" t="s">
        <v>6469</v>
      </c>
      <c r="B1459" s="16" t="str">
        <f>TRIM("泉尾第2住宅")</f>
        <v>泉尾第2住宅</v>
      </c>
      <c r="C1459" s="14" t="s">
        <v>1529</v>
      </c>
      <c r="D1459" s="14" t="s">
        <v>778</v>
      </c>
      <c r="E1459" s="1">
        <v>6283</v>
      </c>
      <c r="F1459" s="2"/>
      <c r="G1459" s="1">
        <v>19516.310000000001</v>
      </c>
      <c r="H1459" s="3"/>
      <c r="I1459" s="14" t="s">
        <v>6177</v>
      </c>
    </row>
    <row r="1460" spans="1:9" ht="18.75" customHeight="1" x14ac:dyDescent="0.4">
      <c r="A1460" s="14" t="s">
        <v>6471</v>
      </c>
      <c r="B1460" s="16" t="str">
        <f>TRIM("泉尾第4住宅")</f>
        <v>泉尾第4住宅</v>
      </c>
      <c r="C1460" s="14" t="s">
        <v>1529</v>
      </c>
      <c r="D1460" s="14" t="s">
        <v>778</v>
      </c>
      <c r="E1460" s="1">
        <v>20312.490000000002</v>
      </c>
      <c r="F1460" s="2"/>
      <c r="G1460" s="1">
        <v>30819</v>
      </c>
      <c r="H1460" s="3"/>
      <c r="I1460" s="14" t="s">
        <v>6177</v>
      </c>
    </row>
    <row r="1461" spans="1:9" ht="18.75" customHeight="1" x14ac:dyDescent="0.4">
      <c r="A1461" s="14" t="s">
        <v>6472</v>
      </c>
      <c r="B1461" s="16" t="str">
        <f>TRIM("泉尾第5住宅")</f>
        <v>泉尾第5住宅</v>
      </c>
      <c r="C1461" s="14" t="s">
        <v>1529</v>
      </c>
      <c r="D1461" s="14" t="s">
        <v>778</v>
      </c>
      <c r="E1461" s="1">
        <v>6579.93</v>
      </c>
      <c r="F1461" s="2"/>
      <c r="G1461" s="1">
        <v>11403.08</v>
      </c>
      <c r="H1461" s="3"/>
      <c r="I1461" s="14" t="s">
        <v>6177</v>
      </c>
    </row>
    <row r="1462" spans="1:9" ht="18.75" customHeight="1" x14ac:dyDescent="0.4">
      <c r="A1462" s="14" t="s">
        <v>2504</v>
      </c>
      <c r="B1462" s="16" t="str">
        <f>TRIM("甚兵衛渡船場左岸待合所")</f>
        <v>甚兵衛渡船場左岸待合所</v>
      </c>
      <c r="C1462" s="14" t="s">
        <v>1529</v>
      </c>
      <c r="D1462" s="14" t="s">
        <v>778</v>
      </c>
      <c r="E1462" s="1"/>
      <c r="F1462" s="2"/>
      <c r="G1462" s="1">
        <v>71.44</v>
      </c>
      <c r="H1462" s="3"/>
      <c r="I1462" s="14" t="s">
        <v>2177</v>
      </c>
    </row>
    <row r="1463" spans="1:9" ht="18.75" customHeight="1" x14ac:dyDescent="0.4">
      <c r="A1463" s="14" t="s">
        <v>2966</v>
      </c>
      <c r="B1463" s="16" t="str">
        <f>TRIM("　泉尾浜公園")</f>
        <v>泉尾浜公園</v>
      </c>
      <c r="C1463" s="14" t="s">
        <v>1529</v>
      </c>
      <c r="D1463" s="14" t="s">
        <v>778</v>
      </c>
      <c r="E1463" s="1">
        <v>6001.61</v>
      </c>
      <c r="F1463" s="2"/>
      <c r="G1463" s="1"/>
      <c r="H1463" s="3"/>
      <c r="I1463" s="14" t="s">
        <v>2177</v>
      </c>
    </row>
    <row r="1464" spans="1:9" ht="18.75" customHeight="1" x14ac:dyDescent="0.4">
      <c r="A1464" s="14" t="s">
        <v>5926</v>
      </c>
      <c r="B1464" s="16" t="str">
        <f>TRIM("北恩加島保育所")</f>
        <v>北恩加島保育所</v>
      </c>
      <c r="C1464" s="14" t="s">
        <v>1529</v>
      </c>
      <c r="D1464" s="14" t="s">
        <v>778</v>
      </c>
      <c r="E1464" s="1"/>
      <c r="F1464" s="2"/>
      <c r="G1464" s="1">
        <v>376.39</v>
      </c>
      <c r="H1464" s="3"/>
      <c r="I1464" s="14" t="s">
        <v>5617</v>
      </c>
    </row>
    <row r="1465" spans="1:9" ht="18.75" customHeight="1" x14ac:dyDescent="0.4">
      <c r="A1465" s="14" t="s">
        <v>6785</v>
      </c>
      <c r="B1465" s="16" t="str">
        <f>TRIM("もと泉尾第４住宅")</f>
        <v>もと泉尾第４住宅</v>
      </c>
      <c r="C1465" s="14" t="s">
        <v>1529</v>
      </c>
      <c r="D1465" s="14" t="s">
        <v>778</v>
      </c>
      <c r="E1465" s="1"/>
      <c r="F1465" s="2"/>
      <c r="G1465" s="1">
        <v>8082.17</v>
      </c>
      <c r="H1465" s="3"/>
      <c r="I1465" s="14" t="s">
        <v>6177</v>
      </c>
    </row>
    <row r="1466" spans="1:9" ht="18.75" customHeight="1" x14ac:dyDescent="0.4">
      <c r="A1466" s="14" t="s">
        <v>6869</v>
      </c>
      <c r="B1466" s="16" t="str">
        <f>TRIM("防潮堤用地")</f>
        <v>防潮堤用地</v>
      </c>
      <c r="C1466" s="14" t="s">
        <v>1529</v>
      </c>
      <c r="D1466" s="14" t="s">
        <v>778</v>
      </c>
      <c r="E1466" s="1">
        <v>43.49</v>
      </c>
      <c r="F1466" s="2"/>
      <c r="G1466" s="1"/>
      <c r="H1466" s="3"/>
      <c r="I1466" s="14" t="s">
        <v>6177</v>
      </c>
    </row>
    <row r="1467" spans="1:9" ht="18.75" customHeight="1" x14ac:dyDescent="0.4">
      <c r="A1467" s="14" t="s">
        <v>2801</v>
      </c>
      <c r="B1467" s="16" t="str">
        <f>TRIM("　小林公園")</f>
        <v>小林公園</v>
      </c>
      <c r="C1467" s="14" t="s">
        <v>1529</v>
      </c>
      <c r="D1467" s="14" t="s">
        <v>1079</v>
      </c>
      <c r="E1467" s="1">
        <v>35390.870000000003</v>
      </c>
      <c r="F1467" s="2"/>
      <c r="G1467" s="1"/>
      <c r="H1467" s="3"/>
      <c r="I1467" s="14" t="s">
        <v>2177</v>
      </c>
    </row>
    <row r="1468" spans="1:9" ht="18.75" customHeight="1" x14ac:dyDescent="0.4">
      <c r="A1468" s="14" t="s">
        <v>3575</v>
      </c>
      <c r="B1468" s="16" t="str">
        <f>TRIM("　小林公園")</f>
        <v>小林公園</v>
      </c>
      <c r="C1468" s="14" t="s">
        <v>1529</v>
      </c>
      <c r="D1468" s="14" t="s">
        <v>1079</v>
      </c>
      <c r="E1468" s="1"/>
      <c r="F1468" s="2"/>
      <c r="G1468" s="1">
        <v>18</v>
      </c>
      <c r="H1468" s="3"/>
      <c r="I1468" s="14" t="s">
        <v>2177</v>
      </c>
    </row>
    <row r="1469" spans="1:9" ht="18.75" customHeight="1" x14ac:dyDescent="0.4">
      <c r="A1469" s="14" t="s">
        <v>6470</v>
      </c>
      <c r="B1469" s="16" t="str">
        <f>TRIM("泉尾第3住宅")</f>
        <v>泉尾第3住宅</v>
      </c>
      <c r="C1469" s="14" t="s">
        <v>1529</v>
      </c>
      <c r="D1469" s="14" t="s">
        <v>779</v>
      </c>
      <c r="E1469" s="1">
        <v>3704.42</v>
      </c>
      <c r="F1469" s="2"/>
      <c r="G1469" s="1">
        <v>11645.46</v>
      </c>
      <c r="H1469" s="3"/>
      <c r="I1469" s="14" t="s">
        <v>6177</v>
      </c>
    </row>
    <row r="1470" spans="1:9" ht="18.75" customHeight="1" x14ac:dyDescent="0.4">
      <c r="A1470" s="14" t="s">
        <v>4131</v>
      </c>
      <c r="B1470" s="16" t="str">
        <f>TRIM("もと北恩加島労働者休憩所")</f>
        <v>もと北恩加島労働者休憩所</v>
      </c>
      <c r="C1470" s="14" t="s">
        <v>1529</v>
      </c>
      <c r="D1470" s="14" t="s">
        <v>779</v>
      </c>
      <c r="E1470" s="1"/>
      <c r="F1470" s="2"/>
      <c r="G1470" s="1">
        <v>83.23</v>
      </c>
      <c r="H1470" s="3" t="s">
        <v>7353</v>
      </c>
      <c r="I1470" s="14" t="s">
        <v>4117</v>
      </c>
    </row>
    <row r="1471" spans="1:9" ht="18.75" customHeight="1" x14ac:dyDescent="0.4">
      <c r="A1471" s="14" t="s">
        <v>4220</v>
      </c>
      <c r="B1471" s="16" t="str">
        <f>TRIM("荷捌地（大正・一般）")</f>
        <v>荷捌地（大正・一般）</v>
      </c>
      <c r="C1471" s="14" t="s">
        <v>1529</v>
      </c>
      <c r="D1471" s="14" t="s">
        <v>779</v>
      </c>
      <c r="E1471" s="1">
        <v>7050.9</v>
      </c>
      <c r="F1471" s="2"/>
      <c r="G1471" s="1"/>
      <c r="H1471" s="3"/>
      <c r="I1471" s="14" t="s">
        <v>4117</v>
      </c>
    </row>
    <row r="1472" spans="1:9" ht="18.75" customHeight="1" x14ac:dyDescent="0.4">
      <c r="A1472" s="14" t="s">
        <v>4306</v>
      </c>
      <c r="B1472" s="16" t="str">
        <f>TRIM("大正鋼材上屋")</f>
        <v>大正鋼材上屋</v>
      </c>
      <c r="C1472" s="14" t="s">
        <v>1529</v>
      </c>
      <c r="D1472" s="14" t="s">
        <v>1350</v>
      </c>
      <c r="E1472" s="1">
        <v>2944.99</v>
      </c>
      <c r="F1472" s="2"/>
      <c r="G1472" s="12">
        <v>3420.07</v>
      </c>
      <c r="H1472" s="3"/>
      <c r="I1472" s="14" t="s">
        <v>4117</v>
      </c>
    </row>
    <row r="1473" spans="1:9" ht="18.75" customHeight="1" x14ac:dyDescent="0.4">
      <c r="A1473" s="14" t="s">
        <v>2505</v>
      </c>
      <c r="B1473" s="16" t="str">
        <f>TRIM("千歳渡船場左岸待合所")</f>
        <v>千歳渡船場左岸待合所</v>
      </c>
      <c r="C1473" s="14" t="s">
        <v>1529</v>
      </c>
      <c r="D1473" s="14" t="s">
        <v>1350</v>
      </c>
      <c r="E1473" s="1"/>
      <c r="F1473" s="2"/>
      <c r="G1473" s="1">
        <v>90.93</v>
      </c>
      <c r="H1473" s="3"/>
      <c r="I1473" s="14" t="s">
        <v>2177</v>
      </c>
    </row>
    <row r="1474" spans="1:9" ht="18.75" customHeight="1" x14ac:dyDescent="0.4">
      <c r="A1474" s="14" t="s">
        <v>4205</v>
      </c>
      <c r="B1474" s="16" t="str">
        <f>TRIM("護岸敷（大正）")</f>
        <v>護岸敷（大正）</v>
      </c>
      <c r="C1474" s="14" t="s">
        <v>1529</v>
      </c>
      <c r="D1474" s="14" t="s">
        <v>1350</v>
      </c>
      <c r="E1474" s="1">
        <v>55517.59</v>
      </c>
      <c r="F1474" s="2"/>
      <c r="G1474" s="1"/>
      <c r="H1474" s="3"/>
      <c r="I1474" s="14" t="s">
        <v>4117</v>
      </c>
    </row>
    <row r="1475" spans="1:9" ht="18.75" customHeight="1" x14ac:dyDescent="0.4">
      <c r="A1475" s="14" t="s">
        <v>4222</v>
      </c>
      <c r="B1475" s="16" t="str">
        <f>TRIM("水面（大正）")</f>
        <v>水面（大正）</v>
      </c>
      <c r="C1475" s="14" t="s">
        <v>1529</v>
      </c>
      <c r="D1475" s="14" t="s">
        <v>1350</v>
      </c>
      <c r="E1475" s="1">
        <v>742230.55</v>
      </c>
      <c r="F1475" s="2"/>
      <c r="G1475" s="1"/>
      <c r="H1475" s="3"/>
      <c r="I1475" s="14" t="s">
        <v>4117</v>
      </c>
    </row>
    <row r="1476" spans="1:9" ht="18.75" customHeight="1" x14ac:dyDescent="0.4">
      <c r="A1476" s="14" t="s">
        <v>4287</v>
      </c>
      <c r="B1476" s="16" t="str">
        <f>TRIM("荷捌地（大正）")</f>
        <v>荷捌地（大正）</v>
      </c>
      <c r="C1476" s="14" t="s">
        <v>1529</v>
      </c>
      <c r="D1476" s="14" t="s">
        <v>1350</v>
      </c>
      <c r="E1476" s="1">
        <v>15673.27</v>
      </c>
      <c r="F1476" s="2"/>
      <c r="G1476" s="12"/>
      <c r="H1476" s="3"/>
      <c r="I1476" s="14" t="s">
        <v>4117</v>
      </c>
    </row>
    <row r="1477" spans="1:9" ht="18.75" customHeight="1" x14ac:dyDescent="0.4">
      <c r="A1477" s="14"/>
      <c r="B1477" s="14" t="s">
        <v>7259</v>
      </c>
      <c r="C1477" s="14" t="s">
        <v>1529</v>
      </c>
      <c r="D1477" s="1" t="s">
        <v>1350</v>
      </c>
      <c r="E1477" s="1"/>
      <c r="F1477" s="2"/>
      <c r="G1477" s="1">
        <v>430.56</v>
      </c>
      <c r="H1477" s="1"/>
      <c r="I1477" s="14" t="s">
        <v>7190</v>
      </c>
    </row>
    <row r="1478" spans="1:9" ht="18.75" customHeight="1" x14ac:dyDescent="0.4">
      <c r="A1478" s="14" t="s">
        <v>6867</v>
      </c>
      <c r="B1478" s="16" t="str">
        <f>TRIM("もと区画整理事業用地（南部工区・大正区鶴町）")</f>
        <v>もと区画整理事業用地（南部工区・大正区鶴町）</v>
      </c>
      <c r="C1478" s="14" t="s">
        <v>1529</v>
      </c>
      <c r="D1478" s="14" t="s">
        <v>891</v>
      </c>
      <c r="E1478" s="1">
        <v>4206.3</v>
      </c>
      <c r="F1478" s="2" t="s">
        <v>7312</v>
      </c>
      <c r="G1478" s="1"/>
      <c r="H1478" s="3"/>
      <c r="I1478" s="14" t="s">
        <v>6177</v>
      </c>
    </row>
    <row r="1479" spans="1:9" ht="18.75" customHeight="1" x14ac:dyDescent="0.4">
      <c r="A1479" s="14" t="s">
        <v>2141</v>
      </c>
      <c r="B1479" s="16" t="str">
        <f>TRIM("北恩加島会館（もと北恩加島老人憩の家）")</f>
        <v>北恩加島会館（もと北恩加島老人憩の家）</v>
      </c>
      <c r="C1479" s="14" t="s">
        <v>1529</v>
      </c>
      <c r="D1479" s="14" t="s">
        <v>891</v>
      </c>
      <c r="E1479" s="1">
        <v>264.55</v>
      </c>
      <c r="F1479" s="2"/>
      <c r="G1479" s="1">
        <v>105.45</v>
      </c>
      <c r="H1479" s="3"/>
      <c r="I1479" s="14" t="s">
        <v>2032</v>
      </c>
    </row>
    <row r="1480" spans="1:9" ht="18.75" customHeight="1" x14ac:dyDescent="0.4">
      <c r="A1480" s="14" t="s">
        <v>4428</v>
      </c>
      <c r="B1480" s="16" t="str">
        <f>TRIM("北恩加島会館")</f>
        <v>北恩加島会館</v>
      </c>
      <c r="C1480" s="14" t="s">
        <v>1529</v>
      </c>
      <c r="D1480" s="14" t="s">
        <v>891</v>
      </c>
      <c r="E1480" s="1"/>
      <c r="F1480" s="2"/>
      <c r="G1480" s="1">
        <v>67.290000000000006</v>
      </c>
      <c r="H1480" s="3"/>
      <c r="I1480" s="14" t="s">
        <v>2032</v>
      </c>
    </row>
    <row r="1481" spans="1:9" ht="18.75" customHeight="1" x14ac:dyDescent="0.4">
      <c r="A1481" s="14" t="s">
        <v>6657</v>
      </c>
      <c r="B1481" s="16" t="str">
        <f>TRIM("北村住宅")</f>
        <v>北村住宅</v>
      </c>
      <c r="C1481" s="14" t="s">
        <v>1529</v>
      </c>
      <c r="D1481" s="14" t="s">
        <v>838</v>
      </c>
      <c r="E1481" s="1">
        <v>2893.42</v>
      </c>
      <c r="F1481" s="2"/>
      <c r="G1481" s="1">
        <v>4578.26</v>
      </c>
      <c r="H1481" s="3"/>
      <c r="I1481" s="14" t="s">
        <v>6177</v>
      </c>
    </row>
    <row r="1482" spans="1:9" ht="18.75" customHeight="1" x14ac:dyDescent="0.4">
      <c r="A1482" s="14" t="s">
        <v>3298</v>
      </c>
      <c r="B1482" s="16" t="str">
        <f>TRIM("　北村公園")</f>
        <v>北村公園</v>
      </c>
      <c r="C1482" s="14" t="s">
        <v>1529</v>
      </c>
      <c r="D1482" s="14" t="s">
        <v>838</v>
      </c>
      <c r="E1482" s="1">
        <v>2702.44</v>
      </c>
      <c r="F1482" s="2"/>
      <c r="G1482" s="1"/>
      <c r="H1482" s="3"/>
      <c r="I1482" s="14" t="s">
        <v>2177</v>
      </c>
    </row>
    <row r="1483" spans="1:9" ht="18.75" customHeight="1" x14ac:dyDescent="0.4">
      <c r="A1483" s="14" t="s">
        <v>6834</v>
      </c>
      <c r="B1483" s="16" t="str">
        <f>TRIM("もと区画整理事業用地（南部工区・大正区泉尾）")</f>
        <v>もと区画整理事業用地（南部工区・大正区泉尾）</v>
      </c>
      <c r="C1483" s="14" t="s">
        <v>1529</v>
      </c>
      <c r="D1483" s="14" t="s">
        <v>345</v>
      </c>
      <c r="E1483" s="1">
        <v>38240.239999999998</v>
      </c>
      <c r="F1483" s="2">
        <v>164</v>
      </c>
      <c r="G1483" s="1"/>
      <c r="H1483" s="3"/>
      <c r="I1483" s="14" t="s">
        <v>6177</v>
      </c>
    </row>
    <row r="1484" spans="1:9" ht="18.75" customHeight="1" x14ac:dyDescent="0.4">
      <c r="A1484" s="14" t="s">
        <v>4941</v>
      </c>
      <c r="B1484" s="16" t="str">
        <f>TRIM("大正北中学校")</f>
        <v>大正北中学校</v>
      </c>
      <c r="C1484" s="14" t="s">
        <v>1529</v>
      </c>
      <c r="D1484" s="14" t="s">
        <v>345</v>
      </c>
      <c r="E1484" s="1">
        <v>16501.91</v>
      </c>
      <c r="F1484" s="2"/>
      <c r="G1484" s="1">
        <v>7263.15</v>
      </c>
      <c r="H1484" s="3"/>
      <c r="I1484" s="14" t="s">
        <v>4689</v>
      </c>
    </row>
    <row r="1485" spans="1:9" ht="18.75" customHeight="1" x14ac:dyDescent="0.4">
      <c r="A1485" s="14" t="s">
        <v>1710</v>
      </c>
      <c r="B1485" s="16" t="str">
        <f>TRIM("障がい者支援施設ふくろうの杜")</f>
        <v>障がい者支援施設ふくろうの杜</v>
      </c>
      <c r="C1485" s="14" t="s">
        <v>1529</v>
      </c>
      <c r="D1485" s="14" t="s">
        <v>345</v>
      </c>
      <c r="E1485" s="1">
        <v>2460.2600000000002</v>
      </c>
      <c r="F1485" s="2"/>
      <c r="G1485" s="1"/>
      <c r="H1485" s="3"/>
      <c r="I1485" s="14" t="s">
        <v>1654</v>
      </c>
    </row>
    <row r="1486" spans="1:9" ht="18.75" customHeight="1" x14ac:dyDescent="0.4">
      <c r="A1486" s="14" t="s">
        <v>1721</v>
      </c>
      <c r="B1486" s="16" t="str">
        <f>TRIM("障がい福祉サービス事業所　ねぎぼうず")</f>
        <v>障がい福祉サービス事業所　ねぎぼうず</v>
      </c>
      <c r="C1486" s="14" t="s">
        <v>1529</v>
      </c>
      <c r="D1486" s="14" t="s">
        <v>345</v>
      </c>
      <c r="E1486" s="1">
        <v>87.93</v>
      </c>
      <c r="F1486" s="2"/>
      <c r="G1486" s="1"/>
      <c r="H1486" s="3"/>
      <c r="I1486" s="14" t="s">
        <v>1654</v>
      </c>
    </row>
    <row r="1487" spans="1:9" ht="18.75" customHeight="1" x14ac:dyDescent="0.4">
      <c r="A1487" s="14" t="s">
        <v>1954</v>
      </c>
      <c r="B1487" s="16" t="str">
        <f>TRIM("特別養護老人ホーム大正園・北恩加島地域在宅サービスステーション")</f>
        <v>特別養護老人ホーム大正園・北恩加島地域在宅サービスステーション</v>
      </c>
      <c r="C1487" s="14" t="s">
        <v>1529</v>
      </c>
      <c r="D1487" s="14" t="s">
        <v>345</v>
      </c>
      <c r="E1487" s="1">
        <v>1999.85</v>
      </c>
      <c r="F1487" s="2"/>
      <c r="G1487" s="1"/>
      <c r="H1487" s="3"/>
      <c r="I1487" s="14" t="s">
        <v>1654</v>
      </c>
    </row>
    <row r="1488" spans="1:9" ht="18.75" customHeight="1" x14ac:dyDescent="0.4">
      <c r="A1488" s="14" t="s">
        <v>1956</v>
      </c>
      <c r="B1488" s="16" t="str">
        <f>TRIM("特別養護老人ホーム第二大正園・軽費老人ホームつつじ荘・障がい福祉サービス事業所北村園・第二大正園")</f>
        <v>特別養護老人ホーム第二大正園・軽費老人ホームつつじ荘・障がい福祉サービス事業所北村園・第二大正園</v>
      </c>
      <c r="C1488" s="14" t="s">
        <v>1529</v>
      </c>
      <c r="D1488" s="14" t="s">
        <v>345</v>
      </c>
      <c r="E1488" s="1">
        <v>5179.24</v>
      </c>
      <c r="F1488" s="2"/>
      <c r="G1488" s="1"/>
      <c r="H1488" s="3"/>
      <c r="I1488" s="14" t="s">
        <v>1654</v>
      </c>
    </row>
    <row r="1489" spans="1:9" ht="18.75" customHeight="1" x14ac:dyDescent="0.4">
      <c r="A1489" s="14" t="s">
        <v>3299</v>
      </c>
      <c r="B1489" s="16" t="str">
        <f>TRIM("　北村南公園")</f>
        <v>北村南公園</v>
      </c>
      <c r="C1489" s="14" t="s">
        <v>1529</v>
      </c>
      <c r="D1489" s="14" t="s">
        <v>345</v>
      </c>
      <c r="E1489" s="1">
        <v>7396.52</v>
      </c>
      <c r="F1489" s="2"/>
      <c r="G1489" s="1"/>
      <c r="H1489" s="3"/>
      <c r="I1489" s="14" t="s">
        <v>2177</v>
      </c>
    </row>
    <row r="1490" spans="1:9" ht="18.75" customHeight="1" x14ac:dyDescent="0.4">
      <c r="A1490" s="14" t="s">
        <v>3676</v>
      </c>
      <c r="B1490" s="16" t="str">
        <f>TRIM("　北村南公園")</f>
        <v>北村南公園</v>
      </c>
      <c r="C1490" s="14" t="s">
        <v>1529</v>
      </c>
      <c r="D1490" s="14" t="s">
        <v>345</v>
      </c>
      <c r="E1490" s="1"/>
      <c r="F1490" s="2"/>
      <c r="G1490" s="1">
        <v>19.2</v>
      </c>
      <c r="H1490" s="3"/>
      <c r="I1490" s="14" t="s">
        <v>2177</v>
      </c>
    </row>
    <row r="1491" spans="1:9" ht="18.75" customHeight="1" x14ac:dyDescent="0.4">
      <c r="A1491" s="14" t="s">
        <v>6827</v>
      </c>
      <c r="B1491" s="16" t="str">
        <f>TRIM("マリンテニスパーク北村")</f>
        <v>マリンテニスパーク北村</v>
      </c>
      <c r="C1491" s="14" t="s">
        <v>1529</v>
      </c>
      <c r="D1491" s="14" t="s">
        <v>345</v>
      </c>
      <c r="E1491" s="1"/>
      <c r="F1491" s="2"/>
      <c r="G1491" s="1">
        <v>1023.71</v>
      </c>
      <c r="H1491" s="3"/>
      <c r="I1491" s="14" t="s">
        <v>6177</v>
      </c>
    </row>
    <row r="1492" spans="1:9" ht="18.75" customHeight="1" x14ac:dyDescent="0.4">
      <c r="A1492" s="14" t="s">
        <v>4150</v>
      </c>
      <c r="B1492" s="16" t="str">
        <f>TRIM("大阪第2港湾労働者福祉センター")</f>
        <v>大阪第2港湾労働者福祉センター</v>
      </c>
      <c r="C1492" s="14" t="s">
        <v>1529</v>
      </c>
      <c r="D1492" s="14" t="s">
        <v>391</v>
      </c>
      <c r="E1492" s="1">
        <v>1110.68</v>
      </c>
      <c r="F1492" s="2"/>
      <c r="G1492" s="1">
        <v>1165.18</v>
      </c>
      <c r="H1492" s="3"/>
      <c r="I1492" s="14" t="s">
        <v>4117</v>
      </c>
    </row>
    <row r="1493" spans="1:9" ht="18.75" customHeight="1" x14ac:dyDescent="0.4">
      <c r="A1493" s="14" t="s">
        <v>4151</v>
      </c>
      <c r="B1493" s="16" t="str">
        <f>TRIM("大正第1突堤港湾労働者便所")</f>
        <v>大正第1突堤港湾労働者便所</v>
      </c>
      <c r="C1493" s="14" t="s">
        <v>1529</v>
      </c>
      <c r="D1493" s="14" t="s">
        <v>391</v>
      </c>
      <c r="E1493" s="1">
        <v>62.2</v>
      </c>
      <c r="F1493" s="2"/>
      <c r="G1493" s="1">
        <v>9.5</v>
      </c>
      <c r="H1493" s="3"/>
      <c r="I1493" s="14" t="s">
        <v>4117</v>
      </c>
    </row>
    <row r="1494" spans="1:9" ht="18.75" customHeight="1" x14ac:dyDescent="0.4">
      <c r="A1494" s="14" t="s">
        <v>4297</v>
      </c>
      <c r="B1494" s="16" t="str">
        <f>TRIM("大正1号上屋")</f>
        <v>大正1号上屋</v>
      </c>
      <c r="C1494" s="14" t="s">
        <v>1529</v>
      </c>
      <c r="D1494" s="14" t="s">
        <v>391</v>
      </c>
      <c r="E1494" s="1">
        <v>2248.3000000000002</v>
      </c>
      <c r="F1494" s="2"/>
      <c r="G1494" s="12">
        <v>908.28</v>
      </c>
      <c r="H1494" s="3"/>
      <c r="I1494" s="14" t="s">
        <v>4117</v>
      </c>
    </row>
    <row r="1495" spans="1:9" ht="18.75" customHeight="1" x14ac:dyDescent="0.4">
      <c r="A1495" s="14" t="s">
        <v>4298</v>
      </c>
      <c r="B1495" s="16" t="str">
        <f>TRIM("大正2号上屋")</f>
        <v>大正2号上屋</v>
      </c>
      <c r="C1495" s="14" t="s">
        <v>1529</v>
      </c>
      <c r="D1495" s="14" t="s">
        <v>391</v>
      </c>
      <c r="E1495" s="1">
        <v>3798.29</v>
      </c>
      <c r="F1495" s="2"/>
      <c r="G1495" s="12">
        <v>1800.58</v>
      </c>
      <c r="H1495" s="3"/>
      <c r="I1495" s="14" t="s">
        <v>4117</v>
      </c>
    </row>
    <row r="1496" spans="1:9" ht="18.75" customHeight="1" x14ac:dyDescent="0.4">
      <c r="A1496" s="14" t="s">
        <v>4299</v>
      </c>
      <c r="B1496" s="16" t="str">
        <f>TRIM("大正3号上屋")</f>
        <v>大正3号上屋</v>
      </c>
      <c r="C1496" s="14" t="s">
        <v>1529</v>
      </c>
      <c r="D1496" s="14" t="s">
        <v>391</v>
      </c>
      <c r="E1496" s="1">
        <v>3800.08</v>
      </c>
      <c r="F1496" s="2"/>
      <c r="G1496" s="12">
        <v>1802.79</v>
      </c>
      <c r="H1496" s="3"/>
      <c r="I1496" s="14" t="s">
        <v>4117</v>
      </c>
    </row>
    <row r="1497" spans="1:9" ht="18.75" customHeight="1" x14ac:dyDescent="0.4">
      <c r="A1497" s="14" t="s">
        <v>4300</v>
      </c>
      <c r="B1497" s="16" t="str">
        <f>TRIM("大正4号上屋")</f>
        <v>大正4号上屋</v>
      </c>
      <c r="C1497" s="14" t="s">
        <v>1529</v>
      </c>
      <c r="D1497" s="14" t="s">
        <v>391</v>
      </c>
      <c r="E1497" s="1">
        <v>3946.81</v>
      </c>
      <c r="F1497" s="2"/>
      <c r="G1497" s="12">
        <v>2005.42</v>
      </c>
      <c r="H1497" s="3"/>
      <c r="I1497" s="14" t="s">
        <v>4117</v>
      </c>
    </row>
    <row r="1498" spans="1:9" ht="18.75" customHeight="1" x14ac:dyDescent="0.4">
      <c r="A1498" s="14" t="s">
        <v>4301</v>
      </c>
      <c r="B1498" s="16" t="str">
        <f>TRIM("大正5号上屋")</f>
        <v>大正5号上屋</v>
      </c>
      <c r="C1498" s="14" t="s">
        <v>1529</v>
      </c>
      <c r="D1498" s="14" t="s">
        <v>391</v>
      </c>
      <c r="E1498" s="1">
        <v>3386.74</v>
      </c>
      <c r="F1498" s="2"/>
      <c r="G1498" s="12">
        <v>2104.38</v>
      </c>
      <c r="H1498" s="3"/>
      <c r="I1498" s="14" t="s">
        <v>4117</v>
      </c>
    </row>
    <row r="1499" spans="1:9" ht="18.75" customHeight="1" x14ac:dyDescent="0.4">
      <c r="A1499" s="14" t="s">
        <v>4302</v>
      </c>
      <c r="B1499" s="16" t="str">
        <f>TRIM("大正6号上屋")</f>
        <v>大正6号上屋</v>
      </c>
      <c r="C1499" s="14" t="s">
        <v>1529</v>
      </c>
      <c r="D1499" s="14" t="s">
        <v>391</v>
      </c>
      <c r="E1499" s="1">
        <v>4272.29</v>
      </c>
      <c r="F1499" s="2"/>
      <c r="G1499" s="12">
        <v>2398.4699999999998</v>
      </c>
      <c r="H1499" s="3"/>
      <c r="I1499" s="14" t="s">
        <v>4117</v>
      </c>
    </row>
    <row r="1500" spans="1:9" ht="18.75" customHeight="1" x14ac:dyDescent="0.4">
      <c r="A1500" s="14" t="s">
        <v>4303</v>
      </c>
      <c r="B1500" s="16" t="str">
        <f>TRIM("大正7号上屋")</f>
        <v>大正7号上屋</v>
      </c>
      <c r="C1500" s="14" t="s">
        <v>1529</v>
      </c>
      <c r="D1500" s="14" t="s">
        <v>391</v>
      </c>
      <c r="E1500" s="1">
        <v>3818.37</v>
      </c>
      <c r="F1500" s="2"/>
      <c r="G1500" s="12">
        <v>2149.5100000000002</v>
      </c>
      <c r="H1500" s="3"/>
      <c r="I1500" s="14" t="s">
        <v>4117</v>
      </c>
    </row>
    <row r="1501" spans="1:9" ht="18.75" customHeight="1" x14ac:dyDescent="0.4">
      <c r="A1501" s="14" t="s">
        <v>4304</v>
      </c>
      <c r="B1501" s="16" t="str">
        <f>TRIM("大正8号上屋")</f>
        <v>大正8号上屋</v>
      </c>
      <c r="C1501" s="14" t="s">
        <v>1529</v>
      </c>
      <c r="D1501" s="14" t="s">
        <v>391</v>
      </c>
      <c r="E1501" s="1">
        <v>3807.78</v>
      </c>
      <c r="F1501" s="2"/>
      <c r="G1501" s="12">
        <v>2118.4699999999998</v>
      </c>
      <c r="H1501" s="3"/>
      <c r="I1501" s="14" t="s">
        <v>4117</v>
      </c>
    </row>
    <row r="1502" spans="1:9" ht="18.75" customHeight="1" x14ac:dyDescent="0.4">
      <c r="A1502" s="14" t="s">
        <v>4305</v>
      </c>
      <c r="B1502" s="16" t="str">
        <f>TRIM("大正9号上屋")</f>
        <v>大正9号上屋</v>
      </c>
      <c r="C1502" s="14" t="s">
        <v>1529</v>
      </c>
      <c r="D1502" s="14" t="s">
        <v>391</v>
      </c>
      <c r="E1502" s="1">
        <v>3258.16</v>
      </c>
      <c r="F1502" s="2"/>
      <c r="G1502" s="12">
        <v>1893.77</v>
      </c>
      <c r="H1502" s="3"/>
      <c r="I1502" s="14" t="s">
        <v>4117</v>
      </c>
    </row>
    <row r="1503" spans="1:9" ht="18.75" customHeight="1" x14ac:dyDescent="0.4">
      <c r="A1503" s="14" t="s">
        <v>6043</v>
      </c>
      <c r="B1503" s="16" t="str">
        <f>TRIM("西部環境事業センター")</f>
        <v>西部環境事業センター</v>
      </c>
      <c r="C1503" s="14" t="s">
        <v>1529</v>
      </c>
      <c r="D1503" s="14" t="s">
        <v>391</v>
      </c>
      <c r="E1503" s="1">
        <v>7588.75</v>
      </c>
      <c r="F1503" s="2"/>
      <c r="G1503" s="1">
        <v>5015.78</v>
      </c>
      <c r="H1503" s="3"/>
      <c r="I1503" s="14" t="s">
        <v>5977</v>
      </c>
    </row>
    <row r="1504" spans="1:9" ht="18.75" customHeight="1" x14ac:dyDescent="0.4">
      <c r="A1504" s="14" t="s">
        <v>1896</v>
      </c>
      <c r="B1504" s="16" t="str">
        <f>TRIM("大正区在宅サービスセンター")</f>
        <v>大正区在宅サービスセンター</v>
      </c>
      <c r="C1504" s="14" t="s">
        <v>1529</v>
      </c>
      <c r="D1504" s="14" t="s">
        <v>391</v>
      </c>
      <c r="E1504" s="1">
        <v>826.57</v>
      </c>
      <c r="F1504" s="2"/>
      <c r="G1504" s="1"/>
      <c r="H1504" s="3"/>
      <c r="I1504" s="14" t="s">
        <v>1654</v>
      </c>
    </row>
    <row r="1505" spans="1:9" ht="18.75" customHeight="1" x14ac:dyDescent="0.4">
      <c r="A1505" s="14" t="s">
        <v>2046</v>
      </c>
      <c r="B1505" s="16" t="str">
        <f>TRIM("小林老人憩の家")</f>
        <v>小林老人憩の家</v>
      </c>
      <c r="C1505" s="14" t="s">
        <v>1529</v>
      </c>
      <c r="D1505" s="14" t="s">
        <v>1080</v>
      </c>
      <c r="E1505" s="1">
        <v>144.66999999999999</v>
      </c>
      <c r="F1505" s="2"/>
      <c r="G1505" s="1">
        <v>172.09</v>
      </c>
      <c r="H1505" s="3"/>
      <c r="I1505" s="14" t="s">
        <v>2032</v>
      </c>
    </row>
    <row r="1506" spans="1:9" ht="18.75" customHeight="1" x14ac:dyDescent="0.4">
      <c r="A1506" s="14" t="s">
        <v>2802</v>
      </c>
      <c r="B1506" s="16" t="str">
        <f>TRIM("　小林南公園")</f>
        <v>小林南公園</v>
      </c>
      <c r="C1506" s="14" t="s">
        <v>1529</v>
      </c>
      <c r="D1506" s="14" t="s">
        <v>1080</v>
      </c>
      <c r="E1506" s="1">
        <v>2114.83</v>
      </c>
      <c r="F1506" s="2"/>
      <c r="G1506" s="1"/>
      <c r="H1506" s="3"/>
      <c r="I1506" s="14" t="s">
        <v>2177</v>
      </c>
    </row>
    <row r="1507" spans="1:9" ht="18.75" customHeight="1" x14ac:dyDescent="0.4">
      <c r="A1507" s="14" t="s">
        <v>4064</v>
      </c>
      <c r="B1507" s="16" t="str">
        <f>TRIM("千島下水処理場")</f>
        <v>千島下水処理場</v>
      </c>
      <c r="C1507" s="14" t="s">
        <v>1529</v>
      </c>
      <c r="D1507" s="14" t="s">
        <v>534</v>
      </c>
      <c r="E1507" s="1">
        <v>36595.29</v>
      </c>
      <c r="F1507" s="2"/>
      <c r="G1507" s="1">
        <v>18308.900000000001</v>
      </c>
      <c r="H1507" s="3"/>
      <c r="I1507" s="14" t="s">
        <v>2177</v>
      </c>
    </row>
    <row r="1508" spans="1:9" ht="18.75" customHeight="1" x14ac:dyDescent="0.4">
      <c r="A1508" s="14" t="s">
        <v>4858</v>
      </c>
      <c r="B1508" s="16" t="str">
        <f>TRIM("小林小学校")</f>
        <v>小林小学校</v>
      </c>
      <c r="C1508" s="14" t="s">
        <v>1529</v>
      </c>
      <c r="D1508" s="14" t="s">
        <v>534</v>
      </c>
      <c r="E1508" s="1">
        <v>12454.16</v>
      </c>
      <c r="F1508" s="2"/>
      <c r="G1508" s="1">
        <v>6531.85</v>
      </c>
      <c r="H1508" s="3"/>
      <c r="I1508" s="14" t="s">
        <v>4689</v>
      </c>
    </row>
    <row r="1509" spans="1:9" ht="18.75" customHeight="1" x14ac:dyDescent="0.4">
      <c r="A1509" s="14" t="s">
        <v>5833</v>
      </c>
      <c r="B1509" s="16" t="str">
        <f>TRIM("もとめぐみ保育園")</f>
        <v>もとめぐみ保育園</v>
      </c>
      <c r="C1509" s="14" t="s">
        <v>1529</v>
      </c>
      <c r="D1509" s="14" t="s">
        <v>534</v>
      </c>
      <c r="E1509" s="1">
        <v>733.14</v>
      </c>
      <c r="F1509" s="2"/>
      <c r="G1509" s="1">
        <v>349.96</v>
      </c>
      <c r="H1509" s="3"/>
      <c r="I1509" s="14" t="s">
        <v>5617</v>
      </c>
    </row>
    <row r="1510" spans="1:9" ht="18.75" customHeight="1" x14ac:dyDescent="0.4">
      <c r="A1510" s="14" t="s">
        <v>6419</v>
      </c>
      <c r="B1510" s="16" t="str">
        <f>TRIM("小林住宅")</f>
        <v>小林住宅</v>
      </c>
      <c r="C1510" s="14" t="s">
        <v>1529</v>
      </c>
      <c r="D1510" s="14" t="s">
        <v>534</v>
      </c>
      <c r="E1510" s="1">
        <v>23878.83</v>
      </c>
      <c r="F1510" s="2"/>
      <c r="G1510" s="1">
        <v>24863.26</v>
      </c>
      <c r="H1510" s="3"/>
      <c r="I1510" s="14" t="s">
        <v>6177</v>
      </c>
    </row>
    <row r="1511" spans="1:9" ht="18.75" customHeight="1" x14ac:dyDescent="0.4">
      <c r="A1511" s="14" t="s">
        <v>6462</v>
      </c>
      <c r="B1511" s="16" t="str">
        <f>TRIM("千島住宅")</f>
        <v>千島住宅</v>
      </c>
      <c r="C1511" s="14" t="s">
        <v>1529</v>
      </c>
      <c r="D1511" s="14" t="s">
        <v>534</v>
      </c>
      <c r="E1511" s="1">
        <v>4705.16</v>
      </c>
      <c r="F1511" s="2"/>
      <c r="G1511" s="1">
        <v>9804.4500000000007</v>
      </c>
      <c r="H1511" s="3"/>
      <c r="I1511" s="14" t="s">
        <v>6177</v>
      </c>
    </row>
    <row r="1512" spans="1:9" ht="18.75" customHeight="1" x14ac:dyDescent="0.4">
      <c r="A1512" s="14" t="s">
        <v>5720</v>
      </c>
      <c r="B1512" s="16" t="str">
        <f>TRIM("めぐみ保育園")</f>
        <v>めぐみ保育園</v>
      </c>
      <c r="C1512" s="14" t="s">
        <v>1529</v>
      </c>
      <c r="D1512" s="14" t="s">
        <v>534</v>
      </c>
      <c r="E1512" s="1">
        <v>880.28</v>
      </c>
      <c r="F1512" s="2"/>
      <c r="G1512" s="1"/>
      <c r="H1512" s="3"/>
      <c r="I1512" s="14" t="s">
        <v>5617</v>
      </c>
    </row>
    <row r="1513" spans="1:9" ht="18.75" customHeight="1" x14ac:dyDescent="0.4">
      <c r="A1513" s="14" t="s">
        <v>4939</v>
      </c>
      <c r="B1513" s="16" t="str">
        <f>TRIM("大正中央中学校")</f>
        <v>大正中央中学校</v>
      </c>
      <c r="C1513" s="14" t="s">
        <v>1529</v>
      </c>
      <c r="D1513" s="14" t="s">
        <v>237</v>
      </c>
      <c r="E1513" s="1">
        <v>15154.97</v>
      </c>
      <c r="F1513" s="2"/>
      <c r="G1513" s="1">
        <v>7243.21</v>
      </c>
      <c r="H1513" s="3"/>
      <c r="I1513" s="14" t="s">
        <v>4689</v>
      </c>
    </row>
    <row r="1514" spans="1:9" ht="18.75" customHeight="1" x14ac:dyDescent="0.4">
      <c r="A1514" s="14" t="s">
        <v>5266</v>
      </c>
      <c r="B1514" s="16" t="str">
        <f>TRIM("大正消防署")</f>
        <v>大正消防署</v>
      </c>
      <c r="C1514" s="14" t="s">
        <v>1529</v>
      </c>
      <c r="D1514" s="14" t="s">
        <v>237</v>
      </c>
      <c r="E1514" s="1">
        <v>1609.62</v>
      </c>
      <c r="F1514" s="2"/>
      <c r="G1514" s="1">
        <v>3652.64</v>
      </c>
      <c r="H1514" s="3"/>
      <c r="I1514" s="14" t="s">
        <v>5219</v>
      </c>
    </row>
    <row r="1515" spans="1:9" ht="18.75" customHeight="1" x14ac:dyDescent="0.4">
      <c r="A1515" s="14" t="s">
        <v>6127</v>
      </c>
      <c r="B1515" s="16" t="str">
        <f>TRIM("小林斎場")</f>
        <v>小林斎場</v>
      </c>
      <c r="C1515" s="14" t="s">
        <v>1529</v>
      </c>
      <c r="D1515" s="14" t="s">
        <v>237</v>
      </c>
      <c r="E1515" s="1">
        <v>5647.07</v>
      </c>
      <c r="F1515" s="2"/>
      <c r="G1515" s="1">
        <v>1292.45</v>
      </c>
      <c r="H1515" s="3"/>
      <c r="I1515" s="14" t="s">
        <v>5977</v>
      </c>
    </row>
    <row r="1516" spans="1:9" ht="18.75" customHeight="1" x14ac:dyDescent="0.4">
      <c r="A1516" s="14" t="s">
        <v>5504</v>
      </c>
      <c r="B1516" s="16" t="str">
        <f>TRIM("大正警察署")</f>
        <v>大正警察署</v>
      </c>
      <c r="C1516" s="14" t="s">
        <v>1529</v>
      </c>
      <c r="D1516" s="14" t="s">
        <v>237</v>
      </c>
      <c r="E1516" s="1">
        <v>1469.89</v>
      </c>
      <c r="F1516" s="2"/>
      <c r="G1516" s="1"/>
      <c r="H1516" s="3"/>
      <c r="I1516" s="14" t="s">
        <v>5349</v>
      </c>
    </row>
    <row r="1517" spans="1:9" ht="18.75" customHeight="1" x14ac:dyDescent="0.4">
      <c r="A1517" s="14" t="s">
        <v>6855</v>
      </c>
      <c r="B1517" s="16" t="str">
        <f>TRIM("区画整理事業用地（南部工区・大正区鶴町）")</f>
        <v>区画整理事業用地（南部工区・大正区鶴町）</v>
      </c>
      <c r="C1517" s="14" t="s">
        <v>1529</v>
      </c>
      <c r="D1517" s="14" t="s">
        <v>237</v>
      </c>
      <c r="E1517" s="1">
        <v>5381.9</v>
      </c>
      <c r="F1517" s="2"/>
      <c r="G1517" s="1"/>
      <c r="H1517" s="3"/>
      <c r="I1517" s="14" t="s">
        <v>6177</v>
      </c>
    </row>
    <row r="1518" spans="1:9" ht="18.75" customHeight="1" x14ac:dyDescent="0.4">
      <c r="A1518" s="14" t="s">
        <v>6859</v>
      </c>
      <c r="B1518" s="16" t="str">
        <f>TRIM("大正地区文化交流プラザ")</f>
        <v>大正地区文化交流プラザ</v>
      </c>
      <c r="C1518" s="14" t="s">
        <v>1529</v>
      </c>
      <c r="D1518" s="14" t="s">
        <v>237</v>
      </c>
      <c r="E1518" s="1"/>
      <c r="F1518" s="2"/>
      <c r="G1518" s="1">
        <v>2323.0500000000002</v>
      </c>
      <c r="H1518" s="3"/>
      <c r="I1518" s="14" t="s">
        <v>6177</v>
      </c>
    </row>
    <row r="1519" spans="1:9" ht="18.75" customHeight="1" x14ac:dyDescent="0.4">
      <c r="A1519" s="14" t="s">
        <v>7116</v>
      </c>
      <c r="B1519" s="16" t="str">
        <f>TRIM("大正スポーツセンター")</f>
        <v>大正スポーツセンター</v>
      </c>
      <c r="C1519" s="14" t="s">
        <v>1529</v>
      </c>
      <c r="D1519" s="14" t="s">
        <v>237</v>
      </c>
      <c r="E1519" s="1"/>
      <c r="F1519" s="2"/>
      <c r="G1519" s="1">
        <v>5147.79</v>
      </c>
      <c r="H1519" s="3"/>
      <c r="I1519" s="14" t="s">
        <v>4115</v>
      </c>
    </row>
    <row r="1520" spans="1:9" ht="18.75" customHeight="1" x14ac:dyDescent="0.4">
      <c r="A1520" s="14" t="s">
        <v>7117</v>
      </c>
      <c r="B1520" s="16" t="str">
        <f>TRIM("大正屋内プール")</f>
        <v>大正屋内プール</v>
      </c>
      <c r="C1520" s="14" t="s">
        <v>1529</v>
      </c>
      <c r="D1520" s="14" t="s">
        <v>237</v>
      </c>
      <c r="E1520" s="1"/>
      <c r="F1520" s="2"/>
      <c r="G1520" s="1">
        <v>2481.5100000000002</v>
      </c>
      <c r="H1520" s="3"/>
      <c r="I1520" s="14" t="s">
        <v>4115</v>
      </c>
    </row>
    <row r="1521" spans="1:9" ht="18.75" customHeight="1" x14ac:dyDescent="0.4">
      <c r="A1521" s="14" t="s">
        <v>4828</v>
      </c>
      <c r="B1521" s="16" t="str">
        <f>TRIM("三軒家西小学校")</f>
        <v>三軒家西小学校</v>
      </c>
      <c r="C1521" s="14" t="s">
        <v>1529</v>
      </c>
      <c r="D1521" s="14" t="s">
        <v>501</v>
      </c>
      <c r="E1521" s="1">
        <v>7210.14</v>
      </c>
      <c r="F1521" s="2"/>
      <c r="G1521" s="1">
        <v>5002.3500000000004</v>
      </c>
      <c r="H1521" s="3"/>
      <c r="I1521" s="14" t="s">
        <v>4689</v>
      </c>
    </row>
    <row r="1522" spans="1:9" ht="18.75" customHeight="1" x14ac:dyDescent="0.4">
      <c r="A1522" s="14" t="s">
        <v>5788</v>
      </c>
      <c r="B1522" s="16" t="str">
        <f>TRIM("三軒家西幼稚園")</f>
        <v>三軒家西幼稚園</v>
      </c>
      <c r="C1522" s="14" t="s">
        <v>1529</v>
      </c>
      <c r="D1522" s="14" t="s">
        <v>501</v>
      </c>
      <c r="E1522" s="1">
        <v>1075.17</v>
      </c>
      <c r="F1522" s="2"/>
      <c r="G1522" s="1">
        <v>927.09</v>
      </c>
      <c r="H1522" s="3"/>
      <c r="I1522" s="14" t="s">
        <v>5617</v>
      </c>
    </row>
    <row r="1523" spans="1:9" ht="18.75" customHeight="1" x14ac:dyDescent="0.4">
      <c r="A1523" s="14" t="s">
        <v>2031</v>
      </c>
      <c r="B1523" s="16" t="str">
        <f>TRIM("三軒家西会館")</f>
        <v>三軒家西会館</v>
      </c>
      <c r="C1523" s="14" t="s">
        <v>1529</v>
      </c>
      <c r="D1523" s="14" t="s">
        <v>501</v>
      </c>
      <c r="E1523" s="1">
        <v>143.47</v>
      </c>
      <c r="F1523" s="2"/>
      <c r="G1523" s="1"/>
      <c r="H1523" s="3"/>
      <c r="I1523" s="14" t="s">
        <v>2032</v>
      </c>
    </row>
    <row r="1524" spans="1:9" ht="18.75" customHeight="1" x14ac:dyDescent="0.4">
      <c r="A1524" s="14" t="s">
        <v>2637</v>
      </c>
      <c r="B1524" s="16" t="str">
        <f>TRIM("　岩崎橋公園")</f>
        <v>岩崎橋公園</v>
      </c>
      <c r="C1524" s="14" t="s">
        <v>1529</v>
      </c>
      <c r="D1524" s="14" t="s">
        <v>501</v>
      </c>
      <c r="E1524" s="1">
        <v>823.34</v>
      </c>
      <c r="F1524" s="2"/>
      <c r="G1524" s="1"/>
      <c r="H1524" s="3"/>
      <c r="I1524" s="14" t="s">
        <v>2177</v>
      </c>
    </row>
    <row r="1525" spans="1:9" ht="18.75" customHeight="1" x14ac:dyDescent="0.4">
      <c r="A1525" s="14" t="s">
        <v>3887</v>
      </c>
      <c r="B1525" s="16" t="str">
        <f>TRIM("大正駅西自転車駐車場管理事務所")</f>
        <v>大正駅西自転車駐車場管理事務所</v>
      </c>
      <c r="C1525" s="14" t="s">
        <v>1529</v>
      </c>
      <c r="D1525" s="14" t="s">
        <v>501</v>
      </c>
      <c r="E1525" s="1"/>
      <c r="F1525" s="2"/>
      <c r="G1525" s="1">
        <v>13.39</v>
      </c>
      <c r="H1525" s="3"/>
      <c r="I1525" s="14" t="s">
        <v>2177</v>
      </c>
    </row>
    <row r="1526" spans="1:9" ht="18.75" customHeight="1" x14ac:dyDescent="0.4">
      <c r="A1526" s="14" t="s">
        <v>3969</v>
      </c>
      <c r="B1526" s="16" t="str">
        <f>TRIM("大正駅自転車駐車場  ")</f>
        <v>大正駅自転車駐車場</v>
      </c>
      <c r="C1526" s="14" t="s">
        <v>1529</v>
      </c>
      <c r="D1526" s="14" t="s">
        <v>501</v>
      </c>
      <c r="E1526" s="1"/>
      <c r="F1526" s="2"/>
      <c r="G1526" s="1">
        <v>720.39</v>
      </c>
      <c r="H1526" s="3"/>
      <c r="I1526" s="14" t="s">
        <v>2177</v>
      </c>
    </row>
    <row r="1527" spans="1:9" ht="18.75" customHeight="1" x14ac:dyDescent="0.4">
      <c r="A1527" s="14" t="s">
        <v>4022</v>
      </c>
      <c r="B1527" s="16" t="str">
        <f>TRIM("下水道用地（大正）")</f>
        <v>下水道用地（大正）</v>
      </c>
      <c r="C1527" s="14" t="s">
        <v>1529</v>
      </c>
      <c r="D1527" s="14" t="s">
        <v>501</v>
      </c>
      <c r="E1527" s="1">
        <v>4300.3900000000003</v>
      </c>
      <c r="F1527" s="2"/>
      <c r="G1527" s="1"/>
      <c r="H1527" s="3"/>
      <c r="I1527" s="14" t="s">
        <v>2177</v>
      </c>
    </row>
    <row r="1528" spans="1:9" ht="18.75" customHeight="1" x14ac:dyDescent="0.4">
      <c r="A1528" s="14" t="s">
        <v>5769</v>
      </c>
      <c r="B1528" s="16" t="str">
        <f>TRIM("大正ゆめの樹保育園")</f>
        <v>大正ゆめの樹保育園</v>
      </c>
      <c r="C1528" s="14" t="s">
        <v>1529</v>
      </c>
      <c r="D1528" s="14" t="s">
        <v>501</v>
      </c>
      <c r="E1528" s="1">
        <v>635.72</v>
      </c>
      <c r="F1528" s="2"/>
      <c r="G1528" s="1"/>
      <c r="H1528" s="3"/>
      <c r="I1528" s="14" t="s">
        <v>5617</v>
      </c>
    </row>
    <row r="1529" spans="1:9" ht="18.75" customHeight="1" x14ac:dyDescent="0.4">
      <c r="A1529" s="14" t="s">
        <v>5542</v>
      </c>
      <c r="B1529" s="16" t="str">
        <f>TRIM("廃道（大正）")</f>
        <v>廃道（大正）</v>
      </c>
      <c r="C1529" s="14" t="s">
        <v>1529</v>
      </c>
      <c r="D1529" s="14" t="s">
        <v>261</v>
      </c>
      <c r="E1529" s="1">
        <v>1.81</v>
      </c>
      <c r="F1529" s="2"/>
      <c r="G1529" s="1"/>
      <c r="H1529" s="3"/>
      <c r="I1529" s="14" t="s">
        <v>5349</v>
      </c>
    </row>
    <row r="1530" spans="1:9" ht="18.75" customHeight="1" x14ac:dyDescent="0.4">
      <c r="A1530" s="14" t="s">
        <v>2992</v>
      </c>
      <c r="B1530" s="16" t="str">
        <f>TRIM("　大正橋公園")</f>
        <v>大正橋公園</v>
      </c>
      <c r="C1530" s="14" t="s">
        <v>1529</v>
      </c>
      <c r="D1530" s="14" t="s">
        <v>167</v>
      </c>
      <c r="E1530" s="1">
        <v>1528.69</v>
      </c>
      <c r="F1530" s="2"/>
      <c r="G1530" s="1"/>
      <c r="H1530" s="3"/>
      <c r="I1530" s="14" t="s">
        <v>2177</v>
      </c>
    </row>
    <row r="1531" spans="1:9" ht="18.75" customHeight="1" x14ac:dyDescent="0.4">
      <c r="A1531" s="14" t="s">
        <v>3750</v>
      </c>
      <c r="B1531" s="16" t="str">
        <f>TRIM("（地）大正駅自転車駐車場")</f>
        <v>（地）大正駅自転車駐車場</v>
      </c>
      <c r="C1531" s="14" t="s">
        <v>1529</v>
      </c>
      <c r="D1531" s="14" t="s">
        <v>167</v>
      </c>
      <c r="E1531" s="1"/>
      <c r="F1531" s="2"/>
      <c r="G1531" s="1">
        <v>927</v>
      </c>
      <c r="H1531" s="3"/>
      <c r="I1531" s="14" t="s">
        <v>2177</v>
      </c>
    </row>
    <row r="1532" spans="1:9" ht="18.75" customHeight="1" x14ac:dyDescent="0.4">
      <c r="A1532" s="14" t="s">
        <v>3769</v>
      </c>
      <c r="B1532" s="16" t="str">
        <f>TRIM("もと大正駅東自転車駐車場")</f>
        <v>もと大正駅東自転車駐車場</v>
      </c>
      <c r="C1532" s="14" t="s">
        <v>1529</v>
      </c>
      <c r="D1532" s="14" t="s">
        <v>167</v>
      </c>
      <c r="E1532" s="1">
        <v>53</v>
      </c>
      <c r="F1532" s="2"/>
      <c r="G1532" s="1"/>
      <c r="H1532" s="3"/>
      <c r="I1532" s="14" t="s">
        <v>2177</v>
      </c>
    </row>
    <row r="1533" spans="1:9" ht="18.75" customHeight="1" x14ac:dyDescent="0.4">
      <c r="A1533" s="14" t="s">
        <v>3886</v>
      </c>
      <c r="B1533" s="16" t="str">
        <f>TRIM("大正駅自転車駐車場管理ボックス")</f>
        <v>大正駅自転車駐車場管理ボックス</v>
      </c>
      <c r="C1533" s="14" t="s">
        <v>1529</v>
      </c>
      <c r="D1533" s="14" t="s">
        <v>167</v>
      </c>
      <c r="E1533" s="1"/>
      <c r="F1533" s="2"/>
      <c r="G1533" s="1">
        <v>2.5</v>
      </c>
      <c r="H1533" s="3"/>
      <c r="I1533" s="14" t="s">
        <v>2177</v>
      </c>
    </row>
    <row r="1534" spans="1:9" ht="18.75" customHeight="1" x14ac:dyDescent="0.4">
      <c r="A1534" s="14" t="s">
        <v>3888</v>
      </c>
      <c r="B1534" s="16" t="str">
        <f>TRIM("大正駅東自転車駐車場")</f>
        <v>大正駅東自転車駐車場</v>
      </c>
      <c r="C1534" s="14" t="s">
        <v>1529</v>
      </c>
      <c r="D1534" s="14" t="s">
        <v>167</v>
      </c>
      <c r="E1534" s="1">
        <v>303.87</v>
      </c>
      <c r="F1534" s="2"/>
      <c r="G1534" s="1"/>
      <c r="H1534" s="3"/>
      <c r="I1534" s="14" t="s">
        <v>2177</v>
      </c>
    </row>
    <row r="1535" spans="1:9" ht="18.75" customHeight="1" x14ac:dyDescent="0.4">
      <c r="A1535" s="14" t="s">
        <v>3889</v>
      </c>
      <c r="B1535" s="16" t="str">
        <f>TRIM("大正駅東自転車駐車場管理事務所")</f>
        <v>大正駅東自転車駐車場管理事務所</v>
      </c>
      <c r="C1535" s="14" t="s">
        <v>1529</v>
      </c>
      <c r="D1535" s="14" t="s">
        <v>167</v>
      </c>
      <c r="E1535" s="1"/>
      <c r="F1535" s="2"/>
      <c r="G1535" s="1">
        <v>13.39</v>
      </c>
      <c r="H1535" s="3"/>
      <c r="I1535" s="14" t="s">
        <v>2177</v>
      </c>
    </row>
    <row r="1536" spans="1:9" ht="18.75" customHeight="1" x14ac:dyDescent="0.4">
      <c r="A1536" s="14" t="s">
        <v>5411</v>
      </c>
      <c r="B1536" s="16" t="str">
        <f>TRIM("もと大正橋派出所")</f>
        <v>もと大正橋派出所</v>
      </c>
      <c r="C1536" s="14" t="s">
        <v>1529</v>
      </c>
      <c r="D1536" s="14" t="s">
        <v>167</v>
      </c>
      <c r="E1536" s="1">
        <v>30.74</v>
      </c>
      <c r="F1536" s="2"/>
      <c r="G1536" s="1"/>
      <c r="H1536" s="3"/>
      <c r="I1536" s="14" t="s">
        <v>5349</v>
      </c>
    </row>
    <row r="1537" spans="1:9" ht="18.75" customHeight="1" x14ac:dyDescent="0.4">
      <c r="A1537" s="14" t="s">
        <v>5459</v>
      </c>
      <c r="B1537" s="16" t="str">
        <f>TRIM("過小地（疎開跡地）")</f>
        <v>過小地（疎開跡地）</v>
      </c>
      <c r="C1537" s="14" t="s">
        <v>1529</v>
      </c>
      <c r="D1537" s="14" t="s">
        <v>167</v>
      </c>
      <c r="E1537" s="1">
        <v>34.380000000000003</v>
      </c>
      <c r="F1537" s="2"/>
      <c r="G1537" s="1"/>
      <c r="H1537" s="3"/>
      <c r="I1537" s="14" t="s">
        <v>5349</v>
      </c>
    </row>
    <row r="1538" spans="1:9" ht="18.75" customHeight="1" x14ac:dyDescent="0.4">
      <c r="A1538" s="14" t="s">
        <v>5476</v>
      </c>
      <c r="B1538" s="16" t="str">
        <f>TRIM("契約管財局賃貸地（大正・大正駅前地区）")</f>
        <v>契約管財局賃貸地（大正・大正駅前地区）</v>
      </c>
      <c r="C1538" s="14" t="s">
        <v>1529</v>
      </c>
      <c r="D1538" s="14" t="s">
        <v>167</v>
      </c>
      <c r="E1538" s="1">
        <v>682.07</v>
      </c>
      <c r="F1538" s="2"/>
      <c r="G1538" s="1"/>
      <c r="H1538" s="3"/>
      <c r="I1538" s="14" t="s">
        <v>5349</v>
      </c>
    </row>
    <row r="1539" spans="1:9" ht="18.75" customHeight="1" x14ac:dyDescent="0.4">
      <c r="A1539" s="14" t="s">
        <v>5613</v>
      </c>
      <c r="B1539" s="16" t="str">
        <f>TRIM("もと契約管財局賃貸地（大正・大正駅前地区）")</f>
        <v>もと契約管財局賃貸地（大正・大正駅前地区）</v>
      </c>
      <c r="C1539" s="14" t="s">
        <v>1529</v>
      </c>
      <c r="D1539" s="14" t="s">
        <v>167</v>
      </c>
      <c r="E1539" s="1">
        <v>196.33</v>
      </c>
      <c r="F1539" s="2"/>
      <c r="G1539" s="1"/>
      <c r="H1539" s="3"/>
      <c r="I1539" s="14" t="s">
        <v>5349</v>
      </c>
    </row>
    <row r="1540" spans="1:9" ht="18.75" customHeight="1" x14ac:dyDescent="0.4">
      <c r="A1540" s="14" t="s">
        <v>6028</v>
      </c>
      <c r="B1540" s="16" t="str">
        <f>TRIM("大正区内公衆便所")</f>
        <v>大正区内公衆便所</v>
      </c>
      <c r="C1540" s="14" t="s">
        <v>1529</v>
      </c>
      <c r="D1540" s="14" t="s">
        <v>167</v>
      </c>
      <c r="E1540" s="1"/>
      <c r="F1540" s="2"/>
      <c r="G1540" s="1">
        <v>12.8</v>
      </c>
      <c r="H1540" s="3"/>
      <c r="I1540" s="14" t="s">
        <v>5977</v>
      </c>
    </row>
    <row r="1541" spans="1:9" ht="18.75" customHeight="1" x14ac:dyDescent="0.4">
      <c r="A1541" s="14" t="s">
        <v>4829</v>
      </c>
      <c r="B1541" s="16" t="str">
        <f>TRIM("三軒家東小学校")</f>
        <v>三軒家東小学校</v>
      </c>
      <c r="C1541" s="14" t="s">
        <v>1529</v>
      </c>
      <c r="D1541" s="14" t="s">
        <v>476</v>
      </c>
      <c r="E1541" s="1">
        <v>11605.4</v>
      </c>
      <c r="F1541" s="2"/>
      <c r="G1541" s="1">
        <v>7872.54</v>
      </c>
      <c r="H1541" s="3"/>
      <c r="I1541" s="14" t="s">
        <v>4689</v>
      </c>
    </row>
    <row r="1542" spans="1:9" ht="18.75" customHeight="1" x14ac:dyDescent="0.4">
      <c r="A1542" s="14" t="s">
        <v>6492</v>
      </c>
      <c r="B1542" s="16" t="str">
        <f>TRIM("大浪住宅")</f>
        <v>大浪住宅</v>
      </c>
      <c r="C1542" s="14" t="s">
        <v>1529</v>
      </c>
      <c r="D1542" s="14" t="s">
        <v>476</v>
      </c>
      <c r="E1542" s="1">
        <v>8143.69</v>
      </c>
      <c r="F1542" s="2"/>
      <c r="G1542" s="1">
        <v>6017.66</v>
      </c>
      <c r="H1542" s="3"/>
      <c r="I1542" s="14" t="s">
        <v>6177</v>
      </c>
    </row>
    <row r="1543" spans="1:9" ht="18.75" customHeight="1" x14ac:dyDescent="0.4">
      <c r="A1543" s="14" t="s">
        <v>6992</v>
      </c>
      <c r="B1543" s="16" t="str">
        <f>TRIM("　大正車庫")</f>
        <v>大正車庫</v>
      </c>
      <c r="C1543" s="14" t="s">
        <v>1529</v>
      </c>
      <c r="D1543" s="14" t="s">
        <v>476</v>
      </c>
      <c r="E1543" s="1">
        <v>1286.3900000000001</v>
      </c>
      <c r="F1543" s="2"/>
      <c r="G1543" s="1">
        <v>749.69</v>
      </c>
      <c r="H1543" s="3"/>
      <c r="I1543" s="14" t="s">
        <v>2402</v>
      </c>
    </row>
    <row r="1544" spans="1:9" ht="18.75" customHeight="1" x14ac:dyDescent="0.4">
      <c r="A1544" s="14" t="s">
        <v>2033</v>
      </c>
      <c r="B1544" s="16" t="str">
        <f>TRIM("三軒家東福祉会館")</f>
        <v>三軒家東福祉会館</v>
      </c>
      <c r="C1544" s="14" t="s">
        <v>1529</v>
      </c>
      <c r="D1544" s="14" t="s">
        <v>476</v>
      </c>
      <c r="E1544" s="1">
        <v>309.83</v>
      </c>
      <c r="F1544" s="2"/>
      <c r="G1544" s="1"/>
      <c r="H1544" s="3"/>
      <c r="I1544" s="14" t="s">
        <v>2032</v>
      </c>
    </row>
    <row r="1545" spans="1:9" ht="18.75" customHeight="1" x14ac:dyDescent="0.4">
      <c r="A1545" s="14" t="s">
        <v>2746</v>
      </c>
      <c r="B1545" s="16" t="str">
        <f>TRIM("　三軒家公園")</f>
        <v>三軒家公園</v>
      </c>
      <c r="C1545" s="14" t="s">
        <v>1529</v>
      </c>
      <c r="D1545" s="14" t="s">
        <v>476</v>
      </c>
      <c r="E1545" s="1">
        <v>14549.71</v>
      </c>
      <c r="F1545" s="2"/>
      <c r="G1545" s="1"/>
      <c r="H1545" s="3"/>
      <c r="I1545" s="14" t="s">
        <v>2177</v>
      </c>
    </row>
    <row r="1546" spans="1:9" ht="18.75" customHeight="1" x14ac:dyDescent="0.4">
      <c r="A1546" s="14" t="s">
        <v>5892</v>
      </c>
      <c r="B1546" s="16" t="str">
        <f>TRIM("大浪保育所")</f>
        <v>大浪保育所</v>
      </c>
      <c r="C1546" s="14" t="s">
        <v>1529</v>
      </c>
      <c r="D1546" s="14" t="s">
        <v>476</v>
      </c>
      <c r="E1546" s="1"/>
      <c r="F1546" s="2"/>
      <c r="G1546" s="1">
        <v>411.52</v>
      </c>
      <c r="H1546" s="3"/>
      <c r="I1546" s="14" t="s">
        <v>5617</v>
      </c>
    </row>
    <row r="1547" spans="1:9" ht="18.75" customHeight="1" x14ac:dyDescent="0.4">
      <c r="A1547" s="14" t="s">
        <v>6810</v>
      </c>
      <c r="B1547" s="16" t="str">
        <f>TRIM("肩替地（三軒家）")</f>
        <v>肩替地（三軒家）</v>
      </c>
      <c r="C1547" s="14" t="s">
        <v>1529</v>
      </c>
      <c r="D1547" s="14" t="s">
        <v>476</v>
      </c>
      <c r="E1547" s="1">
        <v>55.2</v>
      </c>
      <c r="F1547" s="2"/>
      <c r="G1547" s="1"/>
      <c r="H1547" s="3"/>
      <c r="I1547" s="14" t="s">
        <v>6177</v>
      </c>
    </row>
    <row r="1548" spans="1:9" ht="18.75" customHeight="1" x14ac:dyDescent="0.4">
      <c r="A1548" s="14" t="s">
        <v>6846</v>
      </c>
      <c r="B1548" s="16" t="str">
        <f>TRIM("区画整理事業用地（三軒家工区・三軒家東）")</f>
        <v>区画整理事業用地（三軒家工区・三軒家東）</v>
      </c>
      <c r="C1548" s="14" t="s">
        <v>1529</v>
      </c>
      <c r="D1548" s="14" t="s">
        <v>476</v>
      </c>
      <c r="E1548" s="1">
        <v>101.37</v>
      </c>
      <c r="F1548" s="2"/>
      <c r="G1548" s="1"/>
      <c r="H1548" s="3"/>
      <c r="I1548" s="14" t="s">
        <v>6177</v>
      </c>
    </row>
    <row r="1549" spans="1:9" ht="18.75" customHeight="1" x14ac:dyDescent="0.4">
      <c r="A1549" s="14" t="s">
        <v>4094</v>
      </c>
      <c r="B1549" s="16" t="str">
        <f>TRIM("難波島抽水所")</f>
        <v>難波島抽水所</v>
      </c>
      <c r="C1549" s="14" t="s">
        <v>1529</v>
      </c>
      <c r="D1549" s="14" t="s">
        <v>1334</v>
      </c>
      <c r="E1549" s="1">
        <v>2331.89</v>
      </c>
      <c r="F1549" s="2"/>
      <c r="G1549" s="1">
        <v>386.7</v>
      </c>
      <c r="H1549" s="3"/>
      <c r="I1549" s="14" t="s">
        <v>2177</v>
      </c>
    </row>
    <row r="1550" spans="1:9" ht="18.75" customHeight="1" x14ac:dyDescent="0.4">
      <c r="A1550" s="14" t="s">
        <v>5310</v>
      </c>
      <c r="B1550" s="16" t="str">
        <f>TRIM("防火水槽用地（大正）")</f>
        <v>防火水槽用地（大正）</v>
      </c>
      <c r="C1550" s="14" t="s">
        <v>1529</v>
      </c>
      <c r="D1550" s="14" t="s">
        <v>1334</v>
      </c>
      <c r="E1550" s="1">
        <v>74</v>
      </c>
      <c r="F1550" s="2"/>
      <c r="G1550" s="1"/>
      <c r="H1550" s="3"/>
      <c r="I1550" s="14" t="s">
        <v>5219</v>
      </c>
    </row>
    <row r="1551" spans="1:9" ht="18.75" customHeight="1" x14ac:dyDescent="0.4">
      <c r="A1551" s="18"/>
      <c r="B1551" s="14" t="s">
        <v>7170</v>
      </c>
      <c r="C1551" s="14" t="s">
        <v>1529</v>
      </c>
      <c r="D1551" s="1" t="s">
        <v>1334</v>
      </c>
      <c r="E1551" s="2"/>
      <c r="F1551" s="11"/>
      <c r="G1551" s="1">
        <v>53</v>
      </c>
      <c r="H1551" s="1"/>
      <c r="I1551" s="1" t="s">
        <v>2177</v>
      </c>
    </row>
    <row r="1552" spans="1:9" ht="18.75" customHeight="1" x14ac:dyDescent="0.4">
      <c r="A1552" s="14" t="s">
        <v>4940</v>
      </c>
      <c r="B1552" s="16" t="str">
        <f>TRIM("大正東中学校")</f>
        <v>大正東中学校</v>
      </c>
      <c r="C1552" s="14" t="s">
        <v>1529</v>
      </c>
      <c r="D1552" s="14" t="s">
        <v>942</v>
      </c>
      <c r="E1552" s="1">
        <v>13566.86</v>
      </c>
      <c r="F1552" s="2"/>
      <c r="G1552" s="1">
        <v>7540.55</v>
      </c>
      <c r="H1552" s="3"/>
      <c r="I1552" s="14" t="s">
        <v>4689</v>
      </c>
    </row>
    <row r="1553" spans="1:9" ht="18.75" customHeight="1" x14ac:dyDescent="0.4">
      <c r="A1553" s="14" t="s">
        <v>2273</v>
      </c>
      <c r="B1553" s="16" t="str">
        <f>TRIM("大阪八尾線（大正）（管財課）")</f>
        <v>大阪八尾線（大正）（管財課）</v>
      </c>
      <c r="C1553" s="14" t="s">
        <v>1529</v>
      </c>
      <c r="D1553" s="14" t="s">
        <v>942</v>
      </c>
      <c r="E1553" s="1">
        <v>1849</v>
      </c>
      <c r="F1553" s="2"/>
      <c r="G1553" s="1"/>
      <c r="H1553" s="3"/>
      <c r="I1553" s="14" t="s">
        <v>2177</v>
      </c>
    </row>
    <row r="1554" spans="1:9" ht="18.75" customHeight="1" x14ac:dyDescent="0.4">
      <c r="A1554" s="14" t="s">
        <v>4923</v>
      </c>
      <c r="B1554" s="16" t="str">
        <f>TRIM("泉尾東小学校")</f>
        <v>泉尾東小学校</v>
      </c>
      <c r="C1554" s="14" t="s">
        <v>1529</v>
      </c>
      <c r="D1554" s="14" t="s">
        <v>1124</v>
      </c>
      <c r="E1554" s="1">
        <v>9501.74</v>
      </c>
      <c r="F1554" s="2"/>
      <c r="G1554" s="1">
        <v>6251.07</v>
      </c>
      <c r="H1554" s="3"/>
      <c r="I1554" s="14" t="s">
        <v>4689</v>
      </c>
    </row>
    <row r="1555" spans="1:9" ht="18.75" customHeight="1" x14ac:dyDescent="0.4">
      <c r="A1555" s="14" t="s">
        <v>2497</v>
      </c>
      <c r="B1555" s="16" t="str">
        <f>TRIM("防潮堤（大正）")</f>
        <v>防潮堤（大正）</v>
      </c>
      <c r="C1555" s="14" t="s">
        <v>1529</v>
      </c>
      <c r="D1555" s="14" t="s">
        <v>1124</v>
      </c>
      <c r="E1555" s="1">
        <v>2093.1799999999998</v>
      </c>
      <c r="F1555" s="2"/>
      <c r="G1555" s="1"/>
      <c r="H1555" s="3"/>
      <c r="I1555" s="14" t="s">
        <v>2177</v>
      </c>
    </row>
    <row r="1556" spans="1:9" ht="18.75" customHeight="1" x14ac:dyDescent="0.4">
      <c r="A1556" s="14" t="s">
        <v>2516</v>
      </c>
      <c r="B1556" s="16" t="str">
        <f>TRIM("落合上渡船場右岸待合所")</f>
        <v>落合上渡船場右岸待合所</v>
      </c>
      <c r="C1556" s="14" t="s">
        <v>1529</v>
      </c>
      <c r="D1556" s="14" t="s">
        <v>1124</v>
      </c>
      <c r="E1556" s="1"/>
      <c r="F1556" s="2"/>
      <c r="G1556" s="1">
        <v>58.51</v>
      </c>
      <c r="H1556" s="3"/>
      <c r="I1556" s="14" t="s">
        <v>2177</v>
      </c>
    </row>
    <row r="1557" spans="1:9" ht="18.75" customHeight="1" x14ac:dyDescent="0.4">
      <c r="A1557" s="14" t="s">
        <v>2964</v>
      </c>
      <c r="B1557" s="16" t="str">
        <f>TRIM("　泉尾上公園")</f>
        <v>泉尾上公園</v>
      </c>
      <c r="C1557" s="14" t="s">
        <v>1529</v>
      </c>
      <c r="D1557" s="14" t="s">
        <v>1124</v>
      </c>
      <c r="E1557" s="1">
        <v>2384</v>
      </c>
      <c r="F1557" s="2"/>
      <c r="G1557" s="1"/>
      <c r="H1557" s="3"/>
      <c r="I1557" s="14" t="s">
        <v>2177</v>
      </c>
    </row>
    <row r="1558" spans="1:9" ht="18.75" customHeight="1" x14ac:dyDescent="0.4">
      <c r="A1558" s="14" t="s">
        <v>3193</v>
      </c>
      <c r="B1558" s="16" t="str">
        <f>TRIM("　南泉尾公園")</f>
        <v>南泉尾公園</v>
      </c>
      <c r="C1558" s="14" t="s">
        <v>1529</v>
      </c>
      <c r="D1558" s="14" t="s">
        <v>1124</v>
      </c>
      <c r="E1558" s="1">
        <v>3475</v>
      </c>
      <c r="F1558" s="2"/>
      <c r="G1558" s="1"/>
      <c r="H1558" s="3"/>
      <c r="I1558" s="14" t="s">
        <v>2177</v>
      </c>
    </row>
    <row r="1559" spans="1:9" ht="18.75" customHeight="1" x14ac:dyDescent="0.4">
      <c r="A1559" s="14" t="s">
        <v>3457</v>
      </c>
      <c r="B1559" s="16" t="str">
        <f>TRIM("泉尾東公園")</f>
        <v>泉尾東公園</v>
      </c>
      <c r="C1559" s="14" t="s">
        <v>1529</v>
      </c>
      <c r="D1559" s="14" t="s">
        <v>1124</v>
      </c>
      <c r="E1559" s="1">
        <v>877.95</v>
      </c>
      <c r="F1559" s="2"/>
      <c r="G1559" s="1"/>
      <c r="H1559" s="3"/>
      <c r="I1559" s="14" t="s">
        <v>2177</v>
      </c>
    </row>
    <row r="1560" spans="1:9" ht="18.75" customHeight="1" x14ac:dyDescent="0.4">
      <c r="A1560" s="14" t="s">
        <v>4424</v>
      </c>
      <c r="B1560" s="16" t="str">
        <f>TRIM("大正区役所")</f>
        <v>大正区役所</v>
      </c>
      <c r="C1560" s="14" t="s">
        <v>1529</v>
      </c>
      <c r="D1560" s="14" t="s">
        <v>954</v>
      </c>
      <c r="E1560" s="1">
        <v>5013.6499999999996</v>
      </c>
      <c r="F1560" s="2"/>
      <c r="G1560" s="1">
        <v>6252.64</v>
      </c>
      <c r="H1560" s="3"/>
      <c r="I1560" s="14" t="s">
        <v>2032</v>
      </c>
    </row>
    <row r="1561" spans="1:9" ht="18.75" customHeight="1" x14ac:dyDescent="0.4">
      <c r="A1561" s="14" t="s">
        <v>4426</v>
      </c>
      <c r="B1561" s="16" t="str">
        <f>TRIM("大正会館")</f>
        <v>大正会館</v>
      </c>
      <c r="C1561" s="14" t="s">
        <v>1529</v>
      </c>
      <c r="D1561" s="14" t="s">
        <v>954</v>
      </c>
      <c r="E1561" s="1">
        <v>2661.62</v>
      </c>
      <c r="F1561" s="2"/>
      <c r="G1561" s="1">
        <v>1866.67</v>
      </c>
      <c r="H1561" s="3"/>
      <c r="I1561" s="14" t="s">
        <v>2032</v>
      </c>
    </row>
    <row r="1562" spans="1:9" ht="18.75" customHeight="1" x14ac:dyDescent="0.4">
      <c r="A1562" s="14" t="s">
        <v>2074</v>
      </c>
      <c r="B1562" s="16" t="str">
        <f>TRIM("泉尾東福祉会館")</f>
        <v>泉尾東福祉会館</v>
      </c>
      <c r="C1562" s="14" t="s">
        <v>1529</v>
      </c>
      <c r="D1562" s="14" t="s">
        <v>954</v>
      </c>
      <c r="E1562" s="1">
        <v>270.54000000000002</v>
      </c>
      <c r="F1562" s="2"/>
      <c r="G1562" s="1"/>
      <c r="H1562" s="3"/>
      <c r="I1562" s="14" t="s">
        <v>2032</v>
      </c>
    </row>
    <row r="1563" spans="1:9" ht="18.75" customHeight="1" x14ac:dyDescent="0.4">
      <c r="A1563" s="14" t="s">
        <v>2305</v>
      </c>
      <c r="B1563" s="16" t="str">
        <f>TRIM("道路（大正）（管財課）")</f>
        <v>道路（大正）（管財課）</v>
      </c>
      <c r="C1563" s="14" t="s">
        <v>1529</v>
      </c>
      <c r="D1563" s="14" t="s">
        <v>954</v>
      </c>
      <c r="E1563" s="1">
        <v>1065162.8</v>
      </c>
      <c r="F1563" s="2"/>
      <c r="G1563" s="1"/>
      <c r="H1563" s="3"/>
      <c r="I1563" s="14" t="s">
        <v>2177</v>
      </c>
    </row>
    <row r="1564" spans="1:9" ht="18.75" customHeight="1" x14ac:dyDescent="0.4">
      <c r="A1564" s="14" t="s">
        <v>2954</v>
      </c>
      <c r="B1564" s="16" t="str">
        <f>TRIM("　千島公園")</f>
        <v>千島公園</v>
      </c>
      <c r="C1564" s="14" t="s">
        <v>1529</v>
      </c>
      <c r="D1564" s="14" t="s">
        <v>954</v>
      </c>
      <c r="E1564" s="1">
        <v>111970.77</v>
      </c>
      <c r="F1564" s="2"/>
      <c r="G1564" s="1"/>
      <c r="H1564" s="3"/>
      <c r="I1564" s="14" t="s">
        <v>2177</v>
      </c>
    </row>
    <row r="1565" spans="1:9" ht="18.75" customHeight="1" x14ac:dyDescent="0.4">
      <c r="A1565" s="14" t="s">
        <v>3602</v>
      </c>
      <c r="B1565" s="16" t="str">
        <f>TRIM("　千島公園")</f>
        <v>千島公園</v>
      </c>
      <c r="C1565" s="14" t="s">
        <v>1529</v>
      </c>
      <c r="D1565" s="14" t="s">
        <v>954</v>
      </c>
      <c r="E1565" s="1"/>
      <c r="F1565" s="2"/>
      <c r="G1565" s="1">
        <v>483.94</v>
      </c>
      <c r="H1565" s="3"/>
      <c r="I1565" s="14" t="s">
        <v>2177</v>
      </c>
    </row>
    <row r="1566" spans="1:9" ht="18.75" customHeight="1" x14ac:dyDescent="0.4">
      <c r="A1566" s="14" t="s">
        <v>4425</v>
      </c>
      <c r="B1566" s="16" t="str">
        <f>TRIM("大正区保健福祉センター")</f>
        <v>大正区保健福祉センター</v>
      </c>
      <c r="C1566" s="14" t="s">
        <v>1529</v>
      </c>
      <c r="D1566" s="14" t="s">
        <v>954</v>
      </c>
      <c r="E1566" s="1"/>
      <c r="F1566" s="2"/>
      <c r="G1566" s="1">
        <v>1211.8499999999999</v>
      </c>
      <c r="H1566" s="3"/>
      <c r="I1566" s="14" t="s">
        <v>2032</v>
      </c>
    </row>
    <row r="1567" spans="1:9" ht="18.75" customHeight="1" x14ac:dyDescent="0.4">
      <c r="A1567" s="14" t="s">
        <v>5196</v>
      </c>
      <c r="B1567" s="16" t="str">
        <f>TRIM("大正図書館")</f>
        <v>大正図書館</v>
      </c>
      <c r="C1567" s="14" t="s">
        <v>1529</v>
      </c>
      <c r="D1567" s="14" t="s">
        <v>954</v>
      </c>
      <c r="E1567" s="1"/>
      <c r="F1567" s="2"/>
      <c r="G1567" s="1">
        <v>644.44000000000005</v>
      </c>
      <c r="H1567" s="3"/>
      <c r="I1567" s="14" t="s">
        <v>4689</v>
      </c>
    </row>
    <row r="1568" spans="1:9" ht="18.75" customHeight="1" x14ac:dyDescent="0.4">
      <c r="A1568" s="14" t="s">
        <v>5883</v>
      </c>
      <c r="B1568" s="16" t="str">
        <f>TRIM("千島保育所")</f>
        <v>千島保育所</v>
      </c>
      <c r="C1568" s="14" t="s">
        <v>1529</v>
      </c>
      <c r="D1568" s="14" t="s">
        <v>954</v>
      </c>
      <c r="E1568" s="1"/>
      <c r="F1568" s="2"/>
      <c r="G1568" s="1">
        <v>544.9</v>
      </c>
      <c r="H1568" s="3"/>
      <c r="I1568" s="14" t="s">
        <v>5617</v>
      </c>
    </row>
    <row r="1569" spans="1:9" ht="18.75" customHeight="1" x14ac:dyDescent="0.4">
      <c r="A1569" s="14" t="s">
        <v>7115</v>
      </c>
      <c r="B1569" s="16" t="str">
        <f>TRIM("千島体育館")</f>
        <v>千島体育館</v>
      </c>
      <c r="C1569" s="14" t="s">
        <v>1529</v>
      </c>
      <c r="D1569" s="14" t="s">
        <v>954</v>
      </c>
      <c r="E1569" s="1"/>
      <c r="F1569" s="2"/>
      <c r="G1569" s="1">
        <v>4068.86</v>
      </c>
      <c r="H1569" s="3"/>
      <c r="I1569" s="14" t="s">
        <v>4115</v>
      </c>
    </row>
    <row r="1570" spans="1:9" ht="18.75" customHeight="1" x14ac:dyDescent="0.4">
      <c r="A1570" s="14" t="s">
        <v>6463</v>
      </c>
      <c r="B1570" s="16" t="str">
        <f>TRIM("千島第2住宅")</f>
        <v>千島第2住宅</v>
      </c>
      <c r="C1570" s="14" t="s">
        <v>1529</v>
      </c>
      <c r="D1570" s="14" t="s">
        <v>528</v>
      </c>
      <c r="E1570" s="1">
        <v>8500.5400000000009</v>
      </c>
      <c r="F1570" s="2"/>
      <c r="G1570" s="1">
        <v>11112.95</v>
      </c>
      <c r="H1570" s="3"/>
      <c r="I1570" s="14" t="s">
        <v>6177</v>
      </c>
    </row>
    <row r="1571" spans="1:9" ht="18.75" customHeight="1" x14ac:dyDescent="0.4">
      <c r="A1571" s="14" t="s">
        <v>2957</v>
      </c>
      <c r="B1571" s="16" t="str">
        <f>TRIM("　千林橋公園")</f>
        <v>千林橋公園</v>
      </c>
      <c r="C1571" s="14" t="s">
        <v>1529</v>
      </c>
      <c r="D1571" s="14" t="s">
        <v>528</v>
      </c>
      <c r="E1571" s="1">
        <v>2116.3000000000002</v>
      </c>
      <c r="F1571" s="2"/>
      <c r="G1571" s="1"/>
      <c r="H1571" s="3"/>
      <c r="I1571" s="14" t="s">
        <v>2177</v>
      </c>
    </row>
    <row r="1572" spans="1:9" ht="18.75" customHeight="1" x14ac:dyDescent="0.4">
      <c r="A1572" s="14" t="s">
        <v>5829</v>
      </c>
      <c r="B1572" s="16" t="str">
        <f>TRIM("幼保連携型認定こども園ファミリーチシマ")</f>
        <v>幼保連携型認定こども園ファミリーチシマ</v>
      </c>
      <c r="C1572" s="14" t="s">
        <v>1529</v>
      </c>
      <c r="D1572" s="14" t="s">
        <v>528</v>
      </c>
      <c r="E1572" s="1">
        <v>2745.14</v>
      </c>
      <c r="F1572" s="2"/>
      <c r="G1572" s="1"/>
      <c r="H1572" s="3"/>
      <c r="I1572" s="14" t="s">
        <v>5617</v>
      </c>
    </row>
    <row r="1573" spans="1:9" ht="18.75" customHeight="1" x14ac:dyDescent="0.4">
      <c r="A1573" s="14" t="s">
        <v>6555</v>
      </c>
      <c r="B1573" s="16" t="str">
        <f>TRIM("鶴町第2住宅")</f>
        <v>鶴町第2住宅</v>
      </c>
      <c r="C1573" s="14" t="s">
        <v>1529</v>
      </c>
      <c r="D1573" s="14" t="s">
        <v>392</v>
      </c>
      <c r="E1573" s="1">
        <v>13807.66</v>
      </c>
      <c r="F1573" s="2">
        <v>2128</v>
      </c>
      <c r="G1573" s="1">
        <v>7228.61</v>
      </c>
      <c r="H1573" s="3"/>
      <c r="I1573" s="14" t="s">
        <v>6177</v>
      </c>
    </row>
    <row r="1574" spans="1:9" ht="18.75" customHeight="1" x14ac:dyDescent="0.4">
      <c r="A1574" s="14" t="s">
        <v>4137</v>
      </c>
      <c r="B1574" s="16" t="str">
        <f>TRIM("港湾局賃貸地（大正・一般）")</f>
        <v>港湾局賃貸地（大正・一般）</v>
      </c>
      <c r="C1574" s="14" t="s">
        <v>1529</v>
      </c>
      <c r="D1574" s="14" t="s">
        <v>392</v>
      </c>
      <c r="E1574" s="1">
        <v>550353.9</v>
      </c>
      <c r="F1574" s="2" t="s">
        <v>7317</v>
      </c>
      <c r="G1574" s="1"/>
      <c r="H1574" s="3"/>
      <c r="I1574" s="14" t="s">
        <v>4117</v>
      </c>
    </row>
    <row r="1575" spans="1:9" ht="18.75" customHeight="1" x14ac:dyDescent="0.4">
      <c r="A1575" s="14" t="s">
        <v>4084</v>
      </c>
      <c r="B1575" s="16" t="str">
        <f>TRIM("鶴町抽水所")</f>
        <v>鶴町抽水所</v>
      </c>
      <c r="C1575" s="14" t="s">
        <v>1529</v>
      </c>
      <c r="D1575" s="14" t="s">
        <v>392</v>
      </c>
      <c r="E1575" s="1">
        <v>2505.02</v>
      </c>
      <c r="F1575" s="2"/>
      <c r="G1575" s="1">
        <v>710.86</v>
      </c>
      <c r="H1575" s="3"/>
      <c r="I1575" s="14" t="s">
        <v>2177</v>
      </c>
    </row>
    <row r="1576" spans="1:9" ht="18.75" customHeight="1" x14ac:dyDescent="0.4">
      <c r="A1576" s="14" t="s">
        <v>6561</v>
      </c>
      <c r="B1576" s="16" t="str">
        <f>TRIM("鶴町第8住宅")</f>
        <v>鶴町第8住宅</v>
      </c>
      <c r="C1576" s="14" t="s">
        <v>1529</v>
      </c>
      <c r="D1576" s="14" t="s">
        <v>392</v>
      </c>
      <c r="E1576" s="1">
        <v>5419.63</v>
      </c>
      <c r="F1576" s="2"/>
      <c r="G1576" s="1">
        <v>7547.98</v>
      </c>
      <c r="H1576" s="3"/>
      <c r="I1576" s="14" t="s">
        <v>6177</v>
      </c>
    </row>
    <row r="1577" spans="1:9" ht="18.75" customHeight="1" x14ac:dyDescent="0.4">
      <c r="A1577" s="14" t="s">
        <v>1897</v>
      </c>
      <c r="B1577" s="16" t="str">
        <f>TRIM("大正西地域在宅サービスステーション")</f>
        <v>大正西地域在宅サービスステーション</v>
      </c>
      <c r="C1577" s="14" t="s">
        <v>1529</v>
      </c>
      <c r="D1577" s="14" t="s">
        <v>392</v>
      </c>
      <c r="E1577" s="1">
        <v>987.82</v>
      </c>
      <c r="F1577" s="2"/>
      <c r="G1577" s="1"/>
      <c r="H1577" s="3"/>
      <c r="I1577" s="14" t="s">
        <v>1654</v>
      </c>
    </row>
    <row r="1578" spans="1:9" ht="18.75" customHeight="1" x14ac:dyDescent="0.4">
      <c r="A1578" s="14" t="s">
        <v>2508</v>
      </c>
      <c r="B1578" s="16" t="str">
        <f>TRIM("船町渡船場右岸待合所")</f>
        <v>船町渡船場右岸待合所</v>
      </c>
      <c r="C1578" s="14" t="s">
        <v>1529</v>
      </c>
      <c r="D1578" s="14" t="s">
        <v>392</v>
      </c>
      <c r="E1578" s="1"/>
      <c r="F1578" s="2"/>
      <c r="G1578" s="1">
        <v>48.79</v>
      </c>
      <c r="H1578" s="3"/>
      <c r="I1578" s="14" t="s">
        <v>2177</v>
      </c>
    </row>
    <row r="1579" spans="1:9" ht="18.75" customHeight="1" x14ac:dyDescent="0.4">
      <c r="A1579" s="14" t="s">
        <v>3095</v>
      </c>
      <c r="B1579" s="16" t="str">
        <f>TRIM("　鶴町南公園")</f>
        <v>鶴町南公園</v>
      </c>
      <c r="C1579" s="14" t="s">
        <v>1529</v>
      </c>
      <c r="D1579" s="14" t="s">
        <v>392</v>
      </c>
      <c r="E1579" s="1">
        <v>17848.59</v>
      </c>
      <c r="F1579" s="2"/>
      <c r="G1579" s="1"/>
      <c r="H1579" s="3"/>
      <c r="I1579" s="14" t="s">
        <v>2177</v>
      </c>
    </row>
    <row r="1580" spans="1:9" ht="18.75" customHeight="1" x14ac:dyDescent="0.4">
      <c r="A1580" s="14" t="s">
        <v>3633</v>
      </c>
      <c r="B1580" s="16" t="str">
        <f>TRIM("　鶴町南公園")</f>
        <v>鶴町南公園</v>
      </c>
      <c r="C1580" s="14" t="s">
        <v>1529</v>
      </c>
      <c r="D1580" s="14" t="s">
        <v>392</v>
      </c>
      <c r="E1580" s="1"/>
      <c r="F1580" s="2"/>
      <c r="G1580" s="1">
        <v>19.2</v>
      </c>
      <c r="H1580" s="3"/>
      <c r="I1580" s="14" t="s">
        <v>2177</v>
      </c>
    </row>
    <row r="1581" spans="1:9" ht="18.75" customHeight="1" x14ac:dyDescent="0.4">
      <c r="A1581" s="14" t="s">
        <v>6775</v>
      </c>
      <c r="B1581" s="16" t="str">
        <f>TRIM("もと鶴町第２住宅")</f>
        <v>もと鶴町第２住宅</v>
      </c>
      <c r="C1581" s="14" t="s">
        <v>1529</v>
      </c>
      <c r="D1581" s="14" t="s">
        <v>392</v>
      </c>
      <c r="E1581" s="1"/>
      <c r="F1581" s="2"/>
      <c r="G1581" s="1">
        <v>3976.04</v>
      </c>
      <c r="H1581" s="3"/>
      <c r="I1581" s="14" t="s">
        <v>6177</v>
      </c>
    </row>
    <row r="1582" spans="1:9" ht="18.75" customHeight="1" x14ac:dyDescent="0.4">
      <c r="A1582" s="14" t="s">
        <v>5595</v>
      </c>
      <c r="B1582" s="16" t="str">
        <f>TRIM("もと鶴浜車庫用地")</f>
        <v>もと鶴浜車庫用地</v>
      </c>
      <c r="C1582" s="14" t="s">
        <v>1529</v>
      </c>
      <c r="D1582" s="14" t="s">
        <v>46</v>
      </c>
      <c r="E1582" s="1">
        <v>19374.27</v>
      </c>
      <c r="F1582" s="2">
        <v>969</v>
      </c>
      <c r="G1582" s="1"/>
      <c r="H1582" s="3"/>
      <c r="I1582" s="14" t="s">
        <v>4117</v>
      </c>
    </row>
    <row r="1583" spans="1:9" ht="18.75" customHeight="1" x14ac:dyDescent="0.4">
      <c r="A1583" s="14" t="s">
        <v>4118</v>
      </c>
      <c r="B1583" s="16" t="str">
        <f>TRIM("もと鶴町事務所")</f>
        <v>もと鶴町事務所</v>
      </c>
      <c r="C1583" s="14" t="s">
        <v>1529</v>
      </c>
      <c r="D1583" s="14" t="s">
        <v>46</v>
      </c>
      <c r="E1583" s="1">
        <v>8215.8799999999992</v>
      </c>
      <c r="F1583" s="2" t="s">
        <v>7273</v>
      </c>
      <c r="G1583" s="1"/>
      <c r="H1583" s="3"/>
      <c r="I1583" s="14" t="s">
        <v>4117</v>
      </c>
    </row>
    <row r="1584" spans="1:9" ht="18.75" customHeight="1" x14ac:dyDescent="0.4">
      <c r="A1584" s="14" t="s">
        <v>4248</v>
      </c>
      <c r="B1584" s="16" t="str">
        <f>TRIM("鶴町事務所")</f>
        <v>鶴町事務所</v>
      </c>
      <c r="C1584" s="14" t="s">
        <v>1529</v>
      </c>
      <c r="D1584" s="14" t="s">
        <v>46</v>
      </c>
      <c r="E1584" s="1">
        <v>21177.41</v>
      </c>
      <c r="F1584" s="2"/>
      <c r="G1584" s="1">
        <v>3092.91</v>
      </c>
      <c r="H1584" s="3"/>
      <c r="I1584" s="14" t="s">
        <v>4117</v>
      </c>
    </row>
    <row r="1585" spans="1:9" ht="18.75" customHeight="1" x14ac:dyDescent="0.4">
      <c r="A1585" s="14" t="s">
        <v>4998</v>
      </c>
      <c r="B1585" s="16" t="str">
        <f>TRIM("鶴町小学校")</f>
        <v>鶴町小学校</v>
      </c>
      <c r="C1585" s="14" t="s">
        <v>1529</v>
      </c>
      <c r="D1585" s="14" t="s">
        <v>46</v>
      </c>
      <c r="E1585" s="1">
        <v>9431.92</v>
      </c>
      <c r="F1585" s="2"/>
      <c r="G1585" s="1">
        <v>5711.69</v>
      </c>
      <c r="H1585" s="3"/>
      <c r="I1585" s="14" t="s">
        <v>4689</v>
      </c>
    </row>
    <row r="1586" spans="1:9" ht="18.75" customHeight="1" x14ac:dyDescent="0.4">
      <c r="A1586" s="14" t="s">
        <v>5159</v>
      </c>
      <c r="B1586" s="16" t="str">
        <f>TRIM("埋蔵文化財鶴浜収蔵倉庫")</f>
        <v>埋蔵文化財鶴浜収蔵倉庫</v>
      </c>
      <c r="C1586" s="14" t="s">
        <v>1529</v>
      </c>
      <c r="D1586" s="14" t="s">
        <v>46</v>
      </c>
      <c r="E1586" s="1">
        <v>9445.07</v>
      </c>
      <c r="F1586" s="2"/>
      <c r="G1586" s="1">
        <v>5463.38</v>
      </c>
      <c r="H1586" s="3"/>
      <c r="I1586" s="14" t="s">
        <v>4689</v>
      </c>
    </row>
    <row r="1587" spans="1:9" ht="18.75" customHeight="1" x14ac:dyDescent="0.4">
      <c r="A1587" s="14" t="s">
        <v>6560</v>
      </c>
      <c r="B1587" s="16" t="str">
        <f>TRIM("鶴町第7住宅")</f>
        <v>鶴町第7住宅</v>
      </c>
      <c r="C1587" s="14" t="s">
        <v>1529</v>
      </c>
      <c r="D1587" s="14" t="s">
        <v>46</v>
      </c>
      <c r="E1587" s="1">
        <v>2446.86</v>
      </c>
      <c r="F1587" s="2"/>
      <c r="G1587" s="1">
        <v>2604.12</v>
      </c>
      <c r="H1587" s="3"/>
      <c r="I1587" s="14" t="s">
        <v>6177</v>
      </c>
    </row>
    <row r="1588" spans="1:9" ht="18.75" customHeight="1" x14ac:dyDescent="0.4">
      <c r="A1588" s="14" t="s">
        <v>6562</v>
      </c>
      <c r="B1588" s="16" t="str">
        <f>TRIM("鶴町第9住宅")</f>
        <v>鶴町第9住宅</v>
      </c>
      <c r="C1588" s="14" t="s">
        <v>1529</v>
      </c>
      <c r="D1588" s="14" t="s">
        <v>46</v>
      </c>
      <c r="E1588" s="1">
        <v>4751.28</v>
      </c>
      <c r="F1588" s="2"/>
      <c r="G1588" s="1">
        <v>7326.44</v>
      </c>
      <c r="H1588" s="3"/>
      <c r="I1588" s="14" t="s">
        <v>6177</v>
      </c>
    </row>
    <row r="1589" spans="1:9" ht="18.75" customHeight="1" x14ac:dyDescent="0.4">
      <c r="A1589" s="14" t="s">
        <v>7063</v>
      </c>
      <c r="B1589" s="16" t="str">
        <f>TRIM("もと鶴町小売市場民営活性化事業施設")</f>
        <v>もと鶴町小売市場民営活性化事業施設</v>
      </c>
      <c r="C1589" s="14" t="s">
        <v>1529</v>
      </c>
      <c r="D1589" s="14" t="s">
        <v>46</v>
      </c>
      <c r="E1589" s="1">
        <v>1869.94</v>
      </c>
      <c r="F1589" s="2">
        <v>2177</v>
      </c>
      <c r="G1589" s="1">
        <v>1268.9100000000001</v>
      </c>
      <c r="H1589" s="3"/>
      <c r="I1589" s="14" t="s">
        <v>4115</v>
      </c>
    </row>
    <row r="1590" spans="1:9" ht="18.75" customHeight="1" x14ac:dyDescent="0.4">
      <c r="A1590" s="14" t="s">
        <v>2104</v>
      </c>
      <c r="B1590" s="16" t="str">
        <f>TRIM("鶴町福祉会館老人憩の家")</f>
        <v>鶴町福祉会館老人憩の家</v>
      </c>
      <c r="C1590" s="14" t="s">
        <v>1529</v>
      </c>
      <c r="D1590" s="14" t="s">
        <v>46</v>
      </c>
      <c r="E1590" s="1">
        <v>237.35</v>
      </c>
      <c r="F1590" s="2"/>
      <c r="G1590" s="1"/>
      <c r="H1590" s="3"/>
      <c r="I1590" s="14" t="s">
        <v>2032</v>
      </c>
    </row>
    <row r="1591" spans="1:9" ht="18.75" customHeight="1" x14ac:dyDescent="0.4">
      <c r="A1591" s="14" t="s">
        <v>3094</v>
      </c>
      <c r="B1591" s="16" t="str">
        <f>TRIM("　鶴町中央公園")</f>
        <v>鶴町中央公園</v>
      </c>
      <c r="C1591" s="14" t="s">
        <v>1529</v>
      </c>
      <c r="D1591" s="14" t="s">
        <v>46</v>
      </c>
      <c r="E1591" s="1">
        <v>7710.02</v>
      </c>
      <c r="F1591" s="2"/>
      <c r="G1591" s="1"/>
      <c r="H1591" s="3"/>
      <c r="I1591" s="14" t="s">
        <v>2177</v>
      </c>
    </row>
    <row r="1592" spans="1:9" ht="18.75" customHeight="1" x14ac:dyDescent="0.4">
      <c r="A1592" s="14" t="s">
        <v>3632</v>
      </c>
      <c r="B1592" s="16" t="str">
        <f>TRIM("　鶴町中央公園")</f>
        <v>鶴町中央公園</v>
      </c>
      <c r="C1592" s="14" t="s">
        <v>1529</v>
      </c>
      <c r="D1592" s="14" t="s">
        <v>46</v>
      </c>
      <c r="E1592" s="1"/>
      <c r="F1592" s="2"/>
      <c r="G1592" s="1">
        <v>19.2</v>
      </c>
      <c r="H1592" s="3"/>
      <c r="I1592" s="14" t="s">
        <v>2177</v>
      </c>
    </row>
    <row r="1593" spans="1:9" ht="18.75" customHeight="1" x14ac:dyDescent="0.4">
      <c r="A1593" s="14" t="s">
        <v>4243</v>
      </c>
      <c r="B1593" s="16" t="str">
        <f>TRIM("機械事務所")</f>
        <v>機械事務所</v>
      </c>
      <c r="C1593" s="14" t="s">
        <v>1529</v>
      </c>
      <c r="D1593" s="14" t="s">
        <v>46</v>
      </c>
      <c r="E1593" s="1"/>
      <c r="F1593" s="2"/>
      <c r="G1593" s="1">
        <v>2036.99</v>
      </c>
      <c r="H1593" s="3"/>
      <c r="I1593" s="14" t="s">
        <v>4117</v>
      </c>
    </row>
    <row r="1594" spans="1:9" ht="18.75" customHeight="1" x14ac:dyDescent="0.4">
      <c r="A1594" s="14" t="s">
        <v>4247</v>
      </c>
      <c r="B1594" s="16" t="str">
        <f>TRIM("鶴町基地施設保全事務所")</f>
        <v>鶴町基地施設保全事務所</v>
      </c>
      <c r="C1594" s="14" t="s">
        <v>1529</v>
      </c>
      <c r="D1594" s="14" t="s">
        <v>46</v>
      </c>
      <c r="E1594" s="1"/>
      <c r="F1594" s="2"/>
      <c r="G1594" s="1">
        <v>865.59</v>
      </c>
      <c r="H1594" s="3"/>
      <c r="I1594" s="14" t="s">
        <v>4117</v>
      </c>
    </row>
    <row r="1595" spans="1:9" ht="18.75" customHeight="1" x14ac:dyDescent="0.4">
      <c r="A1595" s="14" t="s">
        <v>4249</v>
      </c>
      <c r="B1595" s="16" t="str">
        <f>TRIM("鶴町地盤沈下観測所")</f>
        <v>鶴町地盤沈下観測所</v>
      </c>
      <c r="C1595" s="14" t="s">
        <v>1529</v>
      </c>
      <c r="D1595" s="14" t="s">
        <v>46</v>
      </c>
      <c r="E1595" s="1"/>
      <c r="F1595" s="2"/>
      <c r="G1595" s="1">
        <v>23.86</v>
      </c>
      <c r="H1595" s="3"/>
      <c r="I1595" s="14" t="s">
        <v>4117</v>
      </c>
    </row>
    <row r="1596" spans="1:9" ht="18.75" customHeight="1" x14ac:dyDescent="0.4">
      <c r="A1596" s="14" t="s">
        <v>4312</v>
      </c>
      <c r="B1596" s="16" t="str">
        <f>TRIM("鶴浜埋立地")</f>
        <v>鶴浜埋立地</v>
      </c>
      <c r="C1596" s="14" t="s">
        <v>1529</v>
      </c>
      <c r="D1596" s="14" t="s">
        <v>46</v>
      </c>
      <c r="E1596" s="1">
        <v>144082.51999999999</v>
      </c>
      <c r="F1596" s="2"/>
      <c r="G1596" s="12"/>
      <c r="H1596" s="3"/>
      <c r="I1596" s="14" t="s">
        <v>4117</v>
      </c>
    </row>
    <row r="1597" spans="1:9" ht="18.75" customHeight="1" x14ac:dyDescent="0.4">
      <c r="A1597" s="14" t="s">
        <v>5268</v>
      </c>
      <c r="B1597" s="16" t="str">
        <f>TRIM("大正消防署鶴町出張所")</f>
        <v>大正消防署鶴町出張所</v>
      </c>
      <c r="C1597" s="14" t="s">
        <v>1529</v>
      </c>
      <c r="D1597" s="14" t="s">
        <v>143</v>
      </c>
      <c r="E1597" s="1">
        <v>220.39</v>
      </c>
      <c r="F1597" s="2"/>
      <c r="G1597" s="1">
        <v>441.91</v>
      </c>
      <c r="H1597" s="3"/>
      <c r="I1597" s="14" t="s">
        <v>5219</v>
      </c>
    </row>
    <row r="1598" spans="1:9" ht="18.75" customHeight="1" x14ac:dyDescent="0.4">
      <c r="A1598" s="14" t="s">
        <v>6556</v>
      </c>
      <c r="B1598" s="16" t="str">
        <f>TRIM("鶴町第3住宅")</f>
        <v>鶴町第3住宅</v>
      </c>
      <c r="C1598" s="14" t="s">
        <v>1529</v>
      </c>
      <c r="D1598" s="14" t="s">
        <v>143</v>
      </c>
      <c r="E1598" s="1">
        <v>8909.2199999999993</v>
      </c>
      <c r="F1598" s="2"/>
      <c r="G1598" s="1">
        <v>11681.33</v>
      </c>
      <c r="H1598" s="3"/>
      <c r="I1598" s="14" t="s">
        <v>6177</v>
      </c>
    </row>
    <row r="1599" spans="1:9" ht="18.75" customHeight="1" x14ac:dyDescent="0.4">
      <c r="A1599" s="14" t="s">
        <v>6558</v>
      </c>
      <c r="B1599" s="16" t="str">
        <f>TRIM("鶴町第5住宅")</f>
        <v>鶴町第5住宅</v>
      </c>
      <c r="C1599" s="14" t="s">
        <v>1529</v>
      </c>
      <c r="D1599" s="14" t="s">
        <v>143</v>
      </c>
      <c r="E1599" s="1">
        <v>7724.23</v>
      </c>
      <c r="F1599" s="2"/>
      <c r="G1599" s="1">
        <v>11065</v>
      </c>
      <c r="H1599" s="3"/>
      <c r="I1599" s="14" t="s">
        <v>6177</v>
      </c>
    </row>
    <row r="1600" spans="1:9" ht="18.75" customHeight="1" x14ac:dyDescent="0.4">
      <c r="A1600" s="14" t="s">
        <v>2103</v>
      </c>
      <c r="B1600" s="16" t="str">
        <f>TRIM("鶴町第2福祉会館・老人憩の家")</f>
        <v>鶴町第2福祉会館・老人憩の家</v>
      </c>
      <c r="C1600" s="14" t="s">
        <v>1529</v>
      </c>
      <c r="D1600" s="14" t="s">
        <v>143</v>
      </c>
      <c r="E1600" s="1">
        <v>313.43</v>
      </c>
      <c r="F1600" s="2"/>
      <c r="G1600" s="1"/>
      <c r="H1600" s="3"/>
      <c r="I1600" s="14" t="s">
        <v>2032</v>
      </c>
    </row>
    <row r="1601" spans="1:9" ht="18.75" customHeight="1" x14ac:dyDescent="0.4">
      <c r="A1601" s="14" t="s">
        <v>4116</v>
      </c>
      <c r="B1601" s="16" t="str">
        <f>TRIM("もと護岸敷（大正）")</f>
        <v>もと護岸敷（大正）</v>
      </c>
      <c r="C1601" s="14" t="s">
        <v>1529</v>
      </c>
      <c r="D1601" s="14" t="s">
        <v>143</v>
      </c>
      <c r="E1601" s="1">
        <v>367.31</v>
      </c>
      <c r="F1601" s="2"/>
      <c r="G1601" s="1"/>
      <c r="H1601" s="3"/>
      <c r="I1601" s="14" t="s">
        <v>4117</v>
      </c>
    </row>
    <row r="1602" spans="1:9" ht="18.75" customHeight="1" x14ac:dyDescent="0.4">
      <c r="A1602" s="14" t="s">
        <v>4119</v>
      </c>
      <c r="B1602" s="16" t="str">
        <f>TRIM("もと防潮堤敷（大正）")</f>
        <v>もと防潮堤敷（大正）</v>
      </c>
      <c r="C1602" s="14" t="s">
        <v>1529</v>
      </c>
      <c r="D1602" s="14" t="s">
        <v>143</v>
      </c>
      <c r="E1602" s="1">
        <v>2191.41</v>
      </c>
      <c r="F1602" s="2"/>
      <c r="G1602" s="1"/>
      <c r="H1602" s="3"/>
      <c r="I1602" s="14" t="s">
        <v>4117</v>
      </c>
    </row>
    <row r="1603" spans="1:9" ht="18.75" customHeight="1" x14ac:dyDescent="0.4">
      <c r="A1603" s="14" t="s">
        <v>4120</v>
      </c>
      <c r="B1603" s="16" t="str">
        <f>TRIM("もと臨港道路（大正）")</f>
        <v>もと臨港道路（大正）</v>
      </c>
      <c r="C1603" s="14" t="s">
        <v>1529</v>
      </c>
      <c r="D1603" s="14" t="s">
        <v>143</v>
      </c>
      <c r="E1603" s="1">
        <v>6.83</v>
      </c>
      <c r="F1603" s="2"/>
      <c r="G1603" s="1"/>
      <c r="H1603" s="3"/>
      <c r="I1603" s="14" t="s">
        <v>4117</v>
      </c>
    </row>
    <row r="1604" spans="1:9" ht="18.75" customHeight="1" x14ac:dyDescent="0.4">
      <c r="A1604" s="14" t="s">
        <v>4188</v>
      </c>
      <c r="B1604" s="16" t="str">
        <f>TRIM("臨港緑地（大正）")</f>
        <v>臨港緑地（大正）</v>
      </c>
      <c r="C1604" s="14" t="s">
        <v>1529</v>
      </c>
      <c r="D1604" s="14" t="s">
        <v>143</v>
      </c>
      <c r="E1604" s="1">
        <v>63982.720000000001</v>
      </c>
      <c r="F1604" s="2"/>
      <c r="G1604" s="1"/>
      <c r="H1604" s="3"/>
      <c r="I1604" s="14" t="s">
        <v>4117</v>
      </c>
    </row>
    <row r="1605" spans="1:9" ht="18.75" customHeight="1" x14ac:dyDescent="0.4">
      <c r="A1605" s="14" t="s">
        <v>4293</v>
      </c>
      <c r="B1605" s="16" t="str">
        <f>TRIM("港湾局賃貸地（大正・港営）")</f>
        <v>港湾局賃貸地（大正・港営）</v>
      </c>
      <c r="C1605" s="14" t="s">
        <v>1529</v>
      </c>
      <c r="D1605" s="14" t="s">
        <v>143</v>
      </c>
      <c r="E1605" s="1">
        <v>23284.85</v>
      </c>
      <c r="F1605" s="2"/>
      <c r="G1605" s="12"/>
      <c r="H1605" s="3"/>
      <c r="I1605" s="14" t="s">
        <v>4117</v>
      </c>
    </row>
    <row r="1606" spans="1:9" ht="18.75" customHeight="1" x14ac:dyDescent="0.4">
      <c r="A1606" s="14" t="s">
        <v>4327</v>
      </c>
      <c r="B1606" s="16" t="str">
        <f>TRIM("防潮堤敷（大正・港営）")</f>
        <v>防潮堤敷（大正・港営）</v>
      </c>
      <c r="C1606" s="14" t="s">
        <v>1529</v>
      </c>
      <c r="D1606" s="14" t="s">
        <v>143</v>
      </c>
      <c r="E1606" s="1">
        <v>49.27</v>
      </c>
      <c r="F1606" s="2"/>
      <c r="G1606" s="12"/>
      <c r="H1606" s="3"/>
      <c r="I1606" s="14" t="s">
        <v>4117</v>
      </c>
    </row>
    <row r="1607" spans="1:9" ht="18.75" customHeight="1" x14ac:dyDescent="0.4">
      <c r="A1607" s="14" t="s">
        <v>5381</v>
      </c>
      <c r="B1607" s="16" t="str">
        <f>TRIM("もと港湾局鶴町地区の土地")</f>
        <v>もと港湾局鶴町地区の土地</v>
      </c>
      <c r="C1607" s="14" t="s">
        <v>1529</v>
      </c>
      <c r="D1607" s="14" t="s">
        <v>143</v>
      </c>
      <c r="E1607" s="1">
        <v>278.3</v>
      </c>
      <c r="F1607" s="2"/>
      <c r="G1607" s="1"/>
      <c r="H1607" s="3"/>
      <c r="I1607" s="14" t="s">
        <v>5349</v>
      </c>
    </row>
    <row r="1608" spans="1:9" ht="18.75" customHeight="1" x14ac:dyDescent="0.4">
      <c r="A1608" s="14" t="s">
        <v>5382</v>
      </c>
      <c r="B1608" s="16" t="str">
        <f>TRIM("もと港湾局鶴町地区の土地（コミュニティ用地等）")</f>
        <v>もと港湾局鶴町地区の土地（コミュニティ用地等）</v>
      </c>
      <c r="C1608" s="14" t="s">
        <v>1529</v>
      </c>
      <c r="D1608" s="14" t="s">
        <v>143</v>
      </c>
      <c r="E1608" s="1">
        <v>782.08</v>
      </c>
      <c r="F1608" s="2"/>
      <c r="G1608" s="1"/>
      <c r="H1608" s="3"/>
      <c r="I1608" s="14" t="s">
        <v>5349</v>
      </c>
    </row>
    <row r="1609" spans="1:9" ht="18.75" customHeight="1" x14ac:dyDescent="0.4">
      <c r="A1609" s="14" t="s">
        <v>5477</v>
      </c>
      <c r="B1609" s="16" t="str">
        <f>TRIM("契約管財局賃貸地（大正・鶴町地区）")</f>
        <v>契約管財局賃貸地（大正・鶴町地区）</v>
      </c>
      <c r="C1609" s="14" t="s">
        <v>1529</v>
      </c>
      <c r="D1609" s="14" t="s">
        <v>143</v>
      </c>
      <c r="E1609" s="1">
        <v>9639.07</v>
      </c>
      <c r="F1609" s="2"/>
      <c r="G1609" s="1"/>
      <c r="H1609" s="3"/>
      <c r="I1609" s="14" t="s">
        <v>5349</v>
      </c>
    </row>
    <row r="1610" spans="1:9" ht="18.75" customHeight="1" x14ac:dyDescent="0.4">
      <c r="A1610" s="14" t="s">
        <v>5506</v>
      </c>
      <c r="B1610" s="16" t="str">
        <f>TRIM("大正署鶴町交番")</f>
        <v>大正署鶴町交番</v>
      </c>
      <c r="C1610" s="14" t="s">
        <v>1529</v>
      </c>
      <c r="D1610" s="14" t="s">
        <v>143</v>
      </c>
      <c r="E1610" s="1">
        <v>71.16</v>
      </c>
      <c r="F1610" s="2"/>
      <c r="G1610" s="1"/>
      <c r="H1610" s="3"/>
      <c r="I1610" s="14" t="s">
        <v>5349</v>
      </c>
    </row>
    <row r="1611" spans="1:9" ht="18.75" customHeight="1" x14ac:dyDescent="0.4">
      <c r="A1611" s="14" t="s">
        <v>5755</v>
      </c>
      <c r="B1611" s="16" t="str">
        <f>TRIM("鶴町学園")</f>
        <v>鶴町学園</v>
      </c>
      <c r="C1611" s="14" t="s">
        <v>1529</v>
      </c>
      <c r="D1611" s="14" t="s">
        <v>143</v>
      </c>
      <c r="E1611" s="1">
        <v>1918.42</v>
      </c>
      <c r="F1611" s="2"/>
      <c r="G1611" s="1"/>
      <c r="H1611" s="3"/>
      <c r="I1611" s="14" t="s">
        <v>5617</v>
      </c>
    </row>
    <row r="1612" spans="1:9" ht="18.75" customHeight="1" x14ac:dyDescent="0.4">
      <c r="A1612" s="14" t="s">
        <v>5905</v>
      </c>
      <c r="B1612" s="16" t="str">
        <f>TRIM("もと鶴町保育所")</f>
        <v>もと鶴町保育所</v>
      </c>
      <c r="C1612" s="14" t="s">
        <v>1529</v>
      </c>
      <c r="D1612" s="14" t="s">
        <v>143</v>
      </c>
      <c r="E1612" s="1"/>
      <c r="F1612" s="2"/>
      <c r="G1612" s="1">
        <v>424.72</v>
      </c>
      <c r="H1612" s="3" t="s">
        <v>7353</v>
      </c>
      <c r="I1612" s="14" t="s">
        <v>5617</v>
      </c>
    </row>
    <row r="1613" spans="1:9" ht="18.75" customHeight="1" x14ac:dyDescent="0.4">
      <c r="A1613" s="14" t="s">
        <v>6554</v>
      </c>
      <c r="B1613" s="16" t="str">
        <f>TRIM("鶴町住宅")</f>
        <v>鶴町住宅</v>
      </c>
      <c r="C1613" s="14" t="s">
        <v>1529</v>
      </c>
      <c r="D1613" s="14" t="s">
        <v>615</v>
      </c>
      <c r="E1613" s="1">
        <v>17432.400000000001</v>
      </c>
      <c r="F1613" s="2"/>
      <c r="G1613" s="1">
        <v>32838.83</v>
      </c>
      <c r="H1613" s="3"/>
      <c r="I1613" s="14" t="s">
        <v>6177</v>
      </c>
    </row>
    <row r="1614" spans="1:9" ht="18.75" customHeight="1" x14ac:dyDescent="0.4">
      <c r="A1614" s="14" t="s">
        <v>6557</v>
      </c>
      <c r="B1614" s="16" t="str">
        <f>TRIM("鶴町第4住宅")</f>
        <v>鶴町第4住宅</v>
      </c>
      <c r="C1614" s="14" t="s">
        <v>1529</v>
      </c>
      <c r="D1614" s="14" t="s">
        <v>615</v>
      </c>
      <c r="E1614" s="1">
        <v>4633.67</v>
      </c>
      <c r="F1614" s="2"/>
      <c r="G1614" s="1">
        <v>5645.9</v>
      </c>
      <c r="H1614" s="3"/>
      <c r="I1614" s="14" t="s">
        <v>6177</v>
      </c>
    </row>
    <row r="1615" spans="1:9" ht="18.75" customHeight="1" x14ac:dyDescent="0.4">
      <c r="A1615" s="14" t="s">
        <v>6559</v>
      </c>
      <c r="B1615" s="16" t="str">
        <f>TRIM("鶴町第6住宅")</f>
        <v>鶴町第6住宅</v>
      </c>
      <c r="C1615" s="14" t="s">
        <v>1529</v>
      </c>
      <c r="D1615" s="14" t="s">
        <v>615</v>
      </c>
      <c r="E1615" s="1">
        <v>11821.16</v>
      </c>
      <c r="F1615" s="2"/>
      <c r="G1615" s="1">
        <v>13095.8</v>
      </c>
      <c r="H1615" s="3"/>
      <c r="I1615" s="14" t="s">
        <v>6177</v>
      </c>
    </row>
    <row r="1616" spans="1:9" ht="18.75" customHeight="1" x14ac:dyDescent="0.4">
      <c r="A1616" s="14" t="s">
        <v>3096</v>
      </c>
      <c r="B1616" s="16" t="str">
        <f>TRIM("　鶴町北公園")</f>
        <v>鶴町北公園</v>
      </c>
      <c r="C1616" s="14" t="s">
        <v>1529</v>
      </c>
      <c r="D1616" s="14" t="s">
        <v>615</v>
      </c>
      <c r="E1616" s="1">
        <v>8274.9500000000007</v>
      </c>
      <c r="F1616" s="2"/>
      <c r="G1616" s="1"/>
      <c r="H1616" s="3"/>
      <c r="I1616" s="14" t="s">
        <v>2177</v>
      </c>
    </row>
    <row r="1617" spans="1:9" ht="18.75" customHeight="1" x14ac:dyDescent="0.4">
      <c r="A1617" s="14" t="s">
        <v>3634</v>
      </c>
      <c r="B1617" s="16" t="str">
        <f>TRIM("　鶴町北公園")</f>
        <v>鶴町北公園</v>
      </c>
      <c r="C1617" s="14" t="s">
        <v>1529</v>
      </c>
      <c r="D1617" s="14" t="s">
        <v>615</v>
      </c>
      <c r="E1617" s="1"/>
      <c r="F1617" s="2"/>
      <c r="G1617" s="1">
        <v>14.4</v>
      </c>
      <c r="H1617" s="3"/>
      <c r="I1617" s="14" t="s">
        <v>2177</v>
      </c>
    </row>
    <row r="1618" spans="1:9" ht="18.75" customHeight="1" x14ac:dyDescent="0.4">
      <c r="A1618" s="14" t="s">
        <v>5962</v>
      </c>
      <c r="B1618" s="16" t="str">
        <f>TRIM("つるまち海の風保育園")</f>
        <v>つるまち海の風保育園</v>
      </c>
      <c r="C1618" s="14" t="s">
        <v>1529</v>
      </c>
      <c r="D1618" s="14" t="s">
        <v>615</v>
      </c>
      <c r="E1618" s="1">
        <v>717.07</v>
      </c>
      <c r="F1618" s="2"/>
      <c r="G1618" s="1"/>
      <c r="H1618" s="3"/>
      <c r="I1618" s="14" t="s">
        <v>5617</v>
      </c>
    </row>
    <row r="1619" spans="1:9" ht="18.75" customHeight="1" x14ac:dyDescent="0.4">
      <c r="A1619" s="14" t="s">
        <v>6779</v>
      </c>
      <c r="B1619" s="16" t="str">
        <f>TRIM("もと鶴町第6住宅")</f>
        <v>もと鶴町第6住宅</v>
      </c>
      <c r="C1619" s="14" t="s">
        <v>1529</v>
      </c>
      <c r="D1619" s="14" t="s">
        <v>615</v>
      </c>
      <c r="E1619" s="1"/>
      <c r="F1619" s="2"/>
      <c r="G1619" s="1">
        <v>18416.599999999999</v>
      </c>
      <c r="H1619" s="3"/>
      <c r="I1619" s="14" t="s">
        <v>6177</v>
      </c>
    </row>
    <row r="1620" spans="1:9" ht="18.75" customHeight="1" x14ac:dyDescent="0.4">
      <c r="A1620" s="14" t="s">
        <v>4099</v>
      </c>
      <c r="B1620" s="16" t="str">
        <f>TRIM("福町抽水所")</f>
        <v>福町抽水所</v>
      </c>
      <c r="C1620" s="14" t="s">
        <v>1529</v>
      </c>
      <c r="D1620" s="14" t="s">
        <v>1335</v>
      </c>
      <c r="E1620" s="1">
        <v>170.98</v>
      </c>
      <c r="F1620" s="2"/>
      <c r="G1620" s="1">
        <v>54.96</v>
      </c>
      <c r="H1620" s="3"/>
      <c r="I1620" s="14" t="s">
        <v>2177</v>
      </c>
    </row>
    <row r="1621" spans="1:9" ht="18.75" customHeight="1" x14ac:dyDescent="0.4">
      <c r="A1621" s="14" t="s">
        <v>4201</v>
      </c>
      <c r="B1621" s="16" t="str">
        <f>TRIM("防潮堤（大正）")</f>
        <v>防潮堤（大正）</v>
      </c>
      <c r="C1621" s="14" t="s">
        <v>1529</v>
      </c>
      <c r="D1621" s="14" t="s">
        <v>1335</v>
      </c>
      <c r="E1621" s="1">
        <v>59535.58</v>
      </c>
      <c r="F1621" s="2"/>
      <c r="G1621" s="1"/>
      <c r="H1621" s="3"/>
      <c r="I1621" s="14" t="s">
        <v>4117</v>
      </c>
    </row>
    <row r="1622" spans="1:9" ht="18.75" customHeight="1" x14ac:dyDescent="0.4">
      <c r="A1622" s="14" t="s">
        <v>4217</v>
      </c>
      <c r="B1622" s="16" t="str">
        <f>TRIM("運河用地（大正）")</f>
        <v>運河用地（大正）</v>
      </c>
      <c r="C1622" s="14" t="s">
        <v>1529</v>
      </c>
      <c r="D1622" s="14" t="s">
        <v>1335</v>
      </c>
      <c r="E1622" s="1">
        <v>38303.910000000003</v>
      </c>
      <c r="F1622" s="2"/>
      <c r="G1622" s="1"/>
      <c r="H1622" s="3"/>
      <c r="I1622" s="14" t="s">
        <v>4117</v>
      </c>
    </row>
    <row r="1623" spans="1:9" ht="18.75" customHeight="1" x14ac:dyDescent="0.4">
      <c r="A1623" s="14" t="s">
        <v>4089</v>
      </c>
      <c r="B1623" s="16" t="str">
        <f>TRIM("南恩加島抽水所")</f>
        <v>南恩加島抽水所</v>
      </c>
      <c r="C1623" s="14" t="s">
        <v>1529</v>
      </c>
      <c r="D1623" s="14" t="s">
        <v>876</v>
      </c>
      <c r="E1623" s="1">
        <v>2859.03</v>
      </c>
      <c r="F1623" s="2"/>
      <c r="G1623" s="1">
        <v>9.1199999999999992</v>
      </c>
      <c r="H1623" s="3"/>
      <c r="I1623" s="14" t="s">
        <v>2177</v>
      </c>
    </row>
    <row r="1624" spans="1:9" ht="18.75" customHeight="1" x14ac:dyDescent="0.4">
      <c r="A1624" s="14" t="s">
        <v>2514</v>
      </c>
      <c r="B1624" s="16" t="str">
        <f>TRIM("落合下渡船場右岸待合所")</f>
        <v>落合下渡船場右岸待合所</v>
      </c>
      <c r="C1624" s="14" t="s">
        <v>1529</v>
      </c>
      <c r="D1624" s="14" t="s">
        <v>876</v>
      </c>
      <c r="E1624" s="1"/>
      <c r="F1624" s="2"/>
      <c r="G1624" s="1">
        <v>40.9</v>
      </c>
      <c r="H1624" s="3"/>
      <c r="I1624" s="14" t="s">
        <v>2177</v>
      </c>
    </row>
    <row r="1625" spans="1:9" ht="18.75" customHeight="1" x14ac:dyDescent="0.4">
      <c r="A1625" s="14" t="s">
        <v>3494</v>
      </c>
      <c r="B1625" s="16" t="str">
        <f>TRIM("平尾亥開公園")</f>
        <v>平尾亥開公園</v>
      </c>
      <c r="C1625" s="14" t="s">
        <v>1529</v>
      </c>
      <c r="D1625" s="14" t="s">
        <v>876</v>
      </c>
      <c r="E1625" s="1">
        <v>3500.57</v>
      </c>
      <c r="F1625" s="2"/>
      <c r="G1625" s="1"/>
      <c r="H1625" s="3"/>
      <c r="I1625" s="14" t="s">
        <v>2177</v>
      </c>
    </row>
    <row r="1626" spans="1:9" ht="18.75" customHeight="1" x14ac:dyDescent="0.4">
      <c r="A1626" s="14" t="s">
        <v>6815</v>
      </c>
      <c r="B1626" s="16" t="str">
        <f>TRIM("肩替地（南部）")</f>
        <v>肩替地（南部）</v>
      </c>
      <c r="C1626" s="14" t="s">
        <v>1529</v>
      </c>
      <c r="D1626" s="14" t="s">
        <v>876</v>
      </c>
      <c r="E1626" s="1">
        <v>487.2</v>
      </c>
      <c r="F1626" s="2"/>
      <c r="G1626" s="1"/>
      <c r="H1626" s="3"/>
      <c r="I1626" s="14" t="s">
        <v>6177</v>
      </c>
    </row>
    <row r="1627" spans="1:9" ht="18.75" customHeight="1" x14ac:dyDescent="0.4">
      <c r="A1627" s="14" t="s">
        <v>4429</v>
      </c>
      <c r="B1627" s="16" t="str">
        <f>TRIM("平尾会館（もと平尾老人憩の家）")</f>
        <v>平尾会館（もと平尾老人憩の家）</v>
      </c>
      <c r="C1627" s="14" t="s">
        <v>1529</v>
      </c>
      <c r="D1627" s="14" t="s">
        <v>884</v>
      </c>
      <c r="E1627" s="1">
        <v>260.27</v>
      </c>
      <c r="F1627" s="2"/>
      <c r="G1627" s="1">
        <v>102.79</v>
      </c>
      <c r="H1627" s="3"/>
      <c r="I1627" s="14" t="s">
        <v>2032</v>
      </c>
    </row>
    <row r="1628" spans="1:9" ht="18.75" customHeight="1" x14ac:dyDescent="0.4">
      <c r="A1628" s="14" t="s">
        <v>5081</v>
      </c>
      <c r="B1628" s="16" t="str">
        <f>TRIM("平尾小学校")</f>
        <v>平尾小学校</v>
      </c>
      <c r="C1628" s="14" t="s">
        <v>1529</v>
      </c>
      <c r="D1628" s="14" t="s">
        <v>884</v>
      </c>
      <c r="E1628" s="1">
        <v>10076.16</v>
      </c>
      <c r="F1628" s="2"/>
      <c r="G1628" s="1">
        <v>6129.34</v>
      </c>
      <c r="H1628" s="3"/>
      <c r="I1628" s="14" t="s">
        <v>4689</v>
      </c>
    </row>
    <row r="1629" spans="1:9" ht="18.75" customHeight="1" x14ac:dyDescent="0.4">
      <c r="A1629" s="14" t="s">
        <v>3265</v>
      </c>
      <c r="B1629" s="16" t="str">
        <f>TRIM("　平尾公園")</f>
        <v>平尾公園</v>
      </c>
      <c r="C1629" s="14" t="s">
        <v>1529</v>
      </c>
      <c r="D1629" s="14" t="s">
        <v>884</v>
      </c>
      <c r="E1629" s="1">
        <v>10084.39</v>
      </c>
      <c r="F1629" s="2"/>
      <c r="G1629" s="1"/>
      <c r="H1629" s="3"/>
      <c r="I1629" s="14" t="s">
        <v>2177</v>
      </c>
    </row>
    <row r="1630" spans="1:9" ht="18.75" customHeight="1" x14ac:dyDescent="0.4">
      <c r="A1630" s="14" t="s">
        <v>3669</v>
      </c>
      <c r="B1630" s="16" t="str">
        <f>TRIM("　平尾公園")</f>
        <v>平尾公園</v>
      </c>
      <c r="C1630" s="14" t="s">
        <v>1529</v>
      </c>
      <c r="D1630" s="14" t="s">
        <v>884</v>
      </c>
      <c r="E1630" s="1"/>
      <c r="F1630" s="2"/>
      <c r="G1630" s="1">
        <v>19.2</v>
      </c>
      <c r="H1630" s="3"/>
      <c r="I1630" s="14" t="s">
        <v>2177</v>
      </c>
    </row>
    <row r="1631" spans="1:9" ht="18.75" customHeight="1" x14ac:dyDescent="0.4">
      <c r="A1631" s="14" t="s">
        <v>4427</v>
      </c>
      <c r="B1631" s="16" t="str">
        <f>TRIM("平尾会館")</f>
        <v>平尾会館</v>
      </c>
      <c r="C1631" s="14" t="s">
        <v>1529</v>
      </c>
      <c r="D1631" s="14" t="s">
        <v>884</v>
      </c>
      <c r="E1631" s="1"/>
      <c r="F1631" s="2"/>
      <c r="G1631" s="1">
        <v>81.430000000000007</v>
      </c>
      <c r="H1631" s="3"/>
      <c r="I1631" s="14" t="s">
        <v>2032</v>
      </c>
    </row>
    <row r="1632" spans="1:9" ht="18.75" customHeight="1" x14ac:dyDescent="0.4">
      <c r="A1632" s="14" t="s">
        <v>5889</v>
      </c>
      <c r="B1632" s="16" t="str">
        <f>TRIM("大正保育所")</f>
        <v>大正保育所</v>
      </c>
      <c r="C1632" s="14" t="s">
        <v>1529</v>
      </c>
      <c r="D1632" s="14" t="s">
        <v>884</v>
      </c>
      <c r="E1632" s="1"/>
      <c r="F1632" s="2"/>
      <c r="G1632" s="1">
        <v>781.4</v>
      </c>
      <c r="H1632" s="3"/>
      <c r="I1632" s="14" t="s">
        <v>5617</v>
      </c>
    </row>
    <row r="1633" spans="1:9" ht="18.75" customHeight="1" x14ac:dyDescent="0.4">
      <c r="A1633" s="14" t="s">
        <v>6835</v>
      </c>
      <c r="B1633" s="16" t="str">
        <f>TRIM("もと区画整理事業用地(南部工区・大正区鶴町）")</f>
        <v>もと区画整理事業用地(南部工区・大正区鶴町）</v>
      </c>
      <c r="C1633" s="14" t="s">
        <v>1529</v>
      </c>
      <c r="D1633" s="14" t="s">
        <v>884</v>
      </c>
      <c r="E1633" s="1">
        <v>320.62</v>
      </c>
      <c r="F1633" s="2"/>
      <c r="G1633" s="1"/>
      <c r="H1633" s="3"/>
      <c r="I1633" s="14" t="s">
        <v>6177</v>
      </c>
    </row>
    <row r="1634" spans="1:9" ht="18.75" customHeight="1" x14ac:dyDescent="0.4">
      <c r="A1634" s="14" t="s">
        <v>4065</v>
      </c>
      <c r="B1634" s="16" t="str">
        <f>TRIM("船町抽水所")</f>
        <v>船町抽水所</v>
      </c>
      <c r="C1634" s="14" t="s">
        <v>1529</v>
      </c>
      <c r="D1634" s="14" t="s">
        <v>1326</v>
      </c>
      <c r="E1634" s="1">
        <v>699.56</v>
      </c>
      <c r="F1634" s="2"/>
      <c r="G1634" s="1">
        <v>79.569999999999993</v>
      </c>
      <c r="H1634" s="3"/>
      <c r="I1634" s="14" t="s">
        <v>2177</v>
      </c>
    </row>
    <row r="1635" spans="1:9" ht="18.75" customHeight="1" x14ac:dyDescent="0.4">
      <c r="A1635" s="14" t="s">
        <v>4253</v>
      </c>
      <c r="B1635" s="16" t="str">
        <f>TRIM("木津川渡船事務所")</f>
        <v>木津川渡船事務所</v>
      </c>
      <c r="C1635" s="14" t="s">
        <v>1529</v>
      </c>
      <c r="D1635" s="14" t="s">
        <v>1326</v>
      </c>
      <c r="E1635" s="1">
        <v>150.37</v>
      </c>
      <c r="F1635" s="2"/>
      <c r="G1635" s="1">
        <v>52.96</v>
      </c>
      <c r="H1635" s="3"/>
      <c r="I1635" s="14" t="s">
        <v>4117</v>
      </c>
    </row>
    <row r="1636" spans="1:9" ht="18.75" customHeight="1" x14ac:dyDescent="0.4">
      <c r="A1636" s="14" t="s">
        <v>2509</v>
      </c>
      <c r="B1636" s="16" t="str">
        <f>TRIM("船町渡船場左岸待合所")</f>
        <v>船町渡船場左岸待合所</v>
      </c>
      <c r="C1636" s="14" t="s">
        <v>1529</v>
      </c>
      <c r="D1636" s="14" t="s">
        <v>1326</v>
      </c>
      <c r="E1636" s="1"/>
      <c r="F1636" s="2"/>
      <c r="G1636" s="1">
        <v>26.49</v>
      </c>
      <c r="H1636" s="3"/>
      <c r="I1636" s="14" t="s">
        <v>2177</v>
      </c>
    </row>
    <row r="1637" spans="1:9" ht="18.75" customHeight="1" x14ac:dyDescent="0.4">
      <c r="A1637" s="14" t="s">
        <v>4192</v>
      </c>
      <c r="B1637" s="16" t="str">
        <f>TRIM("新木津川大橋")</f>
        <v>新木津川大橋</v>
      </c>
      <c r="C1637" s="14" t="s">
        <v>1529</v>
      </c>
      <c r="D1637" s="14" t="s">
        <v>1326</v>
      </c>
      <c r="E1637" s="1">
        <v>29689.3</v>
      </c>
      <c r="F1637" s="2"/>
      <c r="G1637" s="1"/>
      <c r="H1637" s="3"/>
      <c r="I1637" s="14" t="s">
        <v>4117</v>
      </c>
    </row>
    <row r="1638" spans="1:9" ht="18.75" customHeight="1" x14ac:dyDescent="0.4">
      <c r="A1638" s="14" t="s">
        <v>4141</v>
      </c>
      <c r="B1638" s="16" t="str">
        <f>TRIM("もと護岸敷（大正）")</f>
        <v>もと護岸敷（大正）</v>
      </c>
      <c r="C1638" s="14" t="s">
        <v>1529</v>
      </c>
      <c r="D1638" s="14" t="s">
        <v>1340</v>
      </c>
      <c r="E1638" s="1">
        <v>9034.56</v>
      </c>
      <c r="F1638" s="2"/>
      <c r="G1638" s="1"/>
      <c r="H1638" s="3"/>
      <c r="I1638" s="14" t="s">
        <v>4117</v>
      </c>
    </row>
    <row r="1639" spans="1:9" ht="18.75" customHeight="1" x14ac:dyDescent="0.4">
      <c r="A1639" s="14" t="s">
        <v>4185</v>
      </c>
      <c r="B1639" s="16" t="str">
        <f>TRIM("臨港道路（大正）")</f>
        <v>臨港道路（大正）</v>
      </c>
      <c r="C1639" s="14" t="s">
        <v>1529</v>
      </c>
      <c r="D1639" s="14" t="s">
        <v>1340</v>
      </c>
      <c r="E1639" s="1">
        <v>157396.07</v>
      </c>
      <c r="F1639" s="2"/>
      <c r="G1639" s="1"/>
      <c r="H1639" s="3"/>
      <c r="I1639" s="14" t="s">
        <v>4117</v>
      </c>
    </row>
    <row r="1640" spans="1:9" ht="18.75" customHeight="1" x14ac:dyDescent="0.4">
      <c r="A1640" s="14" t="s">
        <v>4241</v>
      </c>
      <c r="B1640" s="16" t="str">
        <f>TRIM("　木津川渡船待合所")</f>
        <v>木津川渡船待合所</v>
      </c>
      <c r="C1640" s="14" t="s">
        <v>1529</v>
      </c>
      <c r="D1640" s="14" t="s">
        <v>1340</v>
      </c>
      <c r="E1640" s="1"/>
      <c r="F1640" s="2"/>
      <c r="G1640" s="1">
        <v>19.89</v>
      </c>
      <c r="H1640" s="3"/>
      <c r="I1640" s="14" t="s">
        <v>4117</v>
      </c>
    </row>
    <row r="1641" spans="1:9" ht="18.75" customHeight="1" x14ac:dyDescent="0.4">
      <c r="A1641" s="14" t="s">
        <v>6057</v>
      </c>
      <c r="B1641" s="16" t="str">
        <f>TRIM("もと南恩加島詰所")</f>
        <v>もと南恩加島詰所</v>
      </c>
      <c r="C1641" s="14" t="s">
        <v>1529</v>
      </c>
      <c r="D1641" s="14" t="s">
        <v>214</v>
      </c>
      <c r="E1641" s="1">
        <v>1157.02</v>
      </c>
      <c r="F1641" s="2">
        <v>193</v>
      </c>
      <c r="G1641" s="1"/>
      <c r="H1641" s="3"/>
      <c r="I1641" s="14" t="s">
        <v>5977</v>
      </c>
    </row>
    <row r="1642" spans="1:9" ht="18.75" customHeight="1" x14ac:dyDescent="0.4">
      <c r="A1642" s="14" t="s">
        <v>6081</v>
      </c>
      <c r="B1642" s="16" t="str">
        <f>TRIM("大正工場")</f>
        <v>大正工場</v>
      </c>
      <c r="C1642" s="14" t="s">
        <v>1529</v>
      </c>
      <c r="D1642" s="14" t="s">
        <v>214</v>
      </c>
      <c r="E1642" s="1">
        <v>19535.22</v>
      </c>
      <c r="F1642" s="2"/>
      <c r="G1642" s="1">
        <v>23729.35</v>
      </c>
      <c r="H1642" s="3" t="s">
        <v>7353</v>
      </c>
      <c r="I1642" s="14" t="s">
        <v>5977</v>
      </c>
    </row>
    <row r="1643" spans="1:9" ht="18.75" customHeight="1" x14ac:dyDescent="0.4">
      <c r="A1643" s="14" t="s">
        <v>2506</v>
      </c>
      <c r="B1643" s="16" t="str">
        <f>TRIM("千本松渡船場右岸待合所")</f>
        <v>千本松渡船場右岸待合所</v>
      </c>
      <c r="C1643" s="14" t="s">
        <v>1529</v>
      </c>
      <c r="D1643" s="14" t="s">
        <v>214</v>
      </c>
      <c r="E1643" s="1"/>
      <c r="F1643" s="2"/>
      <c r="G1643" s="1">
        <v>65.849999999999994</v>
      </c>
      <c r="H1643" s="3"/>
      <c r="I1643" s="14" t="s">
        <v>2177</v>
      </c>
    </row>
    <row r="1644" spans="1:9" ht="18.75" customHeight="1" x14ac:dyDescent="0.4">
      <c r="A1644" s="14" t="s">
        <v>3175</v>
      </c>
      <c r="B1644" s="16" t="str">
        <f>TRIM("　南恩加島公園")</f>
        <v>南恩加島公園</v>
      </c>
      <c r="C1644" s="14" t="s">
        <v>1529</v>
      </c>
      <c r="D1644" s="14" t="s">
        <v>214</v>
      </c>
      <c r="E1644" s="1">
        <v>5454.46</v>
      </c>
      <c r="F1644" s="2"/>
      <c r="G1644" s="1"/>
      <c r="H1644" s="3"/>
      <c r="I1644" s="14" t="s">
        <v>2177</v>
      </c>
    </row>
    <row r="1645" spans="1:9" ht="18.75" customHeight="1" x14ac:dyDescent="0.4">
      <c r="A1645" s="14" t="s">
        <v>3652</v>
      </c>
      <c r="B1645" s="16" t="str">
        <f>TRIM("　南恩加島公園")</f>
        <v>南恩加島公園</v>
      </c>
      <c r="C1645" s="14" t="s">
        <v>1529</v>
      </c>
      <c r="D1645" s="14" t="s">
        <v>214</v>
      </c>
      <c r="E1645" s="1"/>
      <c r="F1645" s="2"/>
      <c r="G1645" s="1">
        <v>19.2</v>
      </c>
      <c r="H1645" s="3"/>
      <c r="I1645" s="14" t="s">
        <v>2177</v>
      </c>
    </row>
    <row r="1646" spans="1:9" ht="18.75" customHeight="1" x14ac:dyDescent="0.4">
      <c r="A1646" s="14" t="s">
        <v>4145</v>
      </c>
      <c r="B1646" s="16" t="str">
        <f>TRIM("もと防潮堤（大正） ")</f>
        <v>もと防潮堤（大正）</v>
      </c>
      <c r="C1646" s="14" t="s">
        <v>1529</v>
      </c>
      <c r="D1646" s="14" t="s">
        <v>214</v>
      </c>
      <c r="E1646" s="1">
        <v>236.45</v>
      </c>
      <c r="F1646" s="2"/>
      <c r="G1646" s="1"/>
      <c r="H1646" s="3"/>
      <c r="I1646" s="14" t="s">
        <v>4117</v>
      </c>
    </row>
    <row r="1647" spans="1:9" ht="18.75" customHeight="1" x14ac:dyDescent="0.4">
      <c r="A1647" s="14" t="s">
        <v>5475</v>
      </c>
      <c r="B1647" s="16" t="str">
        <f>TRIM("契約管財局賃貸地（大正・その他）")</f>
        <v>契約管財局賃貸地（大正・その他）</v>
      </c>
      <c r="C1647" s="14" t="s">
        <v>1529</v>
      </c>
      <c r="D1647" s="14" t="s">
        <v>214</v>
      </c>
      <c r="E1647" s="1">
        <v>1889.1</v>
      </c>
      <c r="F1647" s="2"/>
      <c r="G1647" s="1"/>
      <c r="H1647" s="3"/>
      <c r="I1647" s="14" t="s">
        <v>5349</v>
      </c>
    </row>
    <row r="1648" spans="1:9" ht="18.75" customHeight="1" x14ac:dyDescent="0.4">
      <c r="A1648" s="14" t="s">
        <v>6027</v>
      </c>
      <c r="B1648" s="16" t="str">
        <f>TRIM("大正詰所")</f>
        <v>大正詰所</v>
      </c>
      <c r="C1648" s="14" t="s">
        <v>1529</v>
      </c>
      <c r="D1648" s="14" t="s">
        <v>214</v>
      </c>
      <c r="E1648" s="1"/>
      <c r="F1648" s="2"/>
      <c r="G1648" s="1">
        <v>56.99</v>
      </c>
      <c r="H1648" s="3"/>
      <c r="I1648" s="14" t="s">
        <v>5977</v>
      </c>
    </row>
    <row r="1649" spans="1:9" ht="18.75" customHeight="1" x14ac:dyDescent="0.4">
      <c r="A1649" s="14" t="s">
        <v>6033</v>
      </c>
      <c r="B1649" s="16" t="str">
        <f>TRIM("木津川事務所")</f>
        <v>木津川事務所</v>
      </c>
      <c r="C1649" s="14" t="s">
        <v>1529</v>
      </c>
      <c r="D1649" s="14" t="s">
        <v>214</v>
      </c>
      <c r="E1649" s="1"/>
      <c r="F1649" s="2"/>
      <c r="G1649" s="1">
        <v>718.2</v>
      </c>
      <c r="H1649" s="3"/>
      <c r="I1649" s="14" t="s">
        <v>5977</v>
      </c>
    </row>
    <row r="1650" spans="1:9" ht="18.75" customHeight="1" x14ac:dyDescent="0.4">
      <c r="A1650" s="14" t="s">
        <v>6075</v>
      </c>
      <c r="B1650" s="16" t="str">
        <f>TRIM("もと大正工場公舎")</f>
        <v>もと大正工場公舎</v>
      </c>
      <c r="C1650" s="14" t="s">
        <v>1529</v>
      </c>
      <c r="D1650" s="14" t="s">
        <v>214</v>
      </c>
      <c r="E1650" s="1"/>
      <c r="F1650" s="2"/>
      <c r="G1650" s="1">
        <v>1603.2</v>
      </c>
      <c r="H1650" s="3" t="s">
        <v>7353</v>
      </c>
      <c r="I1650" s="14" t="s">
        <v>5977</v>
      </c>
    </row>
    <row r="1651" spans="1:9" ht="18.75" customHeight="1" x14ac:dyDescent="0.4">
      <c r="A1651" s="14" t="s">
        <v>2116</v>
      </c>
      <c r="B1651" s="16" t="str">
        <f>TRIM("南恩加島会館")</f>
        <v>南恩加島会館</v>
      </c>
      <c r="C1651" s="14" t="s">
        <v>1529</v>
      </c>
      <c r="D1651" s="14" t="s">
        <v>1452</v>
      </c>
      <c r="E1651" s="1">
        <v>290.73</v>
      </c>
      <c r="F1651" s="2"/>
      <c r="G1651" s="1"/>
      <c r="H1651" s="3"/>
      <c r="I1651" s="14" t="s">
        <v>2032</v>
      </c>
    </row>
    <row r="1652" spans="1:9" ht="18.75" customHeight="1" x14ac:dyDescent="0.4">
      <c r="A1652" s="14" t="s">
        <v>5383</v>
      </c>
      <c r="B1652" s="16" t="str">
        <f>TRIM("もと港湾局南恩加島地区の土地")</f>
        <v>もと港湾局南恩加島地区の土地</v>
      </c>
      <c r="C1652" s="14" t="s">
        <v>1529</v>
      </c>
      <c r="D1652" s="14" t="s">
        <v>144</v>
      </c>
      <c r="E1652" s="1">
        <v>377.99</v>
      </c>
      <c r="F1652" s="2">
        <v>2146</v>
      </c>
      <c r="G1652" s="1"/>
      <c r="H1652" s="3"/>
      <c r="I1652" s="14" t="s">
        <v>5349</v>
      </c>
    </row>
    <row r="1653" spans="1:9" ht="18.75" customHeight="1" x14ac:dyDescent="0.4">
      <c r="A1653" s="14" t="s">
        <v>5038</v>
      </c>
      <c r="B1653" s="16" t="str">
        <f>TRIM("南恩加島小学校")</f>
        <v>南恩加島小学校</v>
      </c>
      <c r="C1653" s="14" t="s">
        <v>1529</v>
      </c>
      <c r="D1653" s="14" t="s">
        <v>144</v>
      </c>
      <c r="E1653" s="1">
        <v>7727.08</v>
      </c>
      <c r="F1653" s="2"/>
      <c r="G1653" s="1">
        <v>6363.1</v>
      </c>
      <c r="H1653" s="3"/>
      <c r="I1653" s="14" t="s">
        <v>4689</v>
      </c>
    </row>
    <row r="1654" spans="1:9" ht="18.75" customHeight="1" x14ac:dyDescent="0.4">
      <c r="A1654" s="14" t="s">
        <v>4228</v>
      </c>
      <c r="B1654" s="16" t="str">
        <f>TRIM("物揚場（大正）")</f>
        <v>物揚場（大正）</v>
      </c>
      <c r="C1654" s="14" t="s">
        <v>1529</v>
      </c>
      <c r="D1654" s="14" t="s">
        <v>1352</v>
      </c>
      <c r="E1654" s="1">
        <v>8799.7099999999991</v>
      </c>
      <c r="F1654" s="2"/>
      <c r="G1654" s="1"/>
      <c r="H1654" s="3"/>
      <c r="I1654" s="14" t="s">
        <v>4117</v>
      </c>
    </row>
    <row r="1655" spans="1:9" ht="18.75" customHeight="1" x14ac:dyDescent="0.4">
      <c r="A1655" s="14" t="s">
        <v>4938</v>
      </c>
      <c r="B1655" s="16" t="str">
        <f>TRIM("大正西中学校")</f>
        <v>大正西中学校</v>
      </c>
      <c r="C1655" s="14" t="s">
        <v>1529</v>
      </c>
      <c r="D1655" s="14" t="s">
        <v>1202</v>
      </c>
      <c r="E1655" s="1">
        <v>9808.11</v>
      </c>
      <c r="F1655" s="2"/>
      <c r="G1655" s="1">
        <v>10378.91</v>
      </c>
      <c r="H1655" s="3"/>
      <c r="I1655" s="14" t="s">
        <v>4689</v>
      </c>
    </row>
    <row r="1656" spans="1:9" ht="18.75" customHeight="1" x14ac:dyDescent="0.4">
      <c r="A1656" s="14" t="s">
        <v>3176</v>
      </c>
      <c r="B1656" s="16" t="str">
        <f>TRIM("　南恩加島西公園")</f>
        <v>南恩加島西公園</v>
      </c>
      <c r="C1656" s="14" t="s">
        <v>1529</v>
      </c>
      <c r="D1656" s="14" t="s">
        <v>1202</v>
      </c>
      <c r="E1656" s="1">
        <v>1421.52</v>
      </c>
      <c r="F1656" s="2"/>
      <c r="G1656" s="1"/>
      <c r="H1656" s="3"/>
      <c r="I1656" s="14" t="s">
        <v>2177</v>
      </c>
    </row>
    <row r="1657" spans="1:9" ht="18.75" customHeight="1" x14ac:dyDescent="0.4">
      <c r="A1657" s="14" t="s">
        <v>4436</v>
      </c>
      <c r="B1657" s="16" t="str">
        <f>TRIM("味原集会所")</f>
        <v>味原集会所</v>
      </c>
      <c r="C1657" s="14" t="s">
        <v>1511</v>
      </c>
      <c r="D1657" s="14" t="s">
        <v>523</v>
      </c>
      <c r="E1657" s="1">
        <v>30.95</v>
      </c>
      <c r="F1657" s="2"/>
      <c r="G1657" s="1">
        <v>59.2</v>
      </c>
      <c r="H1657" s="3"/>
      <c r="I1657" s="14" t="s">
        <v>2106</v>
      </c>
    </row>
    <row r="1658" spans="1:9" ht="18.75" customHeight="1" x14ac:dyDescent="0.4">
      <c r="A1658" s="14" t="s">
        <v>5117</v>
      </c>
      <c r="B1658" s="16" t="str">
        <f>TRIM("味原小学校")</f>
        <v>味原小学校</v>
      </c>
      <c r="C1658" s="14" t="s">
        <v>1511</v>
      </c>
      <c r="D1658" s="14" t="s">
        <v>523</v>
      </c>
      <c r="E1658" s="1">
        <v>4576.62</v>
      </c>
      <c r="F1658" s="2"/>
      <c r="G1658" s="1">
        <v>4528.75</v>
      </c>
      <c r="H1658" s="3"/>
      <c r="I1658" s="14" t="s">
        <v>4689</v>
      </c>
    </row>
    <row r="1659" spans="1:9" ht="18.75" customHeight="1" x14ac:dyDescent="0.4">
      <c r="A1659" s="14" t="s">
        <v>5820</v>
      </c>
      <c r="B1659" s="16" t="str">
        <f>TRIM("味原幼稚園")</f>
        <v>味原幼稚園</v>
      </c>
      <c r="C1659" s="14" t="s">
        <v>1511</v>
      </c>
      <c r="D1659" s="14" t="s">
        <v>523</v>
      </c>
      <c r="E1659" s="1">
        <v>1218.6500000000001</v>
      </c>
      <c r="F1659" s="2"/>
      <c r="G1659" s="1">
        <v>823</v>
      </c>
      <c r="H1659" s="3"/>
      <c r="I1659" s="14" t="s">
        <v>5617</v>
      </c>
    </row>
    <row r="1660" spans="1:9" ht="18.75" customHeight="1" x14ac:dyDescent="0.4">
      <c r="A1660" s="14" t="s">
        <v>5930</v>
      </c>
      <c r="B1660" s="16" t="str">
        <f>TRIM("味原保育所")</f>
        <v>味原保育所</v>
      </c>
      <c r="C1660" s="14" t="s">
        <v>1511</v>
      </c>
      <c r="D1660" s="14" t="s">
        <v>523</v>
      </c>
      <c r="E1660" s="1">
        <v>893.75</v>
      </c>
      <c r="F1660" s="2"/>
      <c r="G1660" s="1">
        <v>525.09</v>
      </c>
      <c r="H1660" s="3"/>
      <c r="I1660" s="14" t="s">
        <v>5617</v>
      </c>
    </row>
    <row r="1661" spans="1:9" ht="18.75" customHeight="1" x14ac:dyDescent="0.4">
      <c r="A1661" s="14" t="s">
        <v>5679</v>
      </c>
      <c r="B1661" s="16" t="str">
        <f>TRIM("もと天王寺勤労青少年ホーム")</f>
        <v>もと天王寺勤労青少年ホーム</v>
      </c>
      <c r="C1661" s="14" t="s">
        <v>1511</v>
      </c>
      <c r="D1661" s="14" t="s">
        <v>523</v>
      </c>
      <c r="E1661" s="1"/>
      <c r="F1661" s="2"/>
      <c r="G1661" s="1">
        <v>579.25</v>
      </c>
      <c r="H1661" s="3" t="s">
        <v>7353</v>
      </c>
      <c r="I1661" s="14" t="s">
        <v>5617</v>
      </c>
    </row>
    <row r="1662" spans="1:9" ht="18.75" customHeight="1" x14ac:dyDescent="0.4">
      <c r="A1662" s="14" t="s">
        <v>2902</v>
      </c>
      <c r="B1662" s="16" t="str">
        <f>TRIM("　生玉公園")</f>
        <v>生玉公園</v>
      </c>
      <c r="C1662" s="14" t="s">
        <v>1511</v>
      </c>
      <c r="D1662" s="14" t="s">
        <v>507</v>
      </c>
      <c r="E1662" s="1">
        <v>19123.21</v>
      </c>
      <c r="F1662" s="2">
        <v>196</v>
      </c>
      <c r="G1662" s="1"/>
      <c r="H1662" s="3"/>
      <c r="I1662" s="14" t="s">
        <v>2177</v>
      </c>
    </row>
    <row r="1663" spans="1:9" ht="18.75" customHeight="1" x14ac:dyDescent="0.4">
      <c r="A1663" s="14" t="s">
        <v>5797</v>
      </c>
      <c r="B1663" s="16" t="str">
        <f>TRIM("生魂幼稚園")</f>
        <v>生魂幼稚園</v>
      </c>
      <c r="C1663" s="14" t="s">
        <v>1511</v>
      </c>
      <c r="D1663" s="14" t="s">
        <v>507</v>
      </c>
      <c r="E1663" s="1">
        <v>2460.4499999999998</v>
      </c>
      <c r="F1663" s="2"/>
      <c r="G1663" s="1">
        <v>595.69000000000005</v>
      </c>
      <c r="H1663" s="3"/>
      <c r="I1663" s="14" t="s">
        <v>5617</v>
      </c>
    </row>
    <row r="1664" spans="1:9" ht="18.75" customHeight="1" x14ac:dyDescent="0.4">
      <c r="A1664" s="14" t="s">
        <v>6031</v>
      </c>
      <c r="B1664" s="16" t="str">
        <f>TRIM("天王寺区内公衆便所")</f>
        <v>天王寺区内公衆便所</v>
      </c>
      <c r="C1664" s="14" t="s">
        <v>1511</v>
      </c>
      <c r="D1664" s="14" t="s">
        <v>507</v>
      </c>
      <c r="E1664" s="1"/>
      <c r="F1664" s="2"/>
      <c r="G1664" s="1">
        <v>5.05</v>
      </c>
      <c r="H1664" s="3"/>
      <c r="I1664" s="14" t="s">
        <v>5977</v>
      </c>
    </row>
    <row r="1665" spans="1:9" ht="18.75" customHeight="1" x14ac:dyDescent="0.4">
      <c r="A1665" s="14" t="s">
        <v>3893</v>
      </c>
      <c r="B1665" s="16" t="str">
        <f>TRIM("谷町九丁目駅自転車駐車場管理事務所")</f>
        <v>谷町九丁目駅自転車駐車場管理事務所</v>
      </c>
      <c r="C1665" s="14" t="s">
        <v>1511</v>
      </c>
      <c r="D1665" s="14" t="s">
        <v>1497</v>
      </c>
      <c r="E1665" s="1"/>
      <c r="F1665" s="2"/>
      <c r="G1665" s="1">
        <v>4.88</v>
      </c>
      <c r="H1665" s="3"/>
      <c r="I1665" s="14" t="s">
        <v>2177</v>
      </c>
    </row>
    <row r="1666" spans="1:9" ht="18.75" customHeight="1" x14ac:dyDescent="0.4">
      <c r="A1666" s="14" t="s">
        <v>4435</v>
      </c>
      <c r="B1666" s="16" t="str">
        <f>TRIM("天王寺区民センター")</f>
        <v>天王寺区民センター</v>
      </c>
      <c r="C1666" s="14" t="s">
        <v>1511</v>
      </c>
      <c r="D1666" s="14" t="s">
        <v>1453</v>
      </c>
      <c r="E1666" s="1">
        <v>1068.5999999999999</v>
      </c>
      <c r="F1666" s="2"/>
      <c r="G1666" s="1">
        <v>2198.7600000000002</v>
      </c>
      <c r="H1666" s="3"/>
      <c r="I1666" s="14" t="s">
        <v>2106</v>
      </c>
    </row>
    <row r="1667" spans="1:9" ht="18.75" customHeight="1" x14ac:dyDescent="0.4">
      <c r="A1667" s="14" t="s">
        <v>1820</v>
      </c>
      <c r="B1667" s="16" t="str">
        <f>TRIM("天王寺区老人福祉センター")</f>
        <v>天王寺区老人福祉センター</v>
      </c>
      <c r="C1667" s="14" t="s">
        <v>1511</v>
      </c>
      <c r="D1667" s="14" t="s">
        <v>1453</v>
      </c>
      <c r="E1667" s="1"/>
      <c r="F1667" s="2"/>
      <c r="G1667" s="1">
        <v>811.71</v>
      </c>
      <c r="H1667" s="3"/>
      <c r="I1667" s="14" t="s">
        <v>1654</v>
      </c>
    </row>
    <row r="1668" spans="1:9" ht="18.75" customHeight="1" x14ac:dyDescent="0.4">
      <c r="A1668" s="14" t="s">
        <v>2946</v>
      </c>
      <c r="B1668" s="16" t="str">
        <f>TRIM("　石ヶ辻公園")</f>
        <v>石ヶ辻公園</v>
      </c>
      <c r="C1668" s="14" t="s">
        <v>1511</v>
      </c>
      <c r="D1668" s="14" t="s">
        <v>1121</v>
      </c>
      <c r="E1668" s="1">
        <v>2515.86</v>
      </c>
      <c r="F1668" s="2"/>
      <c r="G1668" s="1"/>
      <c r="H1668" s="3"/>
      <c r="I1668" s="14" t="s">
        <v>2177</v>
      </c>
    </row>
    <row r="1669" spans="1:9" ht="18.75" customHeight="1" x14ac:dyDescent="0.4">
      <c r="A1669" s="14" t="s">
        <v>2355</v>
      </c>
      <c r="B1669" s="16" t="str">
        <f>TRIM("もと軌道敷(九条高津線)")</f>
        <v>もと軌道敷(九条高津線)</v>
      </c>
      <c r="C1669" s="14" t="s">
        <v>1511</v>
      </c>
      <c r="D1669" s="14" t="s">
        <v>975</v>
      </c>
      <c r="E1669" s="1">
        <v>91065.47</v>
      </c>
      <c r="F1669" s="2"/>
      <c r="G1669" s="1"/>
      <c r="H1669" s="3"/>
      <c r="I1669" s="14" t="s">
        <v>2177</v>
      </c>
    </row>
    <row r="1670" spans="1:9" ht="18.75" customHeight="1" x14ac:dyDescent="0.4">
      <c r="A1670" s="14" t="s">
        <v>2818</v>
      </c>
      <c r="B1670" s="16" t="str">
        <f>TRIM("　上汐北公園")</f>
        <v>上汐北公園</v>
      </c>
      <c r="C1670" s="14" t="s">
        <v>1511</v>
      </c>
      <c r="D1670" s="14" t="s">
        <v>975</v>
      </c>
      <c r="E1670" s="1">
        <v>2064.77</v>
      </c>
      <c r="F1670" s="2"/>
      <c r="G1670" s="1"/>
      <c r="H1670" s="3"/>
      <c r="I1670" s="14" t="s">
        <v>2177</v>
      </c>
    </row>
    <row r="1671" spans="1:9" ht="18.75" customHeight="1" x14ac:dyDescent="0.4">
      <c r="A1671" s="14" t="s">
        <v>4437</v>
      </c>
      <c r="B1671" s="16" t="str">
        <f>TRIM("天王寺区保健福祉センター")</f>
        <v>天王寺区保健福祉センター</v>
      </c>
      <c r="C1671" s="14" t="s">
        <v>1511</v>
      </c>
      <c r="D1671" s="14" t="s">
        <v>1083</v>
      </c>
      <c r="E1671" s="1">
        <v>1481.15</v>
      </c>
      <c r="F1671" s="2"/>
      <c r="G1671" s="1">
        <v>1325.6</v>
      </c>
      <c r="H1671" s="3"/>
      <c r="I1671" s="14" t="s">
        <v>2106</v>
      </c>
    </row>
    <row r="1672" spans="1:9" ht="18.75" customHeight="1" x14ac:dyDescent="0.4">
      <c r="A1672" s="14" t="s">
        <v>4904</v>
      </c>
      <c r="B1672" s="16" t="str">
        <f>TRIM("生魂小学校")</f>
        <v>生魂小学校</v>
      </c>
      <c r="C1672" s="14" t="s">
        <v>1511</v>
      </c>
      <c r="D1672" s="14" t="s">
        <v>1083</v>
      </c>
      <c r="E1672" s="1">
        <v>4864.0600000000004</v>
      </c>
      <c r="F1672" s="2"/>
      <c r="G1672" s="1">
        <v>4701.09</v>
      </c>
      <c r="H1672" s="3"/>
      <c r="I1672" s="14" t="s">
        <v>4689</v>
      </c>
    </row>
    <row r="1673" spans="1:9" ht="18.75" customHeight="1" x14ac:dyDescent="0.4">
      <c r="A1673" s="14" t="s">
        <v>2381</v>
      </c>
      <c r="B1673" s="16" t="str">
        <f>TRIM("上汐地下駐車場")</f>
        <v>上汐地下駐車場</v>
      </c>
      <c r="C1673" s="14" t="s">
        <v>1511</v>
      </c>
      <c r="D1673" s="14" t="s">
        <v>1083</v>
      </c>
      <c r="E1673" s="1"/>
      <c r="F1673" s="2"/>
      <c r="G1673" s="1">
        <v>6905.7</v>
      </c>
      <c r="H1673" s="3"/>
      <c r="I1673" s="14" t="s">
        <v>2177</v>
      </c>
    </row>
    <row r="1674" spans="1:9" ht="18.75" customHeight="1" x14ac:dyDescent="0.4">
      <c r="A1674" s="14" t="s">
        <v>2817</v>
      </c>
      <c r="B1674" s="16" t="str">
        <f>TRIM("　上汐公園")</f>
        <v>上汐公園</v>
      </c>
      <c r="C1674" s="14" t="s">
        <v>1511</v>
      </c>
      <c r="D1674" s="14" t="s">
        <v>1083</v>
      </c>
      <c r="E1674" s="1">
        <v>6320.72</v>
      </c>
      <c r="F1674" s="2"/>
      <c r="G1674" s="1"/>
      <c r="H1674" s="3"/>
      <c r="I1674" s="14" t="s">
        <v>2177</v>
      </c>
    </row>
    <row r="1675" spans="1:9" ht="18.75" customHeight="1" x14ac:dyDescent="0.4">
      <c r="A1675" s="14" t="s">
        <v>1621</v>
      </c>
      <c r="B1675" s="16" t="str">
        <f>TRIM("男女共同参画センター中央館 クレオ大阪中央")</f>
        <v>男女共同参画センター中央館 クレオ大阪中央</v>
      </c>
      <c r="C1675" s="14" t="s">
        <v>1511</v>
      </c>
      <c r="D1675" s="14" t="s">
        <v>111</v>
      </c>
      <c r="E1675" s="1">
        <v>2605.02</v>
      </c>
      <c r="F1675" s="2"/>
      <c r="G1675" s="1">
        <v>7667.76</v>
      </c>
      <c r="H1675" s="3"/>
      <c r="I1675" s="14" t="s">
        <v>1598</v>
      </c>
    </row>
    <row r="1676" spans="1:9" ht="18.75" customHeight="1" x14ac:dyDescent="0.4">
      <c r="A1676" s="14" t="s">
        <v>3982</v>
      </c>
      <c r="B1676" s="16" t="str">
        <f>TRIM("上之宮出張所")</f>
        <v>上之宮出張所</v>
      </c>
      <c r="C1676" s="14" t="s">
        <v>1511</v>
      </c>
      <c r="D1676" s="14" t="s">
        <v>498</v>
      </c>
      <c r="E1676" s="1">
        <v>2269.25</v>
      </c>
      <c r="F1676" s="2"/>
      <c r="G1676" s="1">
        <v>2557.66</v>
      </c>
      <c r="H1676" s="3"/>
      <c r="I1676" s="14" t="s">
        <v>2177</v>
      </c>
    </row>
    <row r="1677" spans="1:9" ht="18.75" customHeight="1" x14ac:dyDescent="0.4">
      <c r="A1677" s="14" t="s">
        <v>5198</v>
      </c>
      <c r="B1677" s="16" t="str">
        <f>TRIM("天王寺図書館")</f>
        <v>天王寺図書館</v>
      </c>
      <c r="C1677" s="14" t="s">
        <v>1511</v>
      </c>
      <c r="D1677" s="14" t="s">
        <v>498</v>
      </c>
      <c r="E1677" s="1">
        <v>1239.04</v>
      </c>
      <c r="F1677" s="2"/>
      <c r="G1677" s="1">
        <v>1138</v>
      </c>
      <c r="H1677" s="3"/>
      <c r="I1677" s="14" t="s">
        <v>4689</v>
      </c>
    </row>
    <row r="1678" spans="1:9" ht="18.75" customHeight="1" x14ac:dyDescent="0.4">
      <c r="A1678" s="14" t="s">
        <v>5785</v>
      </c>
      <c r="B1678" s="16" t="str">
        <f>TRIM("五条幼稚園")</f>
        <v>五条幼稚園</v>
      </c>
      <c r="C1678" s="14" t="s">
        <v>1511</v>
      </c>
      <c r="D1678" s="14" t="s">
        <v>498</v>
      </c>
      <c r="E1678" s="1">
        <v>2655.27</v>
      </c>
      <c r="F1678" s="2"/>
      <c r="G1678" s="1">
        <v>1424.56</v>
      </c>
      <c r="H1678" s="3"/>
      <c r="I1678" s="14" t="s">
        <v>5617</v>
      </c>
    </row>
    <row r="1679" spans="1:9" ht="18.75" customHeight="1" x14ac:dyDescent="0.4">
      <c r="A1679" s="14" t="s">
        <v>7000</v>
      </c>
      <c r="B1679" s="16" t="str">
        <f>TRIM("もと職員上之宮寮")</f>
        <v>もと職員上之宮寮</v>
      </c>
      <c r="C1679" s="14" t="s">
        <v>1511</v>
      </c>
      <c r="D1679" s="14" t="s">
        <v>498</v>
      </c>
      <c r="E1679" s="1"/>
      <c r="F1679" s="2"/>
      <c r="G1679" s="1">
        <v>2494</v>
      </c>
      <c r="H1679" s="3" t="s">
        <v>7353</v>
      </c>
      <c r="I1679" s="14" t="s">
        <v>7001</v>
      </c>
    </row>
    <row r="1680" spans="1:9" ht="18.75" customHeight="1" x14ac:dyDescent="0.4">
      <c r="A1680" s="14" t="s">
        <v>2349</v>
      </c>
      <c r="B1680" s="16" t="str">
        <f>TRIM("もと軌道敷（上本町線）")</f>
        <v>もと軌道敷（上本町線）</v>
      </c>
      <c r="C1680" s="14" t="s">
        <v>1511</v>
      </c>
      <c r="D1680" s="14" t="s">
        <v>972</v>
      </c>
      <c r="E1680" s="1">
        <v>38104.39</v>
      </c>
      <c r="F1680" s="2"/>
      <c r="G1680" s="1"/>
      <c r="H1680" s="3"/>
      <c r="I1680" s="14" t="s">
        <v>2177</v>
      </c>
    </row>
    <row r="1681" spans="1:9" ht="18.75" customHeight="1" x14ac:dyDescent="0.4">
      <c r="A1681" s="14" t="s">
        <v>2667</v>
      </c>
      <c r="B1681" s="16" t="str">
        <f>TRIM("　空清町公園")</f>
        <v>空清町公園</v>
      </c>
      <c r="C1681" s="14" t="s">
        <v>1511</v>
      </c>
      <c r="D1681" s="14" t="s">
        <v>972</v>
      </c>
      <c r="E1681" s="1">
        <v>4629.71</v>
      </c>
      <c r="F1681" s="2"/>
      <c r="G1681" s="1"/>
      <c r="H1681" s="3"/>
      <c r="I1681" s="14" t="s">
        <v>2177</v>
      </c>
    </row>
    <row r="1682" spans="1:9" ht="18.75" customHeight="1" x14ac:dyDescent="0.4">
      <c r="A1682" s="14" t="s">
        <v>3847</v>
      </c>
      <c r="B1682" s="16" t="str">
        <f>TRIM("上本町駅自転車駐車場管理事務所")</f>
        <v>上本町駅自転車駐車場管理事務所</v>
      </c>
      <c r="C1682" s="14" t="s">
        <v>1511</v>
      </c>
      <c r="D1682" s="14" t="s">
        <v>892</v>
      </c>
      <c r="E1682" s="1"/>
      <c r="F1682" s="2"/>
      <c r="G1682" s="1">
        <v>9.7200000000000006</v>
      </c>
      <c r="H1682" s="3"/>
      <c r="I1682" s="14" t="s">
        <v>2177</v>
      </c>
    </row>
    <row r="1683" spans="1:9" ht="18.75" customHeight="1" x14ac:dyDescent="0.4">
      <c r="A1683" s="14" t="s">
        <v>6874</v>
      </c>
      <c r="B1683" s="16" t="str">
        <f>TRIM("　道路")</f>
        <v>道路</v>
      </c>
      <c r="C1683" s="14" t="s">
        <v>1511</v>
      </c>
      <c r="D1683" s="14" t="s">
        <v>892</v>
      </c>
      <c r="E1683" s="1">
        <v>440.63</v>
      </c>
      <c r="F1683" s="2"/>
      <c r="G1683" s="1"/>
      <c r="H1683" s="3"/>
      <c r="I1683" s="14" t="s">
        <v>6177</v>
      </c>
    </row>
    <row r="1684" spans="1:9" ht="18.75" customHeight="1" x14ac:dyDescent="0.4">
      <c r="A1684" s="14" t="s">
        <v>2819</v>
      </c>
      <c r="B1684" s="16" t="str">
        <f>TRIM("　上七公園")</f>
        <v>上七公園</v>
      </c>
      <c r="C1684" s="14" t="s">
        <v>1511</v>
      </c>
      <c r="D1684" s="14" t="s">
        <v>1084</v>
      </c>
      <c r="E1684" s="1">
        <v>1110.73</v>
      </c>
      <c r="F1684" s="2"/>
      <c r="G1684" s="1"/>
      <c r="H1684" s="3"/>
      <c r="I1684" s="14" t="s">
        <v>2177</v>
      </c>
    </row>
    <row r="1685" spans="1:9" ht="18.75" customHeight="1" x14ac:dyDescent="0.4">
      <c r="A1685" s="14" t="s">
        <v>5277</v>
      </c>
      <c r="B1685" s="16" t="str">
        <f>TRIM("天王寺消防署")</f>
        <v>天王寺消防署</v>
      </c>
      <c r="C1685" s="14" t="s">
        <v>1511</v>
      </c>
      <c r="D1685" s="14" t="s">
        <v>23</v>
      </c>
      <c r="E1685" s="1">
        <v>1756.48</v>
      </c>
      <c r="F1685" s="2"/>
      <c r="G1685" s="1">
        <v>4554.62</v>
      </c>
      <c r="H1685" s="3"/>
      <c r="I1685" s="14" t="s">
        <v>5219</v>
      </c>
    </row>
    <row r="1686" spans="1:9" ht="18.75" customHeight="1" x14ac:dyDescent="0.4">
      <c r="A1686" s="14" t="s">
        <v>7036</v>
      </c>
      <c r="B1686" s="16" t="str">
        <f>TRIM("大阪国際交流センター")</f>
        <v>大阪国際交流センター</v>
      </c>
      <c r="C1686" s="14" t="s">
        <v>1511</v>
      </c>
      <c r="D1686" s="14" t="s">
        <v>23</v>
      </c>
      <c r="E1686" s="1">
        <v>15790.06</v>
      </c>
      <c r="F1686" s="2"/>
      <c r="G1686" s="1">
        <v>18256.5</v>
      </c>
      <c r="H1686" s="3"/>
      <c r="I1686" s="14" t="s">
        <v>4115</v>
      </c>
    </row>
    <row r="1687" spans="1:9" ht="18.75" customHeight="1" x14ac:dyDescent="0.4">
      <c r="A1687" s="14" t="s">
        <v>2823</v>
      </c>
      <c r="B1687" s="16" t="str">
        <f>TRIM("　上八公園")</f>
        <v>上八公園</v>
      </c>
      <c r="C1687" s="14" t="s">
        <v>1511</v>
      </c>
      <c r="D1687" s="14" t="s">
        <v>23</v>
      </c>
      <c r="E1687" s="1">
        <v>639.42999999999995</v>
      </c>
      <c r="F1687" s="2"/>
      <c r="G1687" s="1"/>
      <c r="H1687" s="3"/>
      <c r="I1687" s="14" t="s">
        <v>2177</v>
      </c>
    </row>
    <row r="1688" spans="1:9" ht="18.75" customHeight="1" x14ac:dyDescent="0.4">
      <c r="A1688" s="14" t="s">
        <v>6850</v>
      </c>
      <c r="B1688" s="16" t="str">
        <f>TRIM("もと区画整理事業用地（天王寺）")</f>
        <v>もと区画整理事業用地（天王寺）</v>
      </c>
      <c r="C1688" s="14" t="s">
        <v>1511</v>
      </c>
      <c r="D1688" s="14" t="s">
        <v>889</v>
      </c>
      <c r="E1688" s="1">
        <v>4.83</v>
      </c>
      <c r="F1688" s="2"/>
      <c r="G1688" s="1"/>
      <c r="H1688" s="3"/>
      <c r="I1688" s="14" t="s">
        <v>6177</v>
      </c>
    </row>
    <row r="1689" spans="1:9" ht="18.75" customHeight="1" x14ac:dyDescent="0.4">
      <c r="A1689" s="14" t="s">
        <v>4889</v>
      </c>
      <c r="B1689" s="16" t="str">
        <f>TRIM("真田山小学校")</f>
        <v>真田山小学校</v>
      </c>
      <c r="C1689" s="14" t="s">
        <v>1511</v>
      </c>
      <c r="D1689" s="14" t="s">
        <v>506</v>
      </c>
      <c r="E1689" s="1">
        <v>9941.0499999999993</v>
      </c>
      <c r="F1689" s="2"/>
      <c r="G1689" s="1">
        <v>9488.32</v>
      </c>
      <c r="H1689" s="3"/>
      <c r="I1689" s="14" t="s">
        <v>4689</v>
      </c>
    </row>
    <row r="1690" spans="1:9" ht="18.75" customHeight="1" x14ac:dyDescent="0.4">
      <c r="A1690" s="14" t="s">
        <v>5794</v>
      </c>
      <c r="B1690" s="16" t="str">
        <f>TRIM("真田山幼稚園")</f>
        <v>真田山幼稚園</v>
      </c>
      <c r="C1690" s="14" t="s">
        <v>1511</v>
      </c>
      <c r="D1690" s="14" t="s">
        <v>506</v>
      </c>
      <c r="E1690" s="1">
        <v>1800.93</v>
      </c>
      <c r="F1690" s="2"/>
      <c r="G1690" s="1">
        <v>1059</v>
      </c>
      <c r="H1690" s="3"/>
      <c r="I1690" s="14" t="s">
        <v>5617</v>
      </c>
    </row>
    <row r="1691" spans="1:9" ht="18.75" customHeight="1" x14ac:dyDescent="0.4">
      <c r="A1691" s="14" t="s">
        <v>2551</v>
      </c>
      <c r="B1691" s="16" t="str">
        <f>TRIM("　逢阪公園")</f>
        <v>逢阪公園</v>
      </c>
      <c r="C1691" s="14" t="s">
        <v>1511</v>
      </c>
      <c r="D1691" s="14" t="s">
        <v>132</v>
      </c>
      <c r="E1691" s="1">
        <v>1841.26</v>
      </c>
      <c r="F1691" s="2"/>
      <c r="G1691" s="1"/>
      <c r="H1691" s="3"/>
      <c r="I1691" s="14" t="s">
        <v>2177</v>
      </c>
    </row>
    <row r="1692" spans="1:9" ht="18.75" customHeight="1" x14ac:dyDescent="0.4">
      <c r="A1692" s="14" t="s">
        <v>3527</v>
      </c>
      <c r="B1692" s="16" t="str">
        <f>TRIM("　逢阪公園")</f>
        <v>逢阪公園</v>
      </c>
      <c r="C1692" s="14" t="s">
        <v>1511</v>
      </c>
      <c r="D1692" s="14" t="s">
        <v>132</v>
      </c>
      <c r="E1692" s="1"/>
      <c r="F1692" s="2"/>
      <c r="G1692" s="1">
        <v>50.4</v>
      </c>
      <c r="H1692" s="3"/>
      <c r="I1692" s="14" t="s">
        <v>2177</v>
      </c>
    </row>
    <row r="1693" spans="1:9" ht="18.75" customHeight="1" x14ac:dyDescent="0.4">
      <c r="A1693" s="14" t="s">
        <v>5368</v>
      </c>
      <c r="B1693" s="16" t="str">
        <f>TRIM("もと下付下水（天王寺）")</f>
        <v>もと下付下水（天王寺）</v>
      </c>
      <c r="C1693" s="14" t="s">
        <v>1511</v>
      </c>
      <c r="D1693" s="14" t="s">
        <v>132</v>
      </c>
      <c r="E1693" s="1">
        <v>70.099999999999994</v>
      </c>
      <c r="F1693" s="2"/>
      <c r="G1693" s="1"/>
      <c r="H1693" s="3"/>
      <c r="I1693" s="14" t="s">
        <v>5349</v>
      </c>
    </row>
    <row r="1694" spans="1:9" ht="18.75" customHeight="1" x14ac:dyDescent="0.4">
      <c r="A1694" s="14" t="s">
        <v>6257</v>
      </c>
      <c r="B1694" s="16" t="str">
        <f>TRIM("勝山第1住宅")</f>
        <v>勝山第1住宅</v>
      </c>
      <c r="C1694" s="14" t="s">
        <v>1511</v>
      </c>
      <c r="D1694" s="14" t="s">
        <v>710</v>
      </c>
      <c r="E1694" s="1">
        <v>2344.8000000000002</v>
      </c>
      <c r="F1694" s="2"/>
      <c r="G1694" s="1">
        <v>7040.88</v>
      </c>
      <c r="H1694" s="3"/>
      <c r="I1694" s="14" t="s">
        <v>6177</v>
      </c>
    </row>
    <row r="1695" spans="1:9" ht="18.75" customHeight="1" x14ac:dyDescent="0.4">
      <c r="A1695" s="14" t="s">
        <v>6347</v>
      </c>
      <c r="B1695" s="16" t="str">
        <f>TRIM("空堀住宅")</f>
        <v>空堀住宅</v>
      </c>
      <c r="C1695" s="14" t="s">
        <v>1511</v>
      </c>
      <c r="D1695" s="14" t="s">
        <v>736</v>
      </c>
      <c r="E1695" s="1">
        <v>814.38</v>
      </c>
      <c r="F1695" s="2">
        <v>2024</v>
      </c>
      <c r="G1695" s="1"/>
      <c r="H1695" s="3"/>
      <c r="I1695" s="14" t="s">
        <v>6177</v>
      </c>
    </row>
    <row r="1696" spans="1:9" ht="18.75" customHeight="1" x14ac:dyDescent="0.4">
      <c r="A1696" s="14" t="s">
        <v>6346</v>
      </c>
      <c r="B1696" s="16" t="str">
        <f>TRIM("空清住宅")</f>
        <v>空清住宅</v>
      </c>
      <c r="C1696" s="14" t="s">
        <v>1511</v>
      </c>
      <c r="D1696" s="14" t="s">
        <v>736</v>
      </c>
      <c r="E1696" s="1">
        <v>3181.53</v>
      </c>
      <c r="F1696" s="2"/>
      <c r="G1696" s="1">
        <v>4757.43</v>
      </c>
      <c r="H1696" s="3"/>
      <c r="I1696" s="14" t="s">
        <v>6177</v>
      </c>
    </row>
    <row r="1697" spans="1:9" ht="18.75" customHeight="1" x14ac:dyDescent="0.4">
      <c r="A1697" s="14" t="s">
        <v>6260</v>
      </c>
      <c r="B1697" s="16" t="str">
        <f>TRIM("もと勝三住宅")</f>
        <v>もと勝三住宅</v>
      </c>
      <c r="C1697" s="14" t="s">
        <v>1511</v>
      </c>
      <c r="D1697" s="14" t="s">
        <v>758</v>
      </c>
      <c r="E1697" s="1">
        <v>2517.58</v>
      </c>
      <c r="F1697" s="2">
        <v>1947</v>
      </c>
      <c r="G1697" s="1"/>
      <c r="H1697" s="3"/>
      <c r="I1697" s="14" t="s">
        <v>6177</v>
      </c>
    </row>
    <row r="1698" spans="1:9" ht="18.75" customHeight="1" x14ac:dyDescent="0.4">
      <c r="A1698" s="14" t="s">
        <v>6776</v>
      </c>
      <c r="B1698" s="16" t="str">
        <f>TRIM("勝三第１住宅")</f>
        <v>勝三第１住宅</v>
      </c>
      <c r="C1698" s="14" t="s">
        <v>1511</v>
      </c>
      <c r="D1698" s="14" t="s">
        <v>758</v>
      </c>
      <c r="E1698" s="1">
        <v>2992.84</v>
      </c>
      <c r="F1698" s="2"/>
      <c r="G1698" s="1">
        <v>9813.57</v>
      </c>
      <c r="H1698" s="3"/>
      <c r="I1698" s="14" t="s">
        <v>6177</v>
      </c>
    </row>
    <row r="1699" spans="1:9" ht="18.75" customHeight="1" x14ac:dyDescent="0.4">
      <c r="A1699" s="14" t="s">
        <v>2678</v>
      </c>
      <c r="B1699" s="16" t="str">
        <f>TRIM("　五条公園")</f>
        <v>五条公園</v>
      </c>
      <c r="C1699" s="14" t="s">
        <v>1511</v>
      </c>
      <c r="D1699" s="14" t="s">
        <v>758</v>
      </c>
      <c r="E1699" s="1">
        <v>9496.36</v>
      </c>
      <c r="F1699" s="2"/>
      <c r="G1699" s="1"/>
      <c r="H1699" s="3"/>
      <c r="I1699" s="14" t="s">
        <v>2177</v>
      </c>
    </row>
    <row r="1700" spans="1:9" ht="18.75" customHeight="1" x14ac:dyDescent="0.4">
      <c r="A1700" s="14" t="s">
        <v>3549</v>
      </c>
      <c r="B1700" s="16" t="str">
        <f>TRIM("　五条公園")</f>
        <v>五条公園</v>
      </c>
      <c r="C1700" s="14" t="s">
        <v>1511</v>
      </c>
      <c r="D1700" s="14" t="s">
        <v>758</v>
      </c>
      <c r="E1700" s="1"/>
      <c r="F1700" s="2"/>
      <c r="G1700" s="1">
        <v>6.8</v>
      </c>
      <c r="H1700" s="3"/>
      <c r="I1700" s="14" t="s">
        <v>2177</v>
      </c>
    </row>
    <row r="1701" spans="1:9" ht="18.75" customHeight="1" x14ac:dyDescent="0.4">
      <c r="A1701" s="14" t="s">
        <v>5965</v>
      </c>
      <c r="B1701" s="16" t="str">
        <f>TRIM("民間移管保育所建設用地（天王寺保育所）")</f>
        <v>民間移管保育所建設用地（天王寺保育所）</v>
      </c>
      <c r="C1701" s="14" t="s">
        <v>1511</v>
      </c>
      <c r="D1701" s="14" t="s">
        <v>758</v>
      </c>
      <c r="E1701" s="1">
        <v>717.07</v>
      </c>
      <c r="F1701" s="2"/>
      <c r="G1701" s="1"/>
      <c r="H1701" s="3"/>
      <c r="I1701" s="14" t="s">
        <v>5617</v>
      </c>
    </row>
    <row r="1702" spans="1:9" ht="18.75" customHeight="1" x14ac:dyDescent="0.4">
      <c r="A1702" s="14" t="s">
        <v>5000</v>
      </c>
      <c r="B1702" s="16" t="str">
        <f>TRIM("天王寺中学校")</f>
        <v>天王寺中学校</v>
      </c>
      <c r="C1702" s="14" t="s">
        <v>1511</v>
      </c>
      <c r="D1702" s="14" t="s">
        <v>1419</v>
      </c>
      <c r="E1702" s="1">
        <v>11805.52</v>
      </c>
      <c r="F1702" s="2"/>
      <c r="G1702" s="1">
        <v>8502.68</v>
      </c>
      <c r="H1702" s="3"/>
      <c r="I1702" s="14" t="s">
        <v>4689</v>
      </c>
    </row>
    <row r="1703" spans="1:9" ht="18.75" customHeight="1" x14ac:dyDescent="0.4">
      <c r="A1703" s="14" t="s">
        <v>1951</v>
      </c>
      <c r="B1703" s="16" t="str">
        <f>TRIM("特別養護老人ホーム四天王寺きたやま苑・夕陽ヶ丘地域在宅サービスステーション")</f>
        <v>特別養護老人ホーム四天王寺きたやま苑・夕陽ヶ丘地域在宅サービスステーション</v>
      </c>
      <c r="C1703" s="14" t="s">
        <v>1511</v>
      </c>
      <c r="D1703" s="14" t="s">
        <v>423</v>
      </c>
      <c r="E1703" s="1">
        <v>1293.02</v>
      </c>
      <c r="F1703" s="2"/>
      <c r="G1703" s="1"/>
      <c r="H1703" s="3"/>
      <c r="I1703" s="14" t="s">
        <v>1654</v>
      </c>
    </row>
    <row r="1704" spans="1:9" ht="18.75" customHeight="1" x14ac:dyDescent="0.4">
      <c r="A1704" s="14" t="s">
        <v>2714</v>
      </c>
      <c r="B1704" s="16" t="str">
        <f>TRIM("　国分公園")</f>
        <v>国分公園</v>
      </c>
      <c r="C1704" s="14" t="s">
        <v>1511</v>
      </c>
      <c r="D1704" s="14" t="s">
        <v>1043</v>
      </c>
      <c r="E1704" s="1">
        <v>4071.57</v>
      </c>
      <c r="F1704" s="2"/>
      <c r="G1704" s="1"/>
      <c r="H1704" s="3"/>
      <c r="I1704" s="14" t="s">
        <v>2177</v>
      </c>
    </row>
    <row r="1705" spans="1:9" ht="18.75" customHeight="1" x14ac:dyDescent="0.4">
      <c r="A1705" s="14" t="s">
        <v>2275</v>
      </c>
      <c r="B1705" s="16" t="str">
        <f>TRIM("大阪枚岡奈良線（天王寺）（管財課）")</f>
        <v>大阪枚岡奈良線（天王寺）（管財課）</v>
      </c>
      <c r="C1705" s="14" t="s">
        <v>1511</v>
      </c>
      <c r="D1705" s="14" t="s">
        <v>944</v>
      </c>
      <c r="E1705" s="1">
        <v>513.79999999999995</v>
      </c>
      <c r="F1705" s="2"/>
      <c r="G1705" s="1"/>
      <c r="H1705" s="3"/>
      <c r="I1705" s="14" t="s">
        <v>2177</v>
      </c>
    </row>
    <row r="1706" spans="1:9" ht="18.75" customHeight="1" x14ac:dyDescent="0.4">
      <c r="A1706" s="14" t="s">
        <v>2799</v>
      </c>
      <c r="B1706" s="16" t="str">
        <f>TRIM("　小橋公園")</f>
        <v>小橋公園</v>
      </c>
      <c r="C1706" s="14" t="s">
        <v>1511</v>
      </c>
      <c r="D1706" s="14" t="s">
        <v>944</v>
      </c>
      <c r="E1706" s="1">
        <v>4130.3100000000004</v>
      </c>
      <c r="F1706" s="2"/>
      <c r="G1706" s="1"/>
      <c r="H1706" s="3"/>
      <c r="I1706" s="14" t="s">
        <v>2177</v>
      </c>
    </row>
    <row r="1707" spans="1:9" ht="18.75" customHeight="1" x14ac:dyDescent="0.4">
      <c r="A1707" s="14" t="s">
        <v>4794</v>
      </c>
      <c r="B1707" s="16" t="str">
        <f>TRIM("五条小学校")</f>
        <v>五条小学校</v>
      </c>
      <c r="C1707" s="14" t="s">
        <v>1511</v>
      </c>
      <c r="D1707" s="14" t="s">
        <v>759</v>
      </c>
      <c r="E1707" s="1">
        <v>7981.34</v>
      </c>
      <c r="F1707" s="2"/>
      <c r="G1707" s="1">
        <v>12481.71</v>
      </c>
      <c r="H1707" s="3"/>
      <c r="I1707" s="14" t="s">
        <v>4689</v>
      </c>
    </row>
    <row r="1708" spans="1:9" ht="18.75" customHeight="1" x14ac:dyDescent="0.4">
      <c r="A1708" s="14" t="s">
        <v>5137</v>
      </c>
      <c r="B1708" s="16" t="str">
        <f>TRIM("夕陽丘中学校")</f>
        <v>夕陽丘中学校</v>
      </c>
      <c r="C1708" s="14" t="s">
        <v>1511</v>
      </c>
      <c r="D1708" s="14" t="s">
        <v>759</v>
      </c>
      <c r="E1708" s="1">
        <v>7590.19</v>
      </c>
      <c r="F1708" s="2"/>
      <c r="G1708" s="1">
        <v>6437.51</v>
      </c>
      <c r="H1708" s="3"/>
      <c r="I1708" s="14" t="s">
        <v>4689</v>
      </c>
    </row>
    <row r="1709" spans="1:9" ht="18.75" customHeight="1" x14ac:dyDescent="0.4">
      <c r="A1709" s="14" t="s">
        <v>6417</v>
      </c>
      <c r="B1709" s="16" t="str">
        <f>TRIM("小宮住宅")</f>
        <v>小宮住宅</v>
      </c>
      <c r="C1709" s="14" t="s">
        <v>1511</v>
      </c>
      <c r="D1709" s="14" t="s">
        <v>759</v>
      </c>
      <c r="E1709" s="1">
        <v>4549.8599999999997</v>
      </c>
      <c r="F1709" s="2"/>
      <c r="G1709" s="1">
        <v>11867.32</v>
      </c>
      <c r="H1709" s="3"/>
      <c r="I1709" s="14" t="s">
        <v>6177</v>
      </c>
    </row>
    <row r="1710" spans="1:9" ht="18.75" customHeight="1" x14ac:dyDescent="0.4">
      <c r="A1710" s="14" t="s">
        <v>2871</v>
      </c>
      <c r="B1710" s="16" t="str">
        <f>TRIM("　真田山公園")</f>
        <v>真田山公園</v>
      </c>
      <c r="C1710" s="14" t="s">
        <v>1511</v>
      </c>
      <c r="D1710" s="14" t="s">
        <v>1100</v>
      </c>
      <c r="E1710" s="1">
        <v>54120.41</v>
      </c>
      <c r="F1710" s="2"/>
      <c r="G1710" s="1"/>
      <c r="H1710" s="3"/>
      <c r="I1710" s="14" t="s">
        <v>2177</v>
      </c>
    </row>
    <row r="1711" spans="1:9" ht="18.75" customHeight="1" x14ac:dyDescent="0.4">
      <c r="A1711" s="14" t="s">
        <v>3585</v>
      </c>
      <c r="B1711" s="16" t="str">
        <f>TRIM("　真田山公園")</f>
        <v>真田山公園</v>
      </c>
      <c r="C1711" s="14" t="s">
        <v>1511</v>
      </c>
      <c r="D1711" s="14" t="s">
        <v>1100</v>
      </c>
      <c r="E1711" s="1"/>
      <c r="F1711" s="2"/>
      <c r="G1711" s="1">
        <v>1213.3900000000001</v>
      </c>
      <c r="H1711" s="3"/>
      <c r="I1711" s="14" t="s">
        <v>2177</v>
      </c>
    </row>
    <row r="1712" spans="1:9" ht="18.75" customHeight="1" x14ac:dyDescent="0.4">
      <c r="A1712" s="14" t="s">
        <v>7152</v>
      </c>
      <c r="B1712" s="16" t="str">
        <f>TRIM("天王寺スポーツセンター・真田山プール")</f>
        <v>天王寺スポーツセンター・真田山プール</v>
      </c>
      <c r="C1712" s="14" t="s">
        <v>1511</v>
      </c>
      <c r="D1712" s="14" t="s">
        <v>1100</v>
      </c>
      <c r="E1712" s="1"/>
      <c r="F1712" s="2"/>
      <c r="G1712" s="1">
        <v>13723.09</v>
      </c>
      <c r="H1712" s="3"/>
      <c r="I1712" s="14" t="s">
        <v>4115</v>
      </c>
    </row>
    <row r="1713" spans="1:9" ht="18.75" customHeight="1" x14ac:dyDescent="0.4">
      <c r="A1713" s="14" t="s">
        <v>4935</v>
      </c>
      <c r="B1713" s="16" t="str">
        <f>TRIM("大江小学校")</f>
        <v>大江小学校</v>
      </c>
      <c r="C1713" s="14" t="s">
        <v>1511</v>
      </c>
      <c r="D1713" s="14" t="s">
        <v>1368</v>
      </c>
      <c r="E1713" s="1">
        <v>4533.0200000000004</v>
      </c>
      <c r="F1713" s="2"/>
      <c r="G1713" s="1">
        <v>4758.6499999999996</v>
      </c>
      <c r="H1713" s="3"/>
      <c r="I1713" s="14" t="s">
        <v>4689</v>
      </c>
    </row>
    <row r="1714" spans="1:9" ht="18.75" customHeight="1" x14ac:dyDescent="0.4">
      <c r="A1714" s="14" t="s">
        <v>3819</v>
      </c>
      <c r="B1714" s="16" t="str">
        <f>TRIM("四天王寺前夕陽丘駅自転車駐車場管理事務所")</f>
        <v>四天王寺前夕陽丘駅自転車駐車場管理事務所</v>
      </c>
      <c r="C1714" s="14" t="s">
        <v>1511</v>
      </c>
      <c r="D1714" s="14" t="s">
        <v>1368</v>
      </c>
      <c r="E1714" s="1"/>
      <c r="F1714" s="2"/>
      <c r="G1714" s="1">
        <v>12.96</v>
      </c>
      <c r="H1714" s="3"/>
      <c r="I1714" s="14" t="s">
        <v>2177</v>
      </c>
    </row>
    <row r="1715" spans="1:9" ht="18.75" customHeight="1" x14ac:dyDescent="0.4">
      <c r="A1715" s="14" t="s">
        <v>5800</v>
      </c>
      <c r="B1715" s="16" t="str">
        <f>TRIM("大江幼稚園")</f>
        <v>大江幼稚園</v>
      </c>
      <c r="C1715" s="14" t="s">
        <v>1511</v>
      </c>
      <c r="D1715" s="14" t="s">
        <v>1368</v>
      </c>
      <c r="E1715" s="1"/>
      <c r="F1715" s="2"/>
      <c r="G1715" s="1">
        <v>580.9</v>
      </c>
      <c r="H1715" s="3"/>
      <c r="I1715" s="14" t="s">
        <v>5617</v>
      </c>
    </row>
    <row r="1716" spans="1:9" ht="18.75" customHeight="1" x14ac:dyDescent="0.4">
      <c r="A1716" s="14" t="s">
        <v>2898</v>
      </c>
      <c r="B1716" s="16" t="str">
        <f>TRIM("　清水谷公園")</f>
        <v>清水谷公園</v>
      </c>
      <c r="C1716" s="14" t="s">
        <v>1511</v>
      </c>
      <c r="D1716" s="14" t="s">
        <v>1106</v>
      </c>
      <c r="E1716" s="1">
        <v>7052.66</v>
      </c>
      <c r="F1716" s="2"/>
      <c r="G1716" s="1"/>
      <c r="H1716" s="3"/>
      <c r="I1716" s="14" t="s">
        <v>2177</v>
      </c>
    </row>
    <row r="1717" spans="1:9" ht="18.75" customHeight="1" x14ac:dyDescent="0.4">
      <c r="A1717" s="14" t="s">
        <v>2979</v>
      </c>
      <c r="B1717" s="16" t="str">
        <f>TRIM("　大岸公園")</f>
        <v>大岸公園</v>
      </c>
      <c r="C1717" s="14" t="s">
        <v>1511</v>
      </c>
      <c r="D1717" s="14" t="s">
        <v>1128</v>
      </c>
      <c r="E1717" s="1">
        <v>451.12</v>
      </c>
      <c r="F1717" s="2"/>
      <c r="G1717" s="1"/>
      <c r="H1717" s="3"/>
      <c r="I1717" s="14" t="s">
        <v>2177</v>
      </c>
    </row>
    <row r="1718" spans="1:9" ht="18.75" customHeight="1" x14ac:dyDescent="0.4">
      <c r="A1718" s="14" t="s">
        <v>4809</v>
      </c>
      <c r="B1718" s="16" t="str">
        <f>TRIM("高津中学校")</f>
        <v>高津中学校</v>
      </c>
      <c r="C1718" s="14" t="s">
        <v>1511</v>
      </c>
      <c r="D1718" s="14" t="s">
        <v>1392</v>
      </c>
      <c r="E1718" s="1">
        <v>6928.79</v>
      </c>
      <c r="F1718" s="2"/>
      <c r="G1718" s="1">
        <v>5772.31</v>
      </c>
      <c r="H1718" s="3"/>
      <c r="I1718" s="14" t="s">
        <v>4689</v>
      </c>
    </row>
    <row r="1719" spans="1:9" ht="18.75" customHeight="1" x14ac:dyDescent="0.4">
      <c r="A1719" s="14" t="s">
        <v>4430</v>
      </c>
      <c r="B1719" s="16" t="str">
        <f>TRIM("天王寺区役所")</f>
        <v>天王寺区役所</v>
      </c>
      <c r="C1719" s="14" t="s">
        <v>1511</v>
      </c>
      <c r="D1719" s="14" t="s">
        <v>6</v>
      </c>
      <c r="E1719" s="1">
        <v>2599.08</v>
      </c>
      <c r="F1719" s="2"/>
      <c r="G1719" s="1">
        <v>7071.93</v>
      </c>
      <c r="H1719" s="3"/>
      <c r="I1719" s="14" t="s">
        <v>2106</v>
      </c>
    </row>
    <row r="1720" spans="1:9" ht="18.75" customHeight="1" x14ac:dyDescent="0.4">
      <c r="A1720" s="14" t="s">
        <v>4025</v>
      </c>
      <c r="B1720" s="16" t="str">
        <f>TRIM("下水道用地（天王寺）")</f>
        <v>下水道用地（天王寺）</v>
      </c>
      <c r="C1720" s="14" t="s">
        <v>1511</v>
      </c>
      <c r="D1720" s="14" t="s">
        <v>6</v>
      </c>
      <c r="E1720" s="1">
        <v>12140.33</v>
      </c>
      <c r="F1720" s="2"/>
      <c r="G1720" s="1"/>
      <c r="H1720" s="3"/>
      <c r="I1720" s="14" t="s">
        <v>2177</v>
      </c>
    </row>
    <row r="1721" spans="1:9" ht="18.75" customHeight="1" x14ac:dyDescent="0.4">
      <c r="A1721" s="14" t="s">
        <v>5770</v>
      </c>
      <c r="B1721" s="16" t="str">
        <f>TRIM("あろんてぃあきっず真法院町保育園")</f>
        <v>あろんてぃあきっず真法院町保育園</v>
      </c>
      <c r="C1721" s="14" t="s">
        <v>1511</v>
      </c>
      <c r="D1721" s="14" t="s">
        <v>6</v>
      </c>
      <c r="E1721" s="1">
        <v>1022.66</v>
      </c>
      <c r="F1721" s="2"/>
      <c r="G1721" s="1"/>
      <c r="H1721" s="3"/>
      <c r="I1721" s="14" t="s">
        <v>5617</v>
      </c>
    </row>
    <row r="1722" spans="1:9" ht="18.75" customHeight="1" x14ac:dyDescent="0.4">
      <c r="A1722" s="14" t="s">
        <v>7011</v>
      </c>
      <c r="B1722" s="16" t="str">
        <f>TRIM("もと天王寺公設市場")</f>
        <v>もと天王寺公設市場</v>
      </c>
      <c r="C1722" s="14" t="s">
        <v>1511</v>
      </c>
      <c r="D1722" s="14" t="s">
        <v>6</v>
      </c>
      <c r="E1722" s="1">
        <v>182.63</v>
      </c>
      <c r="F1722" s="2"/>
      <c r="G1722" s="1"/>
      <c r="H1722" s="3"/>
      <c r="I1722" s="14" t="s">
        <v>4115</v>
      </c>
    </row>
    <row r="1723" spans="1:9" ht="18.75" customHeight="1" x14ac:dyDescent="0.4">
      <c r="A1723" s="14" t="s">
        <v>2308</v>
      </c>
      <c r="B1723" s="16" t="str">
        <f>TRIM("道路（天王寺）（管財課）")</f>
        <v>道路（天王寺）（管財課）</v>
      </c>
      <c r="C1723" s="14" t="s">
        <v>1511</v>
      </c>
      <c r="D1723" s="14" t="s">
        <v>955</v>
      </c>
      <c r="E1723" s="1">
        <v>692987.2</v>
      </c>
      <c r="F1723" s="2" t="s">
        <v>7320</v>
      </c>
      <c r="G1723" s="1"/>
      <c r="H1723" s="3"/>
      <c r="I1723" s="14" t="s">
        <v>2177</v>
      </c>
    </row>
    <row r="1724" spans="1:9" ht="18.75" customHeight="1" x14ac:dyDescent="0.4">
      <c r="A1724" s="14" t="s">
        <v>4999</v>
      </c>
      <c r="B1724" s="16" t="str">
        <f>TRIM("天王寺小学校")</f>
        <v>天王寺小学校</v>
      </c>
      <c r="C1724" s="14" t="s">
        <v>1511</v>
      </c>
      <c r="D1724" s="14" t="s">
        <v>955</v>
      </c>
      <c r="E1724" s="1">
        <v>8748.66</v>
      </c>
      <c r="F1724" s="2"/>
      <c r="G1724" s="1">
        <v>4306.87</v>
      </c>
      <c r="H1724" s="3"/>
      <c r="I1724" s="14" t="s">
        <v>4689</v>
      </c>
    </row>
    <row r="1725" spans="1:9" ht="18.75" customHeight="1" x14ac:dyDescent="0.4">
      <c r="A1725" s="14" t="s">
        <v>2361</v>
      </c>
      <c r="B1725" s="16" t="str">
        <f>TRIM("もと軌道敷(天王寺阿倍野線)")</f>
        <v>もと軌道敷(天王寺阿倍野線)</v>
      </c>
      <c r="C1725" s="14" t="s">
        <v>1511</v>
      </c>
      <c r="D1725" s="14" t="s">
        <v>955</v>
      </c>
      <c r="E1725" s="1">
        <v>20557.849999999999</v>
      </c>
      <c r="F1725" s="2"/>
      <c r="G1725" s="1"/>
      <c r="H1725" s="3"/>
      <c r="I1725" s="14" t="s">
        <v>2177</v>
      </c>
    </row>
    <row r="1726" spans="1:9" ht="18.75" customHeight="1" x14ac:dyDescent="0.4">
      <c r="A1726" s="14" t="s">
        <v>5278</v>
      </c>
      <c r="B1726" s="16" t="str">
        <f>TRIM("天王寺消防署元町出張所")</f>
        <v>天王寺消防署元町出張所</v>
      </c>
      <c r="C1726" s="14" t="s">
        <v>1511</v>
      </c>
      <c r="D1726" s="14" t="s">
        <v>4432</v>
      </c>
      <c r="E1726" s="1">
        <v>803.17</v>
      </c>
      <c r="F1726" s="2"/>
      <c r="G1726" s="1">
        <v>1192.02</v>
      </c>
      <c r="H1726" s="3"/>
      <c r="I1726" s="14" t="s">
        <v>5219</v>
      </c>
    </row>
    <row r="1727" spans="1:9" ht="18.75" customHeight="1" x14ac:dyDescent="0.4">
      <c r="A1727" s="14" t="s">
        <v>4431</v>
      </c>
      <c r="B1727" s="16" t="str">
        <f>TRIM("四天王寺東交番")</f>
        <v>四天王寺東交番</v>
      </c>
      <c r="C1727" s="14" t="s">
        <v>1511</v>
      </c>
      <c r="D1727" s="14" t="s">
        <v>4432</v>
      </c>
      <c r="E1727" s="1">
        <v>96.88</v>
      </c>
      <c r="F1727" s="2"/>
      <c r="G1727" s="1"/>
      <c r="H1727" s="3"/>
      <c r="I1727" s="14" t="s">
        <v>2106</v>
      </c>
    </row>
    <row r="1728" spans="1:9" ht="18.75" customHeight="1" x14ac:dyDescent="0.4">
      <c r="A1728" s="14" t="s">
        <v>2568</v>
      </c>
      <c r="B1728" s="16" t="str">
        <f>TRIM("　稲生公園")</f>
        <v>稲生公園</v>
      </c>
      <c r="C1728" s="14" t="s">
        <v>1511</v>
      </c>
      <c r="D1728" s="14" t="s">
        <v>1000</v>
      </c>
      <c r="E1728" s="1">
        <v>3012.89</v>
      </c>
      <c r="F1728" s="2"/>
      <c r="G1728" s="1"/>
      <c r="H1728" s="3"/>
      <c r="I1728" s="14" t="s">
        <v>2177</v>
      </c>
    </row>
    <row r="1729" spans="1:9" ht="18.75" customHeight="1" x14ac:dyDescent="0.4">
      <c r="A1729" s="14" t="s">
        <v>2105</v>
      </c>
      <c r="B1729" s="16" t="str">
        <f>TRIM("天王寺連合会館老人憩の家")</f>
        <v>天王寺連合会館老人憩の家</v>
      </c>
      <c r="C1729" s="14" t="s">
        <v>1511</v>
      </c>
      <c r="D1729" s="14" t="s">
        <v>1134</v>
      </c>
      <c r="E1729" s="1">
        <v>150</v>
      </c>
      <c r="F1729" s="2"/>
      <c r="G1729" s="1"/>
      <c r="H1729" s="3"/>
      <c r="I1729" s="14" t="s">
        <v>2106</v>
      </c>
    </row>
    <row r="1730" spans="1:9" ht="18.75" customHeight="1" x14ac:dyDescent="0.4">
      <c r="A1730" s="14" t="s">
        <v>2995</v>
      </c>
      <c r="B1730" s="16" t="str">
        <f>TRIM("　大道北公園")</f>
        <v>大道北公園</v>
      </c>
      <c r="C1730" s="14" t="s">
        <v>1511</v>
      </c>
      <c r="D1730" s="14" t="s">
        <v>1134</v>
      </c>
      <c r="E1730" s="1">
        <v>3789.92</v>
      </c>
      <c r="F1730" s="2"/>
      <c r="G1730" s="1"/>
      <c r="H1730" s="3"/>
      <c r="I1730" s="14" t="s">
        <v>2177</v>
      </c>
    </row>
    <row r="1731" spans="1:9" ht="18.75" customHeight="1" x14ac:dyDescent="0.4">
      <c r="A1731" s="14" t="s">
        <v>2994</v>
      </c>
      <c r="B1731" s="16" t="str">
        <f>TRIM("　大道南公園")</f>
        <v>大道南公園</v>
      </c>
      <c r="C1731" s="14" t="s">
        <v>1511</v>
      </c>
      <c r="D1731" s="14" t="s">
        <v>1133</v>
      </c>
      <c r="E1731" s="1">
        <v>4121.76</v>
      </c>
      <c r="F1731" s="2">
        <v>367</v>
      </c>
      <c r="G1731" s="1"/>
      <c r="H1731" s="3"/>
      <c r="I1731" s="14" t="s">
        <v>2177</v>
      </c>
    </row>
    <row r="1732" spans="1:9" ht="18.75" customHeight="1" x14ac:dyDescent="0.4">
      <c r="A1732" s="14" t="s">
        <v>3821</v>
      </c>
      <c r="B1732" s="16" t="str">
        <f>TRIM("寺田町駅自転車駐車場管理事務所")</f>
        <v>寺田町駅自転車駐車場管理事務所</v>
      </c>
      <c r="C1732" s="14" t="s">
        <v>1511</v>
      </c>
      <c r="D1732" s="14" t="s">
        <v>1133</v>
      </c>
      <c r="E1732" s="1"/>
      <c r="F1732" s="2"/>
      <c r="G1732" s="1">
        <v>10.46</v>
      </c>
      <c r="H1732" s="3"/>
      <c r="I1732" s="14" t="s">
        <v>2177</v>
      </c>
    </row>
    <row r="1733" spans="1:9" ht="18.75" customHeight="1" x14ac:dyDescent="0.4">
      <c r="A1733" s="14" t="s">
        <v>3976</v>
      </c>
      <c r="B1733" s="16" t="str">
        <f>TRIM("寺田町自転車駐車場管理事務所")</f>
        <v>寺田町自転車駐車場管理事務所</v>
      </c>
      <c r="C1733" s="14" t="s">
        <v>1511</v>
      </c>
      <c r="D1733" s="14" t="s">
        <v>1133</v>
      </c>
      <c r="E1733" s="1"/>
      <c r="F1733" s="2"/>
      <c r="G1733" s="1">
        <v>6.48</v>
      </c>
      <c r="H1733" s="3"/>
      <c r="I1733" s="14" t="s">
        <v>2177</v>
      </c>
    </row>
    <row r="1734" spans="1:9" ht="18.75" customHeight="1" x14ac:dyDescent="0.4">
      <c r="A1734" s="14" t="s">
        <v>2732</v>
      </c>
      <c r="B1734" s="16" t="str">
        <f>TRIM("　宰相山公園")</f>
        <v>宰相山公園</v>
      </c>
      <c r="C1734" s="14" t="s">
        <v>1511</v>
      </c>
      <c r="D1734" s="14" t="s">
        <v>1052</v>
      </c>
      <c r="E1734" s="1">
        <v>4027.63</v>
      </c>
      <c r="F1734" s="2"/>
      <c r="G1734" s="1"/>
      <c r="H1734" s="3"/>
      <c r="I1734" s="14" t="s">
        <v>2177</v>
      </c>
    </row>
    <row r="1735" spans="1:9" ht="18.75" customHeight="1" x14ac:dyDescent="0.4">
      <c r="A1735" s="14" t="s">
        <v>2733</v>
      </c>
      <c r="B1735" s="16" t="str">
        <f>TRIM("　宰相山西公園")</f>
        <v>宰相山西公園</v>
      </c>
      <c r="C1735" s="14" t="s">
        <v>1511</v>
      </c>
      <c r="D1735" s="14" t="s">
        <v>1052</v>
      </c>
      <c r="E1735" s="1">
        <v>6672.19</v>
      </c>
      <c r="F1735" s="2"/>
      <c r="G1735" s="1"/>
      <c r="H1735" s="3"/>
      <c r="I1735" s="14" t="s">
        <v>2177</v>
      </c>
    </row>
    <row r="1736" spans="1:9" ht="18.75" customHeight="1" x14ac:dyDescent="0.4">
      <c r="A1736" s="14" t="s">
        <v>3559</v>
      </c>
      <c r="B1736" s="16" t="str">
        <f>TRIM("　宰相山公園")</f>
        <v>宰相山公園</v>
      </c>
      <c r="C1736" s="14" t="s">
        <v>1511</v>
      </c>
      <c r="D1736" s="14" t="s">
        <v>1052</v>
      </c>
      <c r="E1736" s="1"/>
      <c r="F1736" s="2"/>
      <c r="G1736" s="1">
        <v>6.17</v>
      </c>
      <c r="H1736" s="3"/>
      <c r="I1736" s="14" t="s">
        <v>2177</v>
      </c>
    </row>
    <row r="1737" spans="1:9" ht="18.75" customHeight="1" x14ac:dyDescent="0.4">
      <c r="A1737" s="14" t="s">
        <v>5545</v>
      </c>
      <c r="B1737" s="16" t="str">
        <f>TRIM("廃道（天王寺）")</f>
        <v>廃道（天王寺）</v>
      </c>
      <c r="C1737" s="14" t="s">
        <v>1511</v>
      </c>
      <c r="D1737" s="14" t="s">
        <v>264</v>
      </c>
      <c r="E1737" s="1">
        <v>2.0299999999999998</v>
      </c>
      <c r="F1737" s="2">
        <v>1601</v>
      </c>
      <c r="G1737" s="1"/>
      <c r="H1737" s="3"/>
      <c r="I1737" s="14" t="s">
        <v>5349</v>
      </c>
    </row>
    <row r="1738" spans="1:9" ht="18.75" customHeight="1" x14ac:dyDescent="0.4">
      <c r="A1738" s="14" t="s">
        <v>1952</v>
      </c>
      <c r="B1738" s="16" t="str">
        <f>TRIM("特別養護老人ホーム四天王寺たまつくり苑・軽費老人ホーム四天王寺たまつくり苑・ 高津地域在宅サービスステーション・地域活動支援センター四天王寺たまつくり苑")</f>
        <v>特別養護老人ホーム四天王寺たまつくり苑・軽費老人ホーム四天王寺たまつくり苑・ 高津地域在宅サービスステーション・地域活動支援センター四天王寺たまつくり苑</v>
      </c>
      <c r="C1738" s="14" t="s">
        <v>1511</v>
      </c>
      <c r="D1738" s="14" t="s">
        <v>264</v>
      </c>
      <c r="E1738" s="1">
        <v>1648.45</v>
      </c>
      <c r="F1738" s="2"/>
      <c r="G1738" s="1"/>
      <c r="H1738" s="3"/>
      <c r="I1738" s="14" t="s">
        <v>1654</v>
      </c>
    </row>
    <row r="1739" spans="1:9" ht="18.75" customHeight="1" x14ac:dyDescent="0.4">
      <c r="A1739" s="14" t="s">
        <v>2351</v>
      </c>
      <c r="B1739" s="16" t="str">
        <f>TRIM("もと軌道敷(霞町玉造線)")</f>
        <v>もと軌道敷(霞町玉造線)</v>
      </c>
      <c r="C1739" s="14" t="s">
        <v>1511</v>
      </c>
      <c r="D1739" s="14" t="s">
        <v>264</v>
      </c>
      <c r="E1739" s="1">
        <v>61373.41</v>
      </c>
      <c r="F1739" s="2"/>
      <c r="G1739" s="1"/>
      <c r="H1739" s="3"/>
      <c r="I1739" s="14" t="s">
        <v>2177</v>
      </c>
    </row>
    <row r="1740" spans="1:9" ht="18.75" customHeight="1" x14ac:dyDescent="0.4">
      <c r="A1740" s="14" t="s">
        <v>2360</v>
      </c>
      <c r="B1740" s="16" t="str">
        <f>TRIM("もと軌道敷(玉造線)")</f>
        <v>もと軌道敷(玉造線)</v>
      </c>
      <c r="C1740" s="14" t="s">
        <v>1511</v>
      </c>
      <c r="D1740" s="14" t="s">
        <v>264</v>
      </c>
      <c r="E1740" s="1">
        <v>17443.09</v>
      </c>
      <c r="F1740" s="2"/>
      <c r="G1740" s="1"/>
      <c r="H1740" s="3"/>
      <c r="I1740" s="14" t="s">
        <v>2177</v>
      </c>
    </row>
    <row r="1741" spans="1:9" ht="18.75" customHeight="1" x14ac:dyDescent="0.4">
      <c r="A1741" s="14" t="s">
        <v>4433</v>
      </c>
      <c r="B1741" s="16" t="str">
        <f>TRIM("地域集会所（天王寺区玉造元町）")</f>
        <v>地域集会所（天王寺区玉造元町）</v>
      </c>
      <c r="C1741" s="14" t="s">
        <v>1511</v>
      </c>
      <c r="D1741" s="14" t="s">
        <v>264</v>
      </c>
      <c r="E1741" s="1">
        <v>66.38</v>
      </c>
      <c r="F1741" s="2"/>
      <c r="G1741" s="1"/>
      <c r="H1741" s="3"/>
      <c r="I1741" s="14" t="s">
        <v>2106</v>
      </c>
    </row>
    <row r="1742" spans="1:9" ht="18.75" customHeight="1" x14ac:dyDescent="0.4">
      <c r="A1742" s="14" t="s">
        <v>5771</v>
      </c>
      <c r="B1742" s="16" t="str">
        <f>TRIM("ゆめ玉造保育園")</f>
        <v>ゆめ玉造保育園</v>
      </c>
      <c r="C1742" s="14" t="s">
        <v>1511</v>
      </c>
      <c r="D1742" s="14" t="s">
        <v>264</v>
      </c>
      <c r="E1742" s="1">
        <v>746.5</v>
      </c>
      <c r="F1742" s="2"/>
      <c r="G1742" s="1"/>
      <c r="H1742" s="3"/>
      <c r="I1742" s="14" t="s">
        <v>5617</v>
      </c>
    </row>
    <row r="1743" spans="1:9" ht="18.75" customHeight="1" x14ac:dyDescent="0.4">
      <c r="A1743" s="14" t="s">
        <v>3100</v>
      </c>
      <c r="B1743" s="16" t="str">
        <f>TRIM("　天王寺公園")</f>
        <v>天王寺公園</v>
      </c>
      <c r="C1743" s="14" t="s">
        <v>1511</v>
      </c>
      <c r="D1743" s="14" t="s">
        <v>1172</v>
      </c>
      <c r="E1743" s="1">
        <v>258901.81</v>
      </c>
      <c r="F1743" s="2"/>
      <c r="G1743" s="1"/>
      <c r="H1743" s="3"/>
      <c r="I1743" s="14" t="s">
        <v>2177</v>
      </c>
    </row>
    <row r="1744" spans="1:9" ht="18.75" customHeight="1" x14ac:dyDescent="0.4">
      <c r="A1744" s="14" t="s">
        <v>3636</v>
      </c>
      <c r="B1744" s="16" t="str">
        <f>TRIM("　天王寺公園")</f>
        <v>天王寺公園</v>
      </c>
      <c r="C1744" s="14" t="s">
        <v>1511</v>
      </c>
      <c r="D1744" s="14" t="s">
        <v>1172</v>
      </c>
      <c r="E1744" s="1"/>
      <c r="F1744" s="2"/>
      <c r="G1744" s="1">
        <v>1564.51</v>
      </c>
      <c r="H1744" s="3"/>
      <c r="I1744" s="14" t="s">
        <v>2177</v>
      </c>
    </row>
    <row r="1745" spans="1:9" ht="18.75" customHeight="1" x14ac:dyDescent="0.4">
      <c r="A1745" s="18"/>
      <c r="B1745" s="14" t="s">
        <v>7186</v>
      </c>
      <c r="C1745" s="14" t="s">
        <v>7187</v>
      </c>
      <c r="D1745" s="1" t="s">
        <v>7188</v>
      </c>
      <c r="E1745" s="2"/>
      <c r="F1745" s="2"/>
      <c r="G1745" s="1">
        <v>270.79000000000002</v>
      </c>
      <c r="H1745" s="1"/>
      <c r="I1745" s="1" t="s">
        <v>2177</v>
      </c>
    </row>
    <row r="1746" spans="1:9" ht="18.75" customHeight="1" x14ac:dyDescent="0.4">
      <c r="A1746" s="14" t="s">
        <v>4909</v>
      </c>
      <c r="B1746" s="16" t="str">
        <f>TRIM("聖和小学校")</f>
        <v>聖和小学校</v>
      </c>
      <c r="C1746" s="14" t="s">
        <v>1511</v>
      </c>
      <c r="D1746" s="14" t="s">
        <v>1068</v>
      </c>
      <c r="E1746" s="1">
        <v>7425.48</v>
      </c>
      <c r="F1746" s="2"/>
      <c r="G1746" s="1">
        <v>11173.81</v>
      </c>
      <c r="H1746" s="3"/>
      <c r="I1746" s="14" t="s">
        <v>4689</v>
      </c>
    </row>
    <row r="1747" spans="1:9" ht="18.75" customHeight="1" x14ac:dyDescent="0.4">
      <c r="A1747" s="14" t="s">
        <v>2769</v>
      </c>
      <c r="B1747" s="16" t="str">
        <f>TRIM("　寺田町公園")</f>
        <v>寺田町公園</v>
      </c>
      <c r="C1747" s="14" t="s">
        <v>1511</v>
      </c>
      <c r="D1747" s="14" t="s">
        <v>1068</v>
      </c>
      <c r="E1747" s="1">
        <v>12864.56</v>
      </c>
      <c r="F1747" s="2"/>
      <c r="G1747" s="1"/>
      <c r="H1747" s="3"/>
      <c r="I1747" s="14" t="s">
        <v>2177</v>
      </c>
    </row>
    <row r="1748" spans="1:9" ht="18.75" customHeight="1" x14ac:dyDescent="0.4">
      <c r="A1748" s="14" t="s">
        <v>3568</v>
      </c>
      <c r="B1748" s="16" t="str">
        <f>TRIM("　寺田町公園")</f>
        <v>寺田町公園</v>
      </c>
      <c r="C1748" s="14" t="s">
        <v>1511</v>
      </c>
      <c r="D1748" s="14" t="s">
        <v>1068</v>
      </c>
      <c r="E1748" s="1"/>
      <c r="F1748" s="2"/>
      <c r="G1748" s="1">
        <v>30</v>
      </c>
      <c r="H1748" s="3"/>
      <c r="I1748" s="14" t="s">
        <v>2177</v>
      </c>
    </row>
    <row r="1749" spans="1:9" ht="18.75" customHeight="1" x14ac:dyDescent="0.4">
      <c r="A1749" s="14" t="s">
        <v>5034</v>
      </c>
      <c r="B1749" s="16" t="str">
        <f>TRIM("桃陽小学校")</f>
        <v>桃陽小学校</v>
      </c>
      <c r="C1749" s="14" t="s">
        <v>1511</v>
      </c>
      <c r="D1749" s="14" t="s">
        <v>1424</v>
      </c>
      <c r="E1749" s="1">
        <v>5195.2299999999996</v>
      </c>
      <c r="F1749" s="2"/>
      <c r="G1749" s="1">
        <v>6136.88</v>
      </c>
      <c r="H1749" s="3"/>
      <c r="I1749" s="14" t="s">
        <v>4689</v>
      </c>
    </row>
    <row r="1750" spans="1:9" ht="18.75" customHeight="1" x14ac:dyDescent="0.4">
      <c r="A1750" s="14" t="s">
        <v>3920</v>
      </c>
      <c r="B1750" s="16" t="str">
        <f>TRIM("桃谷駅自転車駐車場管理ボックス")</f>
        <v>桃谷駅自転車駐車場管理ボックス</v>
      </c>
      <c r="C1750" s="14" t="s">
        <v>1511</v>
      </c>
      <c r="D1750" s="14" t="s">
        <v>1424</v>
      </c>
      <c r="E1750" s="1"/>
      <c r="F1750" s="2"/>
      <c r="G1750" s="1">
        <v>1.44</v>
      </c>
      <c r="H1750" s="3"/>
      <c r="I1750" s="14" t="s">
        <v>2177</v>
      </c>
    </row>
    <row r="1751" spans="1:9" ht="18.75" customHeight="1" x14ac:dyDescent="0.4">
      <c r="A1751" s="14" t="s">
        <v>6584</v>
      </c>
      <c r="B1751" s="16" t="str">
        <f>TRIM("堂ヶ芝住宅")</f>
        <v>堂ヶ芝住宅</v>
      </c>
      <c r="C1751" s="14" t="s">
        <v>1511</v>
      </c>
      <c r="D1751" s="14" t="s">
        <v>811</v>
      </c>
      <c r="E1751" s="1">
        <v>4069.51</v>
      </c>
      <c r="F1751" s="2">
        <v>2131</v>
      </c>
      <c r="G1751" s="1">
        <v>15517.91</v>
      </c>
      <c r="H1751" s="3"/>
      <c r="I1751" s="14" t="s">
        <v>6177</v>
      </c>
    </row>
    <row r="1752" spans="1:9" ht="18.75" customHeight="1" x14ac:dyDescent="0.4">
      <c r="A1752" s="14" t="s">
        <v>2679</v>
      </c>
      <c r="B1752" s="16" t="str">
        <f>TRIM("　五条小公園")</f>
        <v>五条小公園</v>
      </c>
      <c r="C1752" s="14" t="s">
        <v>1511</v>
      </c>
      <c r="D1752" s="14" t="s">
        <v>811</v>
      </c>
      <c r="E1752" s="1">
        <v>1158.6400000000001</v>
      </c>
      <c r="F1752" s="2"/>
      <c r="G1752" s="1"/>
      <c r="H1752" s="3"/>
      <c r="I1752" s="14" t="s">
        <v>2177</v>
      </c>
    </row>
    <row r="1753" spans="1:9" ht="18.75" customHeight="1" x14ac:dyDescent="0.4">
      <c r="A1753" s="14" t="s">
        <v>5970</v>
      </c>
      <c r="B1753" s="16" t="str">
        <f>TRIM("もと天王寺保育所")</f>
        <v>もと天王寺保育所</v>
      </c>
      <c r="C1753" s="14" t="s">
        <v>1511</v>
      </c>
      <c r="D1753" s="14" t="s">
        <v>811</v>
      </c>
      <c r="E1753" s="1"/>
      <c r="F1753" s="2"/>
      <c r="G1753" s="1">
        <v>272.44</v>
      </c>
      <c r="H1753" s="3"/>
      <c r="I1753" s="14" t="s">
        <v>5617</v>
      </c>
    </row>
    <row r="1754" spans="1:9" ht="18.75" customHeight="1" x14ac:dyDescent="0.4">
      <c r="A1754" s="14" t="s">
        <v>6788</v>
      </c>
      <c r="B1754" s="16" t="str">
        <f>TRIM("もと堂ヶ芝住宅")</f>
        <v>もと堂ヶ芝住宅</v>
      </c>
      <c r="C1754" s="14" t="s">
        <v>1511</v>
      </c>
      <c r="D1754" s="14" t="s">
        <v>811</v>
      </c>
      <c r="E1754" s="1"/>
      <c r="F1754" s="2"/>
      <c r="G1754" s="1">
        <v>758.65</v>
      </c>
      <c r="H1754" s="3"/>
      <c r="I1754" s="14" t="s">
        <v>6177</v>
      </c>
    </row>
    <row r="1755" spans="1:9" ht="18.75" customHeight="1" x14ac:dyDescent="0.4">
      <c r="A1755" s="14" t="s">
        <v>6965</v>
      </c>
      <c r="B1755" s="16" t="str">
        <f>TRIM("もと環境科学研究所")</f>
        <v>もと環境科学研究所</v>
      </c>
      <c r="C1755" s="14" t="s">
        <v>1511</v>
      </c>
      <c r="D1755" s="14" t="s">
        <v>362</v>
      </c>
      <c r="E1755" s="1">
        <v>5477.13</v>
      </c>
      <c r="F1755" s="2">
        <v>2067</v>
      </c>
      <c r="G1755" s="1">
        <v>9614.94</v>
      </c>
      <c r="H1755" s="3" t="s">
        <v>7353</v>
      </c>
      <c r="I1755" s="14" t="s">
        <v>2402</v>
      </c>
    </row>
    <row r="1756" spans="1:9" ht="18.75" customHeight="1" x14ac:dyDescent="0.4">
      <c r="A1756" s="14" t="s">
        <v>1751</v>
      </c>
      <c r="B1756" s="16" t="str">
        <f>TRIM("もと中央授産場")</f>
        <v>もと中央授産場</v>
      </c>
      <c r="C1756" s="14" t="s">
        <v>1511</v>
      </c>
      <c r="D1756" s="14" t="s">
        <v>362</v>
      </c>
      <c r="E1756" s="1">
        <v>2243.6</v>
      </c>
      <c r="F1756" s="2"/>
      <c r="G1756" s="1"/>
      <c r="H1756" s="3"/>
      <c r="I1756" s="14" t="s">
        <v>1654</v>
      </c>
    </row>
    <row r="1757" spans="1:9" ht="18.75" customHeight="1" x14ac:dyDescent="0.4">
      <c r="A1757" s="14" t="s">
        <v>3140</v>
      </c>
      <c r="B1757" s="16" t="str">
        <f>TRIM("　東上町公園")</f>
        <v>東上町公園</v>
      </c>
      <c r="C1757" s="14" t="s">
        <v>1511</v>
      </c>
      <c r="D1757" s="14" t="s">
        <v>362</v>
      </c>
      <c r="E1757" s="1">
        <v>1220.93</v>
      </c>
      <c r="F1757" s="2"/>
      <c r="G1757" s="1"/>
      <c r="H1757" s="3"/>
      <c r="I1757" s="14" t="s">
        <v>2177</v>
      </c>
    </row>
    <row r="1758" spans="1:9" ht="18.75" customHeight="1" x14ac:dyDescent="0.4">
      <c r="A1758" s="14" t="s">
        <v>1665</v>
      </c>
      <c r="B1758" s="16" t="str">
        <f>TRIM("社会福祉センター")</f>
        <v>社会福祉センター</v>
      </c>
      <c r="C1758" s="14" t="s">
        <v>1511</v>
      </c>
      <c r="D1758" s="14" t="s">
        <v>2</v>
      </c>
      <c r="E1758" s="1">
        <v>1333.32</v>
      </c>
      <c r="F1758" s="2"/>
      <c r="G1758" s="1">
        <v>4889.42</v>
      </c>
      <c r="H1758" s="3"/>
      <c r="I1758" s="14" t="s">
        <v>1654</v>
      </c>
    </row>
    <row r="1759" spans="1:9" ht="18.75" customHeight="1" x14ac:dyDescent="0.4">
      <c r="A1759" s="14" t="s">
        <v>3133</v>
      </c>
      <c r="B1759" s="16" t="str">
        <f>TRIM("　東高津公園")</f>
        <v>東高津公園</v>
      </c>
      <c r="C1759" s="14" t="s">
        <v>1511</v>
      </c>
      <c r="D1759" s="14" t="s">
        <v>2</v>
      </c>
      <c r="E1759" s="1">
        <v>6089.68</v>
      </c>
      <c r="F1759" s="2"/>
      <c r="G1759" s="1"/>
      <c r="H1759" s="3"/>
      <c r="I1759" s="14" t="s">
        <v>2177</v>
      </c>
    </row>
    <row r="1760" spans="1:9" ht="18.75" customHeight="1" x14ac:dyDescent="0.4">
      <c r="A1760" s="14" t="s">
        <v>2438</v>
      </c>
      <c r="B1760" s="16" t="str">
        <f>TRIM("廃道（天王寺）")</f>
        <v>廃道（天王寺）</v>
      </c>
      <c r="C1760" s="14" t="s">
        <v>1511</v>
      </c>
      <c r="D1760" s="14" t="s">
        <v>129</v>
      </c>
      <c r="E1760" s="1">
        <v>441.39</v>
      </c>
      <c r="F1760" s="2">
        <v>1601</v>
      </c>
      <c r="G1760" s="1"/>
      <c r="H1760" s="3"/>
      <c r="I1760" s="14" t="s">
        <v>2177</v>
      </c>
    </row>
    <row r="1761" spans="1:9" ht="18.75" customHeight="1" x14ac:dyDescent="0.4">
      <c r="A1761" s="14" t="s">
        <v>5365</v>
      </c>
      <c r="B1761" s="16" t="str">
        <f>TRIM("もと下水道用地（天王寺）")</f>
        <v>もと下水道用地（天王寺）</v>
      </c>
      <c r="C1761" s="14" t="s">
        <v>1511</v>
      </c>
      <c r="D1761" s="14" t="s">
        <v>129</v>
      </c>
      <c r="E1761" s="1">
        <v>97.85</v>
      </c>
      <c r="F1761" s="2">
        <v>2135</v>
      </c>
      <c r="G1761" s="1"/>
      <c r="H1761" s="3"/>
      <c r="I1761" s="14" t="s">
        <v>5349</v>
      </c>
    </row>
    <row r="1762" spans="1:9" ht="18.75" customHeight="1" x14ac:dyDescent="0.4">
      <c r="A1762" s="14" t="s">
        <v>6977</v>
      </c>
      <c r="B1762" s="16" t="str">
        <f>TRIM("　保健関連施設等公共施設用地")</f>
        <v>保健関連施設等公共施設用地</v>
      </c>
      <c r="C1762" s="14" t="s">
        <v>1511</v>
      </c>
      <c r="D1762" s="14" t="s">
        <v>129</v>
      </c>
      <c r="E1762" s="1">
        <v>2762.53</v>
      </c>
      <c r="F1762" s="2" t="s">
        <v>7296</v>
      </c>
      <c r="G1762" s="1"/>
      <c r="H1762" s="3"/>
      <c r="I1762" s="14" t="s">
        <v>2402</v>
      </c>
    </row>
    <row r="1763" spans="1:9" ht="18.75" customHeight="1" x14ac:dyDescent="0.4">
      <c r="A1763" s="14" t="s">
        <v>6988</v>
      </c>
      <c r="B1763" s="16" t="str">
        <f>TRIM("保健関連施設等公共施設用地")</f>
        <v>保健関連施設等公共施設用地</v>
      </c>
      <c r="C1763" s="14" t="s">
        <v>1511</v>
      </c>
      <c r="D1763" s="14" t="s">
        <v>129</v>
      </c>
      <c r="E1763" s="1">
        <v>4.9800000000000004</v>
      </c>
      <c r="F1763" s="2" t="s">
        <v>7296</v>
      </c>
      <c r="G1763" s="1"/>
      <c r="H1763" s="3"/>
      <c r="I1763" s="14" t="s">
        <v>2402</v>
      </c>
    </row>
    <row r="1764" spans="1:9" ht="18.75" customHeight="1" x14ac:dyDescent="0.4">
      <c r="A1764" s="14" t="s">
        <v>6757</v>
      </c>
      <c r="B1764" s="16" t="str">
        <f>TRIM("筆ケ崎住宅")</f>
        <v>筆ケ崎住宅</v>
      </c>
      <c r="C1764" s="14" t="s">
        <v>1511</v>
      </c>
      <c r="D1764" s="14" t="s">
        <v>129</v>
      </c>
      <c r="E1764" s="1">
        <v>5435.19</v>
      </c>
      <c r="F1764" s="2"/>
      <c r="G1764" s="1">
        <v>20319.68</v>
      </c>
      <c r="H1764" s="3"/>
      <c r="I1764" s="14" t="s">
        <v>6177</v>
      </c>
    </row>
    <row r="1765" spans="1:9" ht="18.75" customHeight="1" x14ac:dyDescent="0.4">
      <c r="A1765" s="14" t="s">
        <v>2181</v>
      </c>
      <c r="B1765" s="16" t="str">
        <f>TRIM("もと道路（天王寺）")</f>
        <v>もと道路（天王寺）</v>
      </c>
      <c r="C1765" s="14" t="s">
        <v>1511</v>
      </c>
      <c r="D1765" s="14" t="s">
        <v>129</v>
      </c>
      <c r="E1765" s="1">
        <v>33.409999999999997</v>
      </c>
      <c r="F1765" s="2"/>
      <c r="G1765" s="1"/>
      <c r="H1765" s="3"/>
      <c r="I1765" s="14" t="s">
        <v>2177</v>
      </c>
    </row>
    <row r="1766" spans="1:9" ht="18.75" customHeight="1" x14ac:dyDescent="0.4">
      <c r="A1766" s="14" t="s">
        <v>4434</v>
      </c>
      <c r="B1766" s="16" t="str">
        <f>TRIM("地域集会所・老人憩の家（天王寺区筆ケ崎町）")</f>
        <v>地域集会所・老人憩の家（天王寺区筆ケ崎町）</v>
      </c>
      <c r="C1766" s="14" t="s">
        <v>1511</v>
      </c>
      <c r="D1766" s="14" t="s">
        <v>129</v>
      </c>
      <c r="E1766" s="1">
        <v>200</v>
      </c>
      <c r="F1766" s="2"/>
      <c r="G1766" s="1"/>
      <c r="H1766" s="3"/>
      <c r="I1766" s="14" t="s">
        <v>2106</v>
      </c>
    </row>
    <row r="1767" spans="1:9" ht="18.75" customHeight="1" x14ac:dyDescent="0.4">
      <c r="A1767" s="14" t="s">
        <v>6974</v>
      </c>
      <c r="B1767" s="16" t="str">
        <f>TRIM("　市民健康づくり施設")</f>
        <v>市民健康づくり施設</v>
      </c>
      <c r="C1767" s="14" t="s">
        <v>1511</v>
      </c>
      <c r="D1767" s="14" t="s">
        <v>129</v>
      </c>
      <c r="E1767" s="1">
        <v>5088.51</v>
      </c>
      <c r="F1767" s="2"/>
      <c r="G1767" s="1"/>
      <c r="H1767" s="3"/>
      <c r="I1767" s="14" t="s">
        <v>2402</v>
      </c>
    </row>
    <row r="1768" spans="1:9" ht="18.75" customHeight="1" x14ac:dyDescent="0.4">
      <c r="A1768" s="14" t="s">
        <v>6980</v>
      </c>
      <c r="B1768" s="16" t="str">
        <f>TRIM("温泉利用健康関連施設")</f>
        <v>温泉利用健康関連施設</v>
      </c>
      <c r="C1768" s="14" t="s">
        <v>1511</v>
      </c>
      <c r="D1768" s="14" t="s">
        <v>129</v>
      </c>
      <c r="E1768" s="1">
        <v>2422.17</v>
      </c>
      <c r="F1768" s="2"/>
      <c r="G1768" s="1"/>
      <c r="H1768" s="3"/>
      <c r="I1768" s="14" t="s">
        <v>2402</v>
      </c>
    </row>
    <row r="1769" spans="1:9" ht="18.75" customHeight="1" x14ac:dyDescent="0.4">
      <c r="A1769" s="14" t="s">
        <v>6981</v>
      </c>
      <c r="B1769" s="16" t="str">
        <f>TRIM("健康づくり施設")</f>
        <v>健康づくり施設</v>
      </c>
      <c r="C1769" s="14" t="s">
        <v>1511</v>
      </c>
      <c r="D1769" s="14" t="s">
        <v>129</v>
      </c>
      <c r="E1769" s="1">
        <v>13716.58</v>
      </c>
      <c r="F1769" s="2"/>
      <c r="G1769" s="1"/>
      <c r="H1769" s="3"/>
      <c r="I1769" s="14" t="s">
        <v>2402</v>
      </c>
    </row>
    <row r="1770" spans="1:9" ht="18.75" customHeight="1" x14ac:dyDescent="0.4">
      <c r="A1770" s="14" t="s">
        <v>6983</v>
      </c>
      <c r="B1770" s="16" t="str">
        <f>TRIM("市民健康づくり施設")</f>
        <v>市民健康づくり施設</v>
      </c>
      <c r="C1770" s="14" t="s">
        <v>1511</v>
      </c>
      <c r="D1770" s="14" t="s">
        <v>129</v>
      </c>
      <c r="E1770" s="1">
        <v>0.33</v>
      </c>
      <c r="F1770" s="2"/>
      <c r="G1770" s="1"/>
      <c r="H1770" s="3"/>
      <c r="I1770" s="14" t="s">
        <v>2402</v>
      </c>
    </row>
    <row r="1771" spans="1:9" ht="18.75" customHeight="1" x14ac:dyDescent="0.4">
      <c r="A1771" s="14" t="s">
        <v>2693</v>
      </c>
      <c r="B1771" s="16" t="str">
        <f>TRIM("　庚申堂公園")</f>
        <v>庚申堂公園</v>
      </c>
      <c r="C1771" s="14" t="s">
        <v>1511</v>
      </c>
      <c r="D1771" s="14" t="s">
        <v>874</v>
      </c>
      <c r="E1771" s="1">
        <v>693.52</v>
      </c>
      <c r="F1771" s="2"/>
      <c r="G1771" s="1"/>
      <c r="H1771" s="3"/>
      <c r="I1771" s="14" t="s">
        <v>2177</v>
      </c>
    </row>
    <row r="1772" spans="1:9" ht="18.75" customHeight="1" x14ac:dyDescent="0.4">
      <c r="A1772" s="14" t="s">
        <v>6809</v>
      </c>
      <c r="B1772" s="16" t="str">
        <f>TRIM("肩替地（庚申堂）")</f>
        <v>肩替地（庚申堂）</v>
      </c>
      <c r="C1772" s="14" t="s">
        <v>1511</v>
      </c>
      <c r="D1772" s="14" t="s">
        <v>874</v>
      </c>
      <c r="E1772" s="1">
        <v>22.9</v>
      </c>
      <c r="F1772" s="2"/>
      <c r="G1772" s="1"/>
      <c r="H1772" s="3"/>
      <c r="I1772" s="14" t="s">
        <v>6177</v>
      </c>
    </row>
    <row r="1773" spans="1:9" ht="18.75" customHeight="1" x14ac:dyDescent="0.4">
      <c r="A1773" s="14" t="s">
        <v>6968</v>
      </c>
      <c r="B1773" s="16" t="str">
        <f>TRIM("もと看護専門学校（天王寺区南河堀町）")</f>
        <v>もと看護専門学校（天王寺区南河堀町）</v>
      </c>
      <c r="C1773" s="14" t="s">
        <v>1511</v>
      </c>
      <c r="D1773" s="14" t="s">
        <v>469</v>
      </c>
      <c r="E1773" s="1">
        <v>1836.79</v>
      </c>
      <c r="F1773" s="2">
        <v>2066</v>
      </c>
      <c r="G1773" s="1"/>
      <c r="H1773" s="3"/>
      <c r="I1773" s="14" t="s">
        <v>2402</v>
      </c>
    </row>
    <row r="1774" spans="1:9" ht="18.75" customHeight="1" x14ac:dyDescent="0.4">
      <c r="A1774" s="14" t="s">
        <v>2262</v>
      </c>
      <c r="B1774" s="16" t="str">
        <f>TRIM("大阪高石線（天王寺）（管財課）")</f>
        <v>大阪高石線（天王寺）（管財課）</v>
      </c>
      <c r="C1774" s="14" t="s">
        <v>1511</v>
      </c>
      <c r="D1774" s="14" t="s">
        <v>469</v>
      </c>
      <c r="E1774" s="1">
        <v>174.51</v>
      </c>
      <c r="F1774" s="2"/>
      <c r="G1774" s="1"/>
      <c r="H1774" s="3"/>
      <c r="I1774" s="14" t="s">
        <v>2177</v>
      </c>
    </row>
    <row r="1775" spans="1:9" ht="18.75" customHeight="1" x14ac:dyDescent="0.4">
      <c r="A1775" s="14" t="s">
        <v>3983</v>
      </c>
      <c r="B1775" s="16" t="str">
        <f>TRIM("上之宮出張所資材置場")</f>
        <v>上之宮出張所資材置場</v>
      </c>
      <c r="C1775" s="14" t="s">
        <v>1511</v>
      </c>
      <c r="D1775" s="14" t="s">
        <v>469</v>
      </c>
      <c r="E1775" s="1"/>
      <c r="F1775" s="2"/>
      <c r="G1775" s="1">
        <v>224.64</v>
      </c>
      <c r="H1775" s="3"/>
      <c r="I1775" s="14" t="s">
        <v>2177</v>
      </c>
    </row>
    <row r="1776" spans="1:9" ht="18.75" customHeight="1" x14ac:dyDescent="0.4">
      <c r="A1776" s="14" t="s">
        <v>5216</v>
      </c>
      <c r="B1776" s="16" t="str">
        <f>TRIM("大阪市総合教育センター")</f>
        <v>大阪市総合教育センター</v>
      </c>
      <c r="C1776" s="14" t="s">
        <v>1511</v>
      </c>
      <c r="D1776" s="14" t="s">
        <v>469</v>
      </c>
      <c r="E1776" s="1"/>
      <c r="F1776" s="2"/>
      <c r="G1776" s="1">
        <v>2561.41</v>
      </c>
      <c r="H1776" s="3"/>
      <c r="I1776" s="14" t="s">
        <v>4689</v>
      </c>
    </row>
    <row r="1777" spans="1:9" ht="18.75" customHeight="1" x14ac:dyDescent="0.4">
      <c r="A1777" s="14" t="s">
        <v>3366</v>
      </c>
      <c r="B1777" s="16" t="str">
        <f>TRIM("　夕陽丘公園")</f>
        <v>夕陽丘公園</v>
      </c>
      <c r="C1777" s="14" t="s">
        <v>1511</v>
      </c>
      <c r="D1777" s="14" t="s">
        <v>1263</v>
      </c>
      <c r="E1777" s="1">
        <v>10899.16</v>
      </c>
      <c r="F1777" s="2" t="s">
        <v>7341</v>
      </c>
      <c r="G1777" s="1"/>
      <c r="H1777" s="3"/>
      <c r="I1777" s="14" t="s">
        <v>2177</v>
      </c>
    </row>
    <row r="1778" spans="1:9" ht="18.75" customHeight="1" x14ac:dyDescent="0.4">
      <c r="A1778" s="14" t="s">
        <v>7072</v>
      </c>
      <c r="B1778" s="16" t="str">
        <f>TRIM("もと六万体町小売市場民営活性化事業施設　")</f>
        <v>もと六万体町小売市場民営活性化事業施設</v>
      </c>
      <c r="C1778" s="14" t="s">
        <v>1511</v>
      </c>
      <c r="D1778" s="14" t="s">
        <v>52</v>
      </c>
      <c r="E1778" s="1">
        <v>1271.48</v>
      </c>
      <c r="F1778" s="2">
        <v>2178</v>
      </c>
      <c r="G1778" s="1">
        <v>1150.3</v>
      </c>
      <c r="H1778" s="3"/>
      <c r="I1778" s="14" t="s">
        <v>4115</v>
      </c>
    </row>
    <row r="1779" spans="1:9" ht="18.75" customHeight="1" x14ac:dyDescent="0.4">
      <c r="A1779" s="14" t="s">
        <v>1907</v>
      </c>
      <c r="B1779" s="16" t="str">
        <f>TRIM("天王寺区在宅サービスセンター・老人憩の家・地域集会所")</f>
        <v>天王寺区在宅サービスセンター・老人憩の家・地域集会所</v>
      </c>
      <c r="C1779" s="14" t="s">
        <v>1511</v>
      </c>
      <c r="D1779" s="14" t="s">
        <v>52</v>
      </c>
      <c r="E1779" s="1">
        <v>668.74</v>
      </c>
      <c r="F1779" s="2"/>
      <c r="G1779" s="1"/>
      <c r="H1779" s="3"/>
      <c r="I1779" s="14" t="s">
        <v>1654</v>
      </c>
    </row>
    <row r="1780" spans="1:9" ht="18.75" customHeight="1" x14ac:dyDescent="0.4">
      <c r="A1780" s="14" t="s">
        <v>5509</v>
      </c>
      <c r="B1780" s="16" t="str">
        <f>TRIM("天王寺警察署及び署長公舎")</f>
        <v>天王寺警察署及び署長公舎</v>
      </c>
      <c r="C1780" s="14" t="s">
        <v>1511</v>
      </c>
      <c r="D1780" s="14" t="s">
        <v>52</v>
      </c>
      <c r="E1780" s="1">
        <v>2678.43</v>
      </c>
      <c r="F1780" s="2"/>
      <c r="G1780" s="1"/>
      <c r="H1780" s="3"/>
      <c r="I1780" s="14" t="s">
        <v>5349</v>
      </c>
    </row>
    <row r="1781" spans="1:9" ht="18.75" customHeight="1" x14ac:dyDescent="0.4">
      <c r="A1781" s="14" t="s">
        <v>6783</v>
      </c>
      <c r="B1781" s="16" t="str">
        <f>TRIM("もと六万体住宅")</f>
        <v>もと六万体住宅</v>
      </c>
      <c r="C1781" s="14" t="s">
        <v>1511</v>
      </c>
      <c r="D1781" s="14" t="s">
        <v>52</v>
      </c>
      <c r="E1781" s="1"/>
      <c r="F1781" s="2"/>
      <c r="G1781" s="1">
        <v>2469.0700000000002</v>
      </c>
      <c r="H1781" s="3"/>
      <c r="I1781" s="14" t="s">
        <v>6177</v>
      </c>
    </row>
    <row r="1782" spans="1:9" ht="18.75" customHeight="1" x14ac:dyDescent="0.4">
      <c r="A1782" s="14" t="s">
        <v>4460</v>
      </c>
      <c r="B1782" s="16" t="str">
        <f>TRIM("塩草連合稲荷会館老人憩の家")</f>
        <v>塩草連合稲荷会館老人憩の家</v>
      </c>
      <c r="C1782" s="14" t="s">
        <v>1513</v>
      </c>
      <c r="D1782" s="14" t="s">
        <v>716</v>
      </c>
      <c r="E1782" s="1">
        <v>149.09</v>
      </c>
      <c r="F1782" s="2"/>
      <c r="G1782" s="1">
        <v>71.22</v>
      </c>
      <c r="H1782" s="3"/>
      <c r="I1782" s="14" t="s">
        <v>4439</v>
      </c>
    </row>
    <row r="1783" spans="1:9" ht="18.75" customHeight="1" x14ac:dyDescent="0.4">
      <c r="A1783" s="14" t="s">
        <v>6284</v>
      </c>
      <c r="B1783" s="16" t="str">
        <f>TRIM("稲荷住宅")</f>
        <v>稲荷住宅</v>
      </c>
      <c r="C1783" s="14" t="s">
        <v>1513</v>
      </c>
      <c r="D1783" s="14" t="s">
        <v>716</v>
      </c>
      <c r="E1783" s="1">
        <v>2757.03</v>
      </c>
      <c r="F1783" s="2"/>
      <c r="G1783" s="1">
        <v>7254.61</v>
      </c>
      <c r="H1783" s="3"/>
      <c r="I1783" s="14" t="s">
        <v>6177</v>
      </c>
    </row>
    <row r="1784" spans="1:9" ht="18.75" customHeight="1" x14ac:dyDescent="0.4">
      <c r="A1784" s="14" t="s">
        <v>4456</v>
      </c>
      <c r="B1784" s="16" t="str">
        <f>TRIM("浪速区民センター")</f>
        <v>浪速区民センター</v>
      </c>
      <c r="C1784" s="14" t="s">
        <v>1513</v>
      </c>
      <c r="D1784" s="14" t="s">
        <v>1456</v>
      </c>
      <c r="E1784" s="1">
        <v>1775.69</v>
      </c>
      <c r="F1784" s="2"/>
      <c r="G1784" s="1">
        <v>1892.07</v>
      </c>
      <c r="H1784" s="3"/>
      <c r="I1784" s="14" t="s">
        <v>4439</v>
      </c>
    </row>
    <row r="1785" spans="1:9" ht="18.75" customHeight="1" x14ac:dyDescent="0.4">
      <c r="A1785" s="14" t="s">
        <v>2317</v>
      </c>
      <c r="B1785" s="16" t="str">
        <f>TRIM("道路（浪速）（管財課）")</f>
        <v>道路（浪速）（管財課）</v>
      </c>
      <c r="C1785" s="14" t="s">
        <v>1513</v>
      </c>
      <c r="D1785" s="14" t="s">
        <v>961</v>
      </c>
      <c r="E1785" s="1">
        <v>984301.35</v>
      </c>
      <c r="F1785" s="2"/>
      <c r="G1785" s="1"/>
      <c r="H1785" s="3"/>
      <c r="I1785" s="14" t="s">
        <v>2177</v>
      </c>
    </row>
    <row r="1786" spans="1:9" ht="18.75" customHeight="1" x14ac:dyDescent="0.4">
      <c r="A1786" s="14" t="s">
        <v>6034</v>
      </c>
      <c r="B1786" s="16" t="str">
        <f>TRIM("浪速区内公衆便所")</f>
        <v>浪速区内公衆便所</v>
      </c>
      <c r="C1786" s="14" t="s">
        <v>1513</v>
      </c>
      <c r="D1786" s="14" t="s">
        <v>961</v>
      </c>
      <c r="E1786" s="1"/>
      <c r="F1786" s="2"/>
      <c r="G1786" s="1">
        <v>10.51</v>
      </c>
      <c r="H1786" s="3"/>
      <c r="I1786" s="14" t="s">
        <v>5977</v>
      </c>
    </row>
    <row r="1787" spans="1:9" ht="18.75" customHeight="1" x14ac:dyDescent="0.4">
      <c r="A1787" s="14" t="s">
        <v>2367</v>
      </c>
      <c r="B1787" s="16" t="str">
        <f>TRIM("もと軌道敷(西道頓堀天王寺線)")</f>
        <v>もと軌道敷(西道頓堀天王寺線)</v>
      </c>
      <c r="C1787" s="14" t="s">
        <v>1513</v>
      </c>
      <c r="D1787" s="14" t="s">
        <v>303</v>
      </c>
      <c r="E1787" s="1">
        <v>27931.7</v>
      </c>
      <c r="F1787" s="2"/>
      <c r="G1787" s="1"/>
      <c r="H1787" s="3"/>
      <c r="I1787" s="14" t="s">
        <v>2177</v>
      </c>
    </row>
    <row r="1788" spans="1:9" ht="18.75" customHeight="1" x14ac:dyDescent="0.4">
      <c r="A1788" s="14" t="s">
        <v>5603</v>
      </c>
      <c r="B1788" s="16" t="str">
        <f>TRIM("もと軌道敷（西道頓堀天王寺線）")</f>
        <v>もと軌道敷（西道頓堀天王寺線）</v>
      </c>
      <c r="C1788" s="14" t="s">
        <v>1513</v>
      </c>
      <c r="D1788" s="14" t="s">
        <v>303</v>
      </c>
      <c r="E1788" s="1">
        <v>12868.53</v>
      </c>
      <c r="F1788" s="2"/>
      <c r="G1788" s="1"/>
      <c r="H1788" s="3"/>
      <c r="I1788" s="14" t="s">
        <v>5349</v>
      </c>
    </row>
    <row r="1789" spans="1:9" ht="18.75" customHeight="1" x14ac:dyDescent="0.4">
      <c r="A1789" s="14" t="s">
        <v>6825</v>
      </c>
      <c r="B1789" s="16" t="str">
        <f>TRIM("肩替地（森之宮）")</f>
        <v>肩替地（森之宮）</v>
      </c>
      <c r="C1789" s="14" t="s">
        <v>1513</v>
      </c>
      <c r="D1789" s="14" t="s">
        <v>1550</v>
      </c>
      <c r="E1789" s="1">
        <v>145.65</v>
      </c>
      <c r="F1789" s="2">
        <v>206</v>
      </c>
      <c r="G1789" s="1"/>
      <c r="H1789" s="3"/>
      <c r="I1789" s="14" t="s">
        <v>6177</v>
      </c>
    </row>
    <row r="1790" spans="1:9" ht="18.75" customHeight="1" x14ac:dyDescent="0.4">
      <c r="A1790" s="14" t="s">
        <v>4792</v>
      </c>
      <c r="B1790" s="16" t="str">
        <f>TRIM("もと恵美小学校")</f>
        <v>もと恵美小学校</v>
      </c>
      <c r="C1790" s="14" t="s">
        <v>1513</v>
      </c>
      <c r="D1790" s="14" t="s">
        <v>1550</v>
      </c>
      <c r="E1790" s="1">
        <v>9142.17</v>
      </c>
      <c r="F1790" s="2">
        <v>1794</v>
      </c>
      <c r="G1790" s="1"/>
      <c r="H1790" s="3"/>
      <c r="I1790" s="14" t="s">
        <v>4689</v>
      </c>
    </row>
    <row r="1791" spans="1:9" ht="18.75" customHeight="1" x14ac:dyDescent="0.4">
      <c r="A1791" s="14" t="s">
        <v>2671</v>
      </c>
      <c r="B1791" s="16" t="str">
        <f>TRIM("　恵美公園")</f>
        <v>恵美公園</v>
      </c>
      <c r="C1791" s="14" t="s">
        <v>1513</v>
      </c>
      <c r="D1791" s="14" t="s">
        <v>1550</v>
      </c>
      <c r="E1791" s="1">
        <v>6645.56</v>
      </c>
      <c r="F1791" s="2"/>
      <c r="G1791" s="1"/>
      <c r="H1791" s="3"/>
      <c r="I1791" s="14" t="s">
        <v>2177</v>
      </c>
    </row>
    <row r="1792" spans="1:9" ht="18.75" customHeight="1" x14ac:dyDescent="0.4">
      <c r="A1792" s="14" t="s">
        <v>4447</v>
      </c>
      <c r="B1792" s="16" t="str">
        <f>TRIM("恵美会館")</f>
        <v>恵美会館</v>
      </c>
      <c r="C1792" s="14" t="s">
        <v>1513</v>
      </c>
      <c r="D1792" s="14" t="s">
        <v>1550</v>
      </c>
      <c r="E1792" s="1"/>
      <c r="F1792" s="2"/>
      <c r="G1792" s="1">
        <v>137.52000000000001</v>
      </c>
      <c r="H1792" s="3"/>
      <c r="I1792" s="14" t="s">
        <v>4439</v>
      </c>
    </row>
    <row r="1793" spans="1:9" ht="18.75" customHeight="1" x14ac:dyDescent="0.4">
      <c r="A1793" s="14" t="s">
        <v>4462</v>
      </c>
      <c r="B1793" s="16" t="str">
        <f>TRIM("恵美老人憩の家")</f>
        <v>恵美老人憩の家</v>
      </c>
      <c r="C1793" s="14" t="s">
        <v>1513</v>
      </c>
      <c r="D1793" s="14" t="s">
        <v>1550</v>
      </c>
      <c r="E1793" s="1"/>
      <c r="F1793" s="2"/>
      <c r="G1793" s="1">
        <v>137.52000000000001</v>
      </c>
      <c r="H1793" s="3"/>
      <c r="I1793" s="14" t="s">
        <v>4439</v>
      </c>
    </row>
    <row r="1794" spans="1:9" ht="18.75" customHeight="1" x14ac:dyDescent="0.4">
      <c r="A1794" s="14" t="s">
        <v>5556</v>
      </c>
      <c r="B1794" s="16" t="str">
        <f>TRIM("廃道（浪速）")</f>
        <v>廃道（浪速）</v>
      </c>
      <c r="C1794" s="14" t="s">
        <v>1513</v>
      </c>
      <c r="D1794" s="14" t="s">
        <v>273</v>
      </c>
      <c r="E1794" s="1">
        <v>29.35</v>
      </c>
      <c r="F1794" s="2"/>
      <c r="G1794" s="1"/>
      <c r="H1794" s="3"/>
      <c r="I1794" s="14" t="s">
        <v>5349</v>
      </c>
    </row>
    <row r="1795" spans="1:9" ht="18.75" customHeight="1" x14ac:dyDescent="0.4">
      <c r="A1795" s="14" t="s">
        <v>6199</v>
      </c>
      <c r="B1795" s="16" t="str">
        <f>TRIM("水崎用地")</f>
        <v>水崎用地</v>
      </c>
      <c r="C1795" s="14" t="s">
        <v>1513</v>
      </c>
      <c r="D1795" s="14" t="s">
        <v>273</v>
      </c>
      <c r="E1795" s="1">
        <v>67.55</v>
      </c>
      <c r="F1795" s="2"/>
      <c r="G1795" s="1"/>
      <c r="H1795" s="3"/>
      <c r="I1795" s="14" t="s">
        <v>6177</v>
      </c>
    </row>
    <row r="1796" spans="1:9" ht="18.75" customHeight="1" x14ac:dyDescent="0.4">
      <c r="A1796" s="14" t="s">
        <v>4449</v>
      </c>
      <c r="B1796" s="16" t="str">
        <f>TRIM("新世界会館")</f>
        <v>新世界会館</v>
      </c>
      <c r="C1796" s="14" t="s">
        <v>1513</v>
      </c>
      <c r="D1796" s="14" t="s">
        <v>251</v>
      </c>
      <c r="E1796" s="1">
        <v>63.98</v>
      </c>
      <c r="F1796" s="2"/>
      <c r="G1796" s="1">
        <v>160.69999999999999</v>
      </c>
      <c r="H1796" s="3"/>
      <c r="I1796" s="14" t="s">
        <v>4439</v>
      </c>
    </row>
    <row r="1797" spans="1:9" ht="18.75" customHeight="1" x14ac:dyDescent="0.4">
      <c r="A1797" s="14" t="s">
        <v>5529</v>
      </c>
      <c r="B1797" s="16" t="str">
        <f>TRIM("廃公園敷（浪速）")</f>
        <v>廃公園敷（浪速）</v>
      </c>
      <c r="C1797" s="14" t="s">
        <v>1513</v>
      </c>
      <c r="D1797" s="14" t="s">
        <v>251</v>
      </c>
      <c r="E1797" s="1">
        <v>89.19</v>
      </c>
      <c r="F1797" s="2"/>
      <c r="G1797" s="1"/>
      <c r="H1797" s="3"/>
      <c r="I1797" s="14" t="s">
        <v>5349</v>
      </c>
    </row>
    <row r="1798" spans="1:9" ht="18.75" customHeight="1" x14ac:dyDescent="0.4">
      <c r="A1798" s="14" t="s">
        <v>5530</v>
      </c>
      <c r="B1798" s="16" t="str">
        <f>TRIM("廃公園敷（浪速・コミュニティ用地等）")</f>
        <v>廃公園敷（浪速・コミュニティ用地等）</v>
      </c>
      <c r="C1798" s="14" t="s">
        <v>1513</v>
      </c>
      <c r="D1798" s="14" t="s">
        <v>251</v>
      </c>
      <c r="E1798" s="1">
        <v>69.11</v>
      </c>
      <c r="F1798" s="2"/>
      <c r="G1798" s="1"/>
      <c r="H1798" s="3"/>
      <c r="I1798" s="14" t="s">
        <v>5349</v>
      </c>
    </row>
    <row r="1799" spans="1:9" ht="18.75" customHeight="1" x14ac:dyDescent="0.4">
      <c r="A1799" s="14" t="s">
        <v>1787</v>
      </c>
      <c r="B1799" s="16" t="str">
        <f>TRIM("恵美会館老人憩の家")</f>
        <v>恵美会館老人憩の家</v>
      </c>
      <c r="C1799" s="14" t="s">
        <v>1513</v>
      </c>
      <c r="D1799" s="14" t="s">
        <v>429</v>
      </c>
      <c r="E1799" s="1"/>
      <c r="F1799" s="2"/>
      <c r="G1799" s="1">
        <v>30</v>
      </c>
      <c r="H1799" s="3"/>
      <c r="I1799" s="14" t="s">
        <v>1654</v>
      </c>
    </row>
    <row r="1800" spans="1:9" ht="18.75" customHeight="1" x14ac:dyDescent="0.4">
      <c r="A1800" s="14" t="s">
        <v>1965</v>
      </c>
      <c r="B1800" s="16" t="str">
        <f>TRIM("日本橋地域在宅サービスステーション・新世界老人憩いの家")</f>
        <v>日本橋地域在宅サービスステーション・新世界老人憩いの家</v>
      </c>
      <c r="C1800" s="14" t="s">
        <v>1513</v>
      </c>
      <c r="D1800" s="14" t="s">
        <v>429</v>
      </c>
      <c r="E1800" s="1">
        <v>174.41</v>
      </c>
      <c r="F1800" s="2"/>
      <c r="G1800" s="1"/>
      <c r="H1800" s="3"/>
      <c r="I1800" s="14" t="s">
        <v>1654</v>
      </c>
    </row>
    <row r="1801" spans="1:9" ht="18.75" customHeight="1" x14ac:dyDescent="0.4">
      <c r="A1801" s="14" t="s">
        <v>4458</v>
      </c>
      <c r="B1801" s="16" t="str">
        <f>TRIM("地域集会施設関連用地（新世界）")</f>
        <v>地域集会施設関連用地（新世界）</v>
      </c>
      <c r="C1801" s="14" t="s">
        <v>1513</v>
      </c>
      <c r="D1801" s="14" t="s">
        <v>429</v>
      </c>
      <c r="E1801" s="1">
        <v>844.37</v>
      </c>
      <c r="F1801" s="2"/>
      <c r="G1801" s="1"/>
      <c r="H1801" s="3"/>
      <c r="I1801" s="14" t="s">
        <v>4439</v>
      </c>
    </row>
    <row r="1802" spans="1:9" ht="18.75" customHeight="1" x14ac:dyDescent="0.4">
      <c r="A1802" s="14" t="s">
        <v>5453</v>
      </c>
      <c r="B1802" s="16" t="str">
        <f>TRIM("過小地（もと施設用地）")</f>
        <v>過小地（もと施設用地）</v>
      </c>
      <c r="C1802" s="14" t="s">
        <v>1513</v>
      </c>
      <c r="D1802" s="14" t="s">
        <v>199</v>
      </c>
      <c r="E1802" s="1">
        <v>687.87</v>
      </c>
      <c r="F1802" s="2"/>
      <c r="G1802" s="1"/>
      <c r="H1802" s="3"/>
      <c r="I1802" s="14" t="s">
        <v>5349</v>
      </c>
    </row>
    <row r="1803" spans="1:9" ht="18.75" customHeight="1" x14ac:dyDescent="0.4">
      <c r="A1803" s="14" t="s">
        <v>5483</v>
      </c>
      <c r="B1803" s="16" t="str">
        <f>TRIM("契約管財局賃貸地（浪速・新世界地区）")</f>
        <v>契約管財局賃貸地（浪速・新世界地区）</v>
      </c>
      <c r="C1803" s="14" t="s">
        <v>1513</v>
      </c>
      <c r="D1803" s="14" t="s">
        <v>199</v>
      </c>
      <c r="E1803" s="1">
        <v>859.92</v>
      </c>
      <c r="F1803" s="2"/>
      <c r="G1803" s="1"/>
      <c r="H1803" s="3"/>
      <c r="I1803" s="14" t="s">
        <v>5349</v>
      </c>
    </row>
    <row r="1804" spans="1:9" ht="18.75" customHeight="1" x14ac:dyDescent="0.4">
      <c r="A1804" s="14" t="s">
        <v>5570</v>
      </c>
      <c r="B1804" s="16" t="str">
        <f>TRIM("浪速署通天閣下警ら連絡所")</f>
        <v>浪速署通天閣下警ら連絡所</v>
      </c>
      <c r="C1804" s="14" t="s">
        <v>1513</v>
      </c>
      <c r="D1804" s="14" t="s">
        <v>199</v>
      </c>
      <c r="E1804" s="1">
        <v>299.75</v>
      </c>
      <c r="F1804" s="2"/>
      <c r="G1804" s="1"/>
      <c r="H1804" s="3"/>
      <c r="I1804" s="14" t="s">
        <v>5349</v>
      </c>
    </row>
    <row r="1805" spans="1:9" ht="18.75" customHeight="1" x14ac:dyDescent="0.4">
      <c r="A1805" s="14" t="s">
        <v>5609</v>
      </c>
      <c r="B1805" s="16" t="str">
        <f>TRIM("恵美須東用地")</f>
        <v>恵美須東用地</v>
      </c>
      <c r="C1805" s="14" t="s">
        <v>1513</v>
      </c>
      <c r="D1805" s="14" t="s">
        <v>199</v>
      </c>
      <c r="E1805" s="1">
        <v>66.94</v>
      </c>
      <c r="F1805" s="2"/>
      <c r="G1805" s="1"/>
      <c r="H1805" s="3"/>
      <c r="I1805" s="14" t="s">
        <v>5349</v>
      </c>
    </row>
    <row r="1806" spans="1:9" ht="18.75" customHeight="1" x14ac:dyDescent="0.4">
      <c r="A1806" s="14" t="s">
        <v>4780</v>
      </c>
      <c r="B1806" s="16" t="str">
        <f>TRIM("教育事業関連用地（浪速区戎本町）")</f>
        <v>教育事業関連用地（浪速区戎本町）</v>
      </c>
      <c r="C1806" s="14" t="s">
        <v>1513</v>
      </c>
      <c r="D1806" s="14" t="s">
        <v>1075</v>
      </c>
      <c r="E1806" s="1">
        <v>250.08</v>
      </c>
      <c r="F1806" s="2">
        <v>213</v>
      </c>
      <c r="G1806" s="1"/>
      <c r="H1806" s="3"/>
      <c r="I1806" s="14" t="s">
        <v>4689</v>
      </c>
    </row>
    <row r="1807" spans="1:9" ht="18.75" customHeight="1" x14ac:dyDescent="0.4">
      <c r="A1807" s="14" t="s">
        <v>4466</v>
      </c>
      <c r="B1807" s="16" t="str">
        <f>TRIM("戎本町コミュニティプラザ")</f>
        <v>戎本町コミュニティプラザ</v>
      </c>
      <c r="C1807" s="14" t="s">
        <v>1513</v>
      </c>
      <c r="D1807" s="14" t="s">
        <v>1075</v>
      </c>
      <c r="E1807" s="1">
        <v>258.89999999999998</v>
      </c>
      <c r="F1807" s="2"/>
      <c r="G1807" s="1">
        <v>147.63</v>
      </c>
      <c r="H1807" s="3"/>
      <c r="I1807" s="14" t="s">
        <v>4439</v>
      </c>
    </row>
    <row r="1808" spans="1:9" ht="18.75" customHeight="1" x14ac:dyDescent="0.4">
      <c r="A1808" s="14" t="s">
        <v>5121</v>
      </c>
      <c r="B1808" s="16" t="str">
        <f>TRIM("木津中学校")</f>
        <v>木津中学校</v>
      </c>
      <c r="C1808" s="14" t="s">
        <v>1513</v>
      </c>
      <c r="D1808" s="14" t="s">
        <v>1075</v>
      </c>
      <c r="E1808" s="1">
        <v>8829.27</v>
      </c>
      <c r="F1808" s="2"/>
      <c r="G1808" s="1">
        <v>8141.33</v>
      </c>
      <c r="H1808" s="3"/>
      <c r="I1808" s="14" t="s">
        <v>4689</v>
      </c>
    </row>
    <row r="1809" spans="1:9" ht="18.75" customHeight="1" x14ac:dyDescent="0.4">
      <c r="A1809" s="14" t="s">
        <v>2785</v>
      </c>
      <c r="B1809" s="16" t="str">
        <f>TRIM("　戎公園")</f>
        <v>戎公園</v>
      </c>
      <c r="C1809" s="14" t="s">
        <v>1513</v>
      </c>
      <c r="D1809" s="14" t="s">
        <v>1075</v>
      </c>
      <c r="E1809" s="1">
        <v>4249.28</v>
      </c>
      <c r="F1809" s="2"/>
      <c r="G1809" s="1"/>
      <c r="H1809" s="3"/>
      <c r="I1809" s="14" t="s">
        <v>2177</v>
      </c>
    </row>
    <row r="1810" spans="1:9" ht="18.75" customHeight="1" x14ac:dyDescent="0.4">
      <c r="A1810" s="14" t="s">
        <v>3882</v>
      </c>
      <c r="B1810" s="16" t="str">
        <f>TRIM("大国町駅自転車駐車場")</f>
        <v>大国町駅自転車駐車場</v>
      </c>
      <c r="C1810" s="14" t="s">
        <v>1513</v>
      </c>
      <c r="D1810" s="14" t="s">
        <v>1075</v>
      </c>
      <c r="E1810" s="1">
        <v>418.86</v>
      </c>
      <c r="F1810" s="2"/>
      <c r="G1810" s="1"/>
      <c r="H1810" s="3"/>
      <c r="I1810" s="14" t="s">
        <v>2177</v>
      </c>
    </row>
    <row r="1811" spans="1:9" ht="18.75" customHeight="1" x14ac:dyDescent="0.4">
      <c r="A1811" s="14" t="s">
        <v>3883</v>
      </c>
      <c r="B1811" s="16" t="str">
        <f>TRIM("大国町駅自転車駐車場管理事務所")</f>
        <v>大国町駅自転車駐車場管理事務所</v>
      </c>
      <c r="C1811" s="14" t="s">
        <v>1513</v>
      </c>
      <c r="D1811" s="14" t="s">
        <v>1075</v>
      </c>
      <c r="E1811" s="1"/>
      <c r="F1811" s="2"/>
      <c r="G1811" s="1">
        <v>12.96</v>
      </c>
      <c r="H1811" s="3"/>
      <c r="I1811" s="14" t="s">
        <v>2177</v>
      </c>
    </row>
    <row r="1812" spans="1:9" ht="18.75" customHeight="1" x14ac:dyDescent="0.4">
      <c r="A1812" s="14" t="s">
        <v>6345</v>
      </c>
      <c r="B1812" s="16" t="str">
        <f>TRIM("宮津住宅")</f>
        <v>宮津住宅</v>
      </c>
      <c r="C1812" s="14" t="s">
        <v>1513</v>
      </c>
      <c r="D1812" s="14" t="s">
        <v>690</v>
      </c>
      <c r="E1812" s="1">
        <v>2437.64</v>
      </c>
      <c r="F1812" s="2"/>
      <c r="G1812" s="1">
        <v>3087.6</v>
      </c>
      <c r="H1812" s="3"/>
      <c r="I1812" s="14" t="s">
        <v>6177</v>
      </c>
    </row>
    <row r="1813" spans="1:9" ht="18.75" customHeight="1" x14ac:dyDescent="0.4">
      <c r="A1813" s="14" t="s">
        <v>2786</v>
      </c>
      <c r="B1813" s="16" t="str">
        <f>TRIM("　戎南公園")</f>
        <v>戎南公園</v>
      </c>
      <c r="C1813" s="14" t="s">
        <v>1513</v>
      </c>
      <c r="D1813" s="14" t="s">
        <v>690</v>
      </c>
      <c r="E1813" s="1">
        <v>1641.01</v>
      </c>
      <c r="F1813" s="2"/>
      <c r="G1813" s="1"/>
      <c r="H1813" s="3"/>
      <c r="I1813" s="14" t="s">
        <v>2177</v>
      </c>
    </row>
    <row r="1814" spans="1:9" ht="18.75" customHeight="1" x14ac:dyDescent="0.4">
      <c r="A1814" s="14" t="s">
        <v>4459</v>
      </c>
      <c r="B1814" s="16" t="str">
        <f>TRIM("えびす会館老人憩の家")</f>
        <v>えびす会館老人憩の家</v>
      </c>
      <c r="C1814" s="14" t="s">
        <v>1513</v>
      </c>
      <c r="D1814" s="14" t="s">
        <v>690</v>
      </c>
      <c r="E1814" s="1">
        <v>204.02</v>
      </c>
      <c r="F1814" s="2"/>
      <c r="G1814" s="1"/>
      <c r="H1814" s="3"/>
      <c r="I1814" s="14" t="s">
        <v>4439</v>
      </c>
    </row>
    <row r="1815" spans="1:9" ht="18.75" customHeight="1" x14ac:dyDescent="0.4">
      <c r="A1815" s="14" t="s">
        <v>4047</v>
      </c>
      <c r="B1815" s="16" t="str">
        <f>TRIM("桜川抽水所")</f>
        <v>桜川抽水所</v>
      </c>
      <c r="C1815" s="14" t="s">
        <v>1513</v>
      </c>
      <c r="D1815" s="14" t="s">
        <v>705</v>
      </c>
      <c r="E1815" s="1">
        <v>809.38</v>
      </c>
      <c r="F1815" s="2"/>
      <c r="G1815" s="1">
        <v>186.71</v>
      </c>
      <c r="H1815" s="3"/>
      <c r="I1815" s="14" t="s">
        <v>2177</v>
      </c>
    </row>
    <row r="1816" spans="1:9" ht="18.75" customHeight="1" x14ac:dyDescent="0.4">
      <c r="A1816" s="14" t="s">
        <v>4779</v>
      </c>
      <c r="B1816" s="16" t="str">
        <f>TRIM("教育管理用地（浪速区木津川）")</f>
        <v>教育管理用地（浪速区木津川）</v>
      </c>
      <c r="C1816" s="14" t="s">
        <v>1513</v>
      </c>
      <c r="D1816" s="14" t="s">
        <v>705</v>
      </c>
      <c r="E1816" s="1">
        <v>1527</v>
      </c>
      <c r="F1816" s="2"/>
      <c r="G1816" s="1"/>
      <c r="H1816" s="3"/>
      <c r="I1816" s="14" t="s">
        <v>4689</v>
      </c>
    </row>
    <row r="1817" spans="1:9" ht="18.75" customHeight="1" x14ac:dyDescent="0.4">
      <c r="A1817" s="14" t="s">
        <v>1663</v>
      </c>
      <c r="B1817" s="16" t="str">
        <f>TRIM("もと浪速第5温泉")</f>
        <v>もと浪速第5温泉</v>
      </c>
      <c r="C1817" s="14" t="s">
        <v>1513</v>
      </c>
      <c r="D1817" s="14" t="s">
        <v>113</v>
      </c>
      <c r="E1817" s="1">
        <v>596.87</v>
      </c>
      <c r="F1817" s="2">
        <v>897</v>
      </c>
      <c r="G1817" s="1"/>
      <c r="H1817" s="3"/>
      <c r="I1817" s="14" t="s">
        <v>1654</v>
      </c>
    </row>
    <row r="1818" spans="1:9" ht="18.75" customHeight="1" x14ac:dyDescent="0.4">
      <c r="A1818" s="14" t="s">
        <v>4733</v>
      </c>
      <c r="B1818" s="16" t="str">
        <f>TRIM("もと難波特別支援学校　なにわ高等特別支援学校（木津川）")</f>
        <v>もと難波特別支援学校　なにわ高等特別支援学校（木津川）</v>
      </c>
      <c r="C1818" s="14" t="s">
        <v>1513</v>
      </c>
      <c r="D1818" s="14" t="s">
        <v>113</v>
      </c>
      <c r="E1818" s="1">
        <v>2622.71</v>
      </c>
      <c r="F1818" s="2">
        <v>1702</v>
      </c>
      <c r="G1818" s="1"/>
      <c r="H1818" s="3"/>
      <c r="I1818" s="14" t="s">
        <v>4689</v>
      </c>
    </row>
    <row r="1819" spans="1:9" ht="18.75" customHeight="1" x14ac:dyDescent="0.4">
      <c r="A1819" s="14" t="s">
        <v>5968</v>
      </c>
      <c r="B1819" s="16" t="str">
        <f>TRIM("もと浪速第5保育所（木津川）")</f>
        <v>もと浪速第5保育所（木津川）</v>
      </c>
      <c r="C1819" s="14" t="s">
        <v>1513</v>
      </c>
      <c r="D1819" s="14" t="s">
        <v>113</v>
      </c>
      <c r="E1819" s="1">
        <v>207.12</v>
      </c>
      <c r="F1819" s="2">
        <v>2096</v>
      </c>
      <c r="G1819" s="1"/>
      <c r="H1819" s="3"/>
      <c r="I1819" s="14" t="s">
        <v>5617</v>
      </c>
    </row>
    <row r="1820" spans="1:9" ht="18.75" customHeight="1" x14ac:dyDescent="0.4">
      <c r="A1820" s="14" t="s">
        <v>4113</v>
      </c>
      <c r="B1820" s="16" t="str">
        <f>TRIM("もと下水道用地（浪速）")</f>
        <v>もと下水道用地（浪速）</v>
      </c>
      <c r="C1820" s="14" t="s">
        <v>1513</v>
      </c>
      <c r="D1820" s="14" t="s">
        <v>113</v>
      </c>
      <c r="E1820" s="1">
        <v>11.53</v>
      </c>
      <c r="F1820" s="2">
        <v>2136</v>
      </c>
      <c r="G1820" s="1"/>
      <c r="H1820" s="3"/>
      <c r="I1820" s="14" t="s">
        <v>2177</v>
      </c>
    </row>
    <row r="1821" spans="1:9" ht="18.75" customHeight="1" x14ac:dyDescent="0.4">
      <c r="A1821" s="14" t="s">
        <v>6226</v>
      </c>
      <c r="B1821" s="16" t="str">
        <f>TRIM("浪速第2住宅")</f>
        <v>浪速第2住宅</v>
      </c>
      <c r="C1821" s="14" t="s">
        <v>1513</v>
      </c>
      <c r="D1821" s="14" t="s">
        <v>113</v>
      </c>
      <c r="E1821" s="1">
        <v>6898.44</v>
      </c>
      <c r="F1821" s="2" t="s">
        <v>7310</v>
      </c>
      <c r="G1821" s="1"/>
      <c r="H1821" s="3"/>
      <c r="I1821" s="14" t="s">
        <v>6177</v>
      </c>
    </row>
    <row r="1822" spans="1:9" ht="18.75" customHeight="1" x14ac:dyDescent="0.4">
      <c r="A1822" s="14" t="s">
        <v>6266</v>
      </c>
      <c r="B1822" s="16" t="str">
        <f>TRIM("もと浪速第２住宅")</f>
        <v>もと浪速第２住宅</v>
      </c>
      <c r="C1822" s="14" t="s">
        <v>1513</v>
      </c>
      <c r="D1822" s="14" t="s">
        <v>113</v>
      </c>
      <c r="E1822" s="1">
        <v>7974.39</v>
      </c>
      <c r="F1822" s="2" t="s">
        <v>7309</v>
      </c>
      <c r="G1822" s="1"/>
      <c r="H1822" s="3"/>
      <c r="I1822" s="14" t="s">
        <v>6177</v>
      </c>
    </row>
    <row r="1823" spans="1:9" ht="18.75" customHeight="1" x14ac:dyDescent="0.4">
      <c r="A1823" s="14" t="s">
        <v>5942</v>
      </c>
      <c r="B1823" s="16" t="str">
        <f>TRIM("浪速第5保育所")</f>
        <v>浪速第5保育所</v>
      </c>
      <c r="C1823" s="14" t="s">
        <v>1513</v>
      </c>
      <c r="D1823" s="14" t="s">
        <v>113</v>
      </c>
      <c r="E1823" s="1">
        <v>3451.03</v>
      </c>
      <c r="F1823" s="2"/>
      <c r="G1823" s="1">
        <v>1389.44</v>
      </c>
      <c r="H1823" s="3"/>
      <c r="I1823" s="14" t="s">
        <v>5617</v>
      </c>
    </row>
    <row r="1824" spans="1:9" ht="18.75" customHeight="1" x14ac:dyDescent="0.4">
      <c r="A1824" s="14" t="s">
        <v>1626</v>
      </c>
      <c r="B1824" s="16" t="str">
        <f>TRIM("大阪地域職業訓練センター A’ワーク創造館")</f>
        <v>大阪地域職業訓練センター A’ワーク創造館</v>
      </c>
      <c r="C1824" s="14" t="s">
        <v>1513</v>
      </c>
      <c r="D1824" s="14" t="s">
        <v>113</v>
      </c>
      <c r="E1824" s="1">
        <v>1999.68</v>
      </c>
      <c r="F1824" s="2"/>
      <c r="G1824" s="1"/>
      <c r="H1824" s="3"/>
      <c r="I1824" s="14" t="s">
        <v>1598</v>
      </c>
    </row>
    <row r="1825" spans="1:9" ht="18.75" customHeight="1" x14ac:dyDescent="0.4">
      <c r="A1825" s="14" t="s">
        <v>3502</v>
      </c>
      <c r="B1825" s="16" t="str">
        <f>TRIM("木津川公園")</f>
        <v>木津川公園</v>
      </c>
      <c r="C1825" s="14" t="s">
        <v>1513</v>
      </c>
      <c r="D1825" s="14" t="s">
        <v>113</v>
      </c>
      <c r="E1825" s="1">
        <v>5298.49</v>
      </c>
      <c r="F1825" s="2"/>
      <c r="G1825" s="1"/>
      <c r="H1825" s="3"/>
      <c r="I1825" s="14" t="s">
        <v>2177</v>
      </c>
    </row>
    <row r="1826" spans="1:9" ht="18.75" customHeight="1" x14ac:dyDescent="0.4">
      <c r="A1826" s="14" t="s">
        <v>6706</v>
      </c>
      <c r="B1826" s="16" t="str">
        <f>TRIM("浪速第8住宅")</f>
        <v>浪速第8住宅</v>
      </c>
      <c r="C1826" s="14" t="s">
        <v>1513</v>
      </c>
      <c r="D1826" s="14" t="s">
        <v>850</v>
      </c>
      <c r="E1826" s="1">
        <v>8514.91</v>
      </c>
      <c r="F1826" s="2"/>
      <c r="G1826" s="1">
        <v>10375.469999999999</v>
      </c>
      <c r="H1826" s="3"/>
      <c r="I1826" s="14" t="s">
        <v>6177</v>
      </c>
    </row>
    <row r="1827" spans="1:9" ht="18.75" customHeight="1" x14ac:dyDescent="0.4">
      <c r="A1827" s="14" t="s">
        <v>6491</v>
      </c>
      <c r="B1827" s="16" t="str">
        <f>TRIM("大浪橋住宅")</f>
        <v>大浪橋住宅</v>
      </c>
      <c r="C1827" s="14" t="s">
        <v>1513</v>
      </c>
      <c r="D1827" s="14" t="s">
        <v>784</v>
      </c>
      <c r="E1827" s="1">
        <v>13917.61</v>
      </c>
      <c r="F1827" s="2"/>
      <c r="G1827" s="1">
        <v>16131.73</v>
      </c>
      <c r="H1827" s="3"/>
      <c r="I1827" s="14" t="s">
        <v>6177</v>
      </c>
    </row>
    <row r="1828" spans="1:9" ht="18.75" customHeight="1" x14ac:dyDescent="0.4">
      <c r="A1828" s="14" t="s">
        <v>2555</v>
      </c>
      <c r="B1828" s="16" t="str">
        <f>TRIM("　芦原公園")</f>
        <v>芦原公園</v>
      </c>
      <c r="C1828" s="14" t="s">
        <v>1513</v>
      </c>
      <c r="D1828" s="14" t="s">
        <v>784</v>
      </c>
      <c r="E1828" s="1">
        <v>22815.53</v>
      </c>
      <c r="F1828" s="2"/>
      <c r="G1828" s="1"/>
      <c r="H1828" s="3"/>
      <c r="I1828" s="14" t="s">
        <v>2177</v>
      </c>
    </row>
    <row r="1829" spans="1:9" ht="18.75" customHeight="1" x14ac:dyDescent="0.4">
      <c r="A1829" s="14" t="s">
        <v>2647</v>
      </c>
      <c r="B1829" s="16" t="str">
        <f>TRIM("　久保吉公園")</f>
        <v>久保吉公園</v>
      </c>
      <c r="C1829" s="14" t="s">
        <v>1513</v>
      </c>
      <c r="D1829" s="14" t="s">
        <v>784</v>
      </c>
      <c r="E1829" s="1">
        <v>1457.43</v>
      </c>
      <c r="F1829" s="2"/>
      <c r="G1829" s="1"/>
      <c r="H1829" s="3"/>
      <c r="I1829" s="14" t="s">
        <v>2177</v>
      </c>
    </row>
    <row r="1830" spans="1:9" ht="18.75" customHeight="1" x14ac:dyDescent="0.4">
      <c r="A1830" s="14" t="s">
        <v>3529</v>
      </c>
      <c r="B1830" s="16" t="str">
        <f>TRIM("　芦原公園")</f>
        <v>芦原公園</v>
      </c>
      <c r="C1830" s="14" t="s">
        <v>1513</v>
      </c>
      <c r="D1830" s="14" t="s">
        <v>784</v>
      </c>
      <c r="E1830" s="1"/>
      <c r="F1830" s="2"/>
      <c r="G1830" s="1">
        <v>14.78</v>
      </c>
      <c r="H1830" s="3"/>
      <c r="I1830" s="14" t="s">
        <v>2177</v>
      </c>
    </row>
    <row r="1831" spans="1:9" ht="18.75" customHeight="1" x14ac:dyDescent="0.4">
      <c r="A1831" s="14" t="s">
        <v>2480</v>
      </c>
      <c r="B1831" s="16" t="str">
        <f>TRIM("河川敷（浪速）")</f>
        <v>河川敷（浪速）</v>
      </c>
      <c r="C1831" s="14" t="s">
        <v>1513</v>
      </c>
      <c r="D1831" s="14" t="s">
        <v>1308</v>
      </c>
      <c r="E1831" s="1">
        <v>18.29</v>
      </c>
      <c r="F1831" s="2"/>
      <c r="G1831" s="1"/>
      <c r="H1831" s="3"/>
      <c r="I1831" s="14" t="s">
        <v>2177</v>
      </c>
    </row>
    <row r="1832" spans="1:9" ht="18.75" customHeight="1" x14ac:dyDescent="0.4">
      <c r="A1832" s="14" t="s">
        <v>4464</v>
      </c>
      <c r="B1832" s="16" t="str">
        <f>TRIM("幸町会館")</f>
        <v>幸町会館</v>
      </c>
      <c r="C1832" s="14" t="s">
        <v>1513</v>
      </c>
      <c r="D1832" s="14" t="s">
        <v>1036</v>
      </c>
      <c r="E1832" s="1">
        <v>80.42</v>
      </c>
      <c r="F1832" s="2"/>
      <c r="G1832" s="1">
        <v>173.92</v>
      </c>
      <c r="H1832" s="3"/>
      <c r="I1832" s="14" t="s">
        <v>4439</v>
      </c>
    </row>
    <row r="1833" spans="1:9" ht="18.75" customHeight="1" x14ac:dyDescent="0.4">
      <c r="A1833" s="14" t="s">
        <v>2485</v>
      </c>
      <c r="B1833" s="16" t="str">
        <f>TRIM("共同物揚場（浪速）")</f>
        <v>共同物揚場（浪速）</v>
      </c>
      <c r="C1833" s="14" t="s">
        <v>1513</v>
      </c>
      <c r="D1833" s="14" t="s">
        <v>1036</v>
      </c>
      <c r="E1833" s="1">
        <v>104.13</v>
      </c>
      <c r="F1833" s="2"/>
      <c r="G1833" s="1"/>
      <c r="H1833" s="3"/>
      <c r="I1833" s="14" t="s">
        <v>2177</v>
      </c>
    </row>
    <row r="1834" spans="1:9" ht="18.75" customHeight="1" x14ac:dyDescent="0.4">
      <c r="A1834" s="14" t="s">
        <v>2513</v>
      </c>
      <c r="B1834" s="16" t="str">
        <f>TRIM("道頓堀川水門")</f>
        <v>道頓堀川水門</v>
      </c>
      <c r="C1834" s="14" t="s">
        <v>1513</v>
      </c>
      <c r="D1834" s="14" t="s">
        <v>1036</v>
      </c>
      <c r="E1834" s="1"/>
      <c r="F1834" s="2"/>
      <c r="G1834" s="1">
        <v>291.29000000000002</v>
      </c>
      <c r="H1834" s="3"/>
      <c r="I1834" s="14" t="s">
        <v>2177</v>
      </c>
    </row>
    <row r="1835" spans="1:9" ht="18.75" customHeight="1" x14ac:dyDescent="0.4">
      <c r="A1835" s="14" t="s">
        <v>2691</v>
      </c>
      <c r="B1835" s="16" t="str">
        <f>TRIM("幸町西公園")</f>
        <v>幸町西公園</v>
      </c>
      <c r="C1835" s="14" t="s">
        <v>1513</v>
      </c>
      <c r="D1835" s="14" t="s">
        <v>1036</v>
      </c>
      <c r="E1835" s="1">
        <v>1553.94</v>
      </c>
      <c r="F1835" s="2"/>
      <c r="G1835" s="1"/>
      <c r="H1835" s="3"/>
      <c r="I1835" s="14" t="s">
        <v>2177</v>
      </c>
    </row>
    <row r="1836" spans="1:9" ht="18.75" customHeight="1" x14ac:dyDescent="0.4">
      <c r="A1836" s="14" t="s">
        <v>2245</v>
      </c>
      <c r="B1836" s="16" t="str">
        <f>TRIM("大阪伊丹線（浪速）（管財課）")</f>
        <v>大阪伊丹線（浪速）（管財課）</v>
      </c>
      <c r="C1836" s="14" t="s">
        <v>1513</v>
      </c>
      <c r="D1836" s="14" t="s">
        <v>925</v>
      </c>
      <c r="E1836" s="1">
        <v>9013</v>
      </c>
      <c r="F1836" s="2"/>
      <c r="G1836" s="1"/>
      <c r="H1836" s="3"/>
      <c r="I1836" s="14" t="s">
        <v>2177</v>
      </c>
    </row>
    <row r="1837" spans="1:9" ht="18.75" customHeight="1" x14ac:dyDescent="0.4">
      <c r="A1837" s="14" t="s">
        <v>5332</v>
      </c>
      <c r="B1837" s="16" t="str">
        <f>TRIM("浪速消防署立葉出張所")</f>
        <v>浪速消防署立葉出張所</v>
      </c>
      <c r="C1837" s="14" t="s">
        <v>1513</v>
      </c>
      <c r="D1837" s="14" t="s">
        <v>999</v>
      </c>
      <c r="E1837" s="1">
        <v>292.42</v>
      </c>
      <c r="F1837" s="2"/>
      <c r="G1837" s="1">
        <v>590.89</v>
      </c>
      <c r="H1837" s="3"/>
      <c r="I1837" s="14" t="s">
        <v>5219</v>
      </c>
    </row>
    <row r="1838" spans="1:9" ht="18.75" customHeight="1" x14ac:dyDescent="0.4">
      <c r="A1838" s="14" t="s">
        <v>2567</v>
      </c>
      <c r="B1838" s="16" t="str">
        <f>TRIM("　稲荷町公園")</f>
        <v>稲荷町公園</v>
      </c>
      <c r="C1838" s="14" t="s">
        <v>1513</v>
      </c>
      <c r="D1838" s="14" t="s">
        <v>999</v>
      </c>
      <c r="E1838" s="1">
        <v>1096.54</v>
      </c>
      <c r="F1838" s="2"/>
      <c r="G1838" s="1"/>
      <c r="H1838" s="3"/>
      <c r="I1838" s="14" t="s">
        <v>2177</v>
      </c>
    </row>
    <row r="1839" spans="1:9" ht="18.75" customHeight="1" x14ac:dyDescent="0.4">
      <c r="A1839" s="14" t="s">
        <v>4444</v>
      </c>
      <c r="B1839" s="16" t="str">
        <f>TRIM("塩草連合北集会所")</f>
        <v>塩草連合北集会所</v>
      </c>
      <c r="C1839" s="14" t="s">
        <v>1513</v>
      </c>
      <c r="D1839" s="14" t="s">
        <v>999</v>
      </c>
      <c r="E1839" s="1">
        <v>94.45</v>
      </c>
      <c r="F1839" s="2"/>
      <c r="G1839" s="1"/>
      <c r="H1839" s="3"/>
      <c r="I1839" s="14" t="s">
        <v>4439</v>
      </c>
    </row>
    <row r="1840" spans="1:9" ht="18.75" customHeight="1" x14ac:dyDescent="0.4">
      <c r="A1840" s="14" t="s">
        <v>7049</v>
      </c>
      <c r="B1840" s="16" t="str">
        <f>TRIM("桜川小売市場民営活性化事業施設")</f>
        <v>桜川小売市場民営活性化事業施設</v>
      </c>
      <c r="C1840" s="14" t="s">
        <v>1513</v>
      </c>
      <c r="D1840" s="14" t="s">
        <v>34</v>
      </c>
      <c r="E1840" s="1">
        <v>4272.0200000000004</v>
      </c>
      <c r="F1840" s="2"/>
      <c r="G1840" s="1">
        <v>1600.76</v>
      </c>
      <c r="H1840" s="3"/>
      <c r="I1840" s="14" t="s">
        <v>4115</v>
      </c>
    </row>
    <row r="1841" spans="1:9" ht="18.75" customHeight="1" x14ac:dyDescent="0.4">
      <c r="A1841" s="14" t="s">
        <v>5822</v>
      </c>
      <c r="B1841" s="16" t="str">
        <f>TRIM("立葉幼稚園")</f>
        <v>立葉幼稚園</v>
      </c>
      <c r="C1841" s="14" t="s">
        <v>1513</v>
      </c>
      <c r="D1841" s="14" t="s">
        <v>525</v>
      </c>
      <c r="E1841" s="1">
        <v>1351.21</v>
      </c>
      <c r="F1841" s="2"/>
      <c r="G1841" s="1">
        <v>772.25</v>
      </c>
      <c r="H1841" s="3"/>
      <c r="I1841" s="14" t="s">
        <v>5617</v>
      </c>
    </row>
    <row r="1842" spans="1:9" ht="18.75" customHeight="1" x14ac:dyDescent="0.4">
      <c r="A1842" s="14" t="s">
        <v>2741</v>
      </c>
      <c r="B1842" s="16" t="str">
        <f>TRIM("　桜川公園")</f>
        <v>桜川公園</v>
      </c>
      <c r="C1842" s="14" t="s">
        <v>1513</v>
      </c>
      <c r="D1842" s="14" t="s">
        <v>525</v>
      </c>
      <c r="E1842" s="1">
        <v>5879</v>
      </c>
      <c r="F1842" s="2"/>
      <c r="G1842" s="1"/>
      <c r="H1842" s="3"/>
      <c r="I1842" s="14" t="s">
        <v>2177</v>
      </c>
    </row>
    <row r="1843" spans="1:9" ht="18.75" customHeight="1" x14ac:dyDescent="0.4">
      <c r="A1843" s="14" t="s">
        <v>4455</v>
      </c>
      <c r="B1843" s="16" t="str">
        <f>TRIM("立葉連合集会所")</f>
        <v>立葉連合集会所</v>
      </c>
      <c r="C1843" s="14" t="s">
        <v>1513</v>
      </c>
      <c r="D1843" s="14" t="s">
        <v>525</v>
      </c>
      <c r="E1843" s="1"/>
      <c r="F1843" s="2"/>
      <c r="G1843" s="1">
        <v>168.3</v>
      </c>
      <c r="H1843" s="3"/>
      <c r="I1843" s="14" t="s">
        <v>4439</v>
      </c>
    </row>
    <row r="1844" spans="1:9" ht="18.75" customHeight="1" x14ac:dyDescent="0.4">
      <c r="A1844" s="14" t="s">
        <v>4457</v>
      </c>
      <c r="B1844" s="16" t="str">
        <f>TRIM("地域集会施設関連用地（立葉）")</f>
        <v>地域集会施設関連用地（立葉）</v>
      </c>
      <c r="C1844" s="14" t="s">
        <v>1513</v>
      </c>
      <c r="D1844" s="14" t="s">
        <v>525</v>
      </c>
      <c r="E1844" s="1">
        <v>110.14</v>
      </c>
      <c r="F1844" s="2"/>
      <c r="G1844" s="1"/>
      <c r="H1844" s="3"/>
      <c r="I1844" s="14" t="s">
        <v>4439</v>
      </c>
    </row>
    <row r="1845" spans="1:9" ht="18.75" customHeight="1" x14ac:dyDescent="0.4">
      <c r="A1845" s="14" t="s">
        <v>5056</v>
      </c>
      <c r="B1845" s="16" t="str">
        <f>TRIM("もと難波特別支援学校（塩草）")</f>
        <v>もと難波特別支援学校（塩草）</v>
      </c>
      <c r="C1845" s="14" t="s">
        <v>1513</v>
      </c>
      <c r="D1845" s="14" t="s">
        <v>698</v>
      </c>
      <c r="E1845" s="1">
        <v>2273.79</v>
      </c>
      <c r="F1845" s="2">
        <v>1606</v>
      </c>
      <c r="G1845" s="1">
        <v>40</v>
      </c>
      <c r="H1845" s="3"/>
      <c r="I1845" s="14" t="s">
        <v>4689</v>
      </c>
    </row>
    <row r="1846" spans="1:9" ht="18.75" customHeight="1" x14ac:dyDescent="0.4">
      <c r="A1846" s="14" t="s">
        <v>4461</v>
      </c>
      <c r="B1846" s="16" t="str">
        <f>TRIM("塩草連合老人憩の家")</f>
        <v>塩草連合老人憩の家</v>
      </c>
      <c r="C1846" s="14" t="s">
        <v>1513</v>
      </c>
      <c r="D1846" s="14" t="s">
        <v>698</v>
      </c>
      <c r="E1846" s="1">
        <v>250.3</v>
      </c>
      <c r="F1846" s="2"/>
      <c r="G1846" s="1">
        <v>106.92</v>
      </c>
      <c r="H1846" s="3"/>
      <c r="I1846" s="14" t="s">
        <v>4439</v>
      </c>
    </row>
    <row r="1847" spans="1:9" ht="18.75" customHeight="1" x14ac:dyDescent="0.4">
      <c r="A1847" s="14" t="s">
        <v>4737</v>
      </c>
      <c r="B1847" s="16" t="str">
        <f>TRIM("塩草立葉小学校")</f>
        <v>塩草立葉小学校</v>
      </c>
      <c r="C1847" s="14" t="s">
        <v>1513</v>
      </c>
      <c r="D1847" s="14" t="s">
        <v>698</v>
      </c>
      <c r="E1847" s="1">
        <v>9981.69</v>
      </c>
      <c r="F1847" s="2"/>
      <c r="G1847" s="1">
        <v>6429.33</v>
      </c>
      <c r="H1847" s="3"/>
      <c r="I1847" s="14" t="s">
        <v>4689</v>
      </c>
    </row>
    <row r="1848" spans="1:9" ht="18.75" customHeight="1" x14ac:dyDescent="0.4">
      <c r="A1848" s="14" t="s">
        <v>5055</v>
      </c>
      <c r="B1848" s="16" t="str">
        <f>TRIM("難波中学校")</f>
        <v>難波中学校</v>
      </c>
      <c r="C1848" s="14" t="s">
        <v>1513</v>
      </c>
      <c r="D1848" s="14" t="s">
        <v>698</v>
      </c>
      <c r="E1848" s="1">
        <v>16064.7</v>
      </c>
      <c r="F1848" s="2"/>
      <c r="G1848" s="1">
        <v>14303.94</v>
      </c>
      <c r="H1848" s="3"/>
      <c r="I1848" s="14" t="s">
        <v>4689</v>
      </c>
    </row>
    <row r="1849" spans="1:9" ht="18.75" customHeight="1" x14ac:dyDescent="0.4">
      <c r="A1849" s="14" t="s">
        <v>6300</v>
      </c>
      <c r="B1849" s="16" t="str">
        <f>TRIM("塩草住宅")</f>
        <v>塩草住宅</v>
      </c>
      <c r="C1849" s="14" t="s">
        <v>1513</v>
      </c>
      <c r="D1849" s="14" t="s">
        <v>698</v>
      </c>
      <c r="E1849" s="1">
        <v>3656.75</v>
      </c>
      <c r="F1849" s="2"/>
      <c r="G1849" s="1">
        <v>6837.4</v>
      </c>
      <c r="H1849" s="3"/>
      <c r="I1849" s="14" t="s">
        <v>6177</v>
      </c>
    </row>
    <row r="1850" spans="1:9" ht="18.75" customHeight="1" x14ac:dyDescent="0.4">
      <c r="A1850" s="14" t="s">
        <v>6301</v>
      </c>
      <c r="B1850" s="16" t="str">
        <f>TRIM("塩草第2住宅")</f>
        <v>塩草第2住宅</v>
      </c>
      <c r="C1850" s="14" t="s">
        <v>1513</v>
      </c>
      <c r="D1850" s="14" t="s">
        <v>698</v>
      </c>
      <c r="E1850" s="1">
        <v>2531.63</v>
      </c>
      <c r="F1850" s="2"/>
      <c r="G1850" s="1">
        <v>4015.35</v>
      </c>
      <c r="H1850" s="3"/>
      <c r="I1850" s="14" t="s">
        <v>6177</v>
      </c>
    </row>
    <row r="1851" spans="1:9" ht="18.75" customHeight="1" x14ac:dyDescent="0.4">
      <c r="A1851" s="14" t="s">
        <v>2378</v>
      </c>
      <c r="B1851" s="16" t="str">
        <f>TRIM("塩草地下駐車場")</f>
        <v>塩草地下駐車場</v>
      </c>
      <c r="C1851" s="14" t="s">
        <v>1513</v>
      </c>
      <c r="D1851" s="14" t="s">
        <v>698</v>
      </c>
      <c r="E1851" s="1"/>
      <c r="F1851" s="2"/>
      <c r="G1851" s="1">
        <v>5838.17</v>
      </c>
      <c r="H1851" s="3"/>
      <c r="I1851" s="14" t="s">
        <v>2177</v>
      </c>
    </row>
    <row r="1852" spans="1:9" ht="18.75" customHeight="1" x14ac:dyDescent="0.4">
      <c r="A1852" s="14" t="s">
        <v>3377</v>
      </c>
      <c r="B1852" s="16" t="str">
        <f>TRIM("　浪速公園")</f>
        <v>浪速公園</v>
      </c>
      <c r="C1852" s="14" t="s">
        <v>1513</v>
      </c>
      <c r="D1852" s="14" t="s">
        <v>698</v>
      </c>
      <c r="E1852" s="1">
        <v>28894.16</v>
      </c>
      <c r="F1852" s="2"/>
      <c r="G1852" s="1"/>
      <c r="H1852" s="3"/>
      <c r="I1852" s="14" t="s">
        <v>2177</v>
      </c>
    </row>
    <row r="1853" spans="1:9" ht="18.75" customHeight="1" x14ac:dyDescent="0.4">
      <c r="A1853" s="14" t="s">
        <v>3690</v>
      </c>
      <c r="B1853" s="16" t="str">
        <f>TRIM("　浪速公園")</f>
        <v>浪速公園</v>
      </c>
      <c r="C1853" s="14" t="s">
        <v>1513</v>
      </c>
      <c r="D1853" s="14" t="s">
        <v>698</v>
      </c>
      <c r="E1853" s="1"/>
      <c r="F1853" s="2"/>
      <c r="G1853" s="1">
        <v>100.45</v>
      </c>
      <c r="H1853" s="3"/>
      <c r="I1853" s="14" t="s">
        <v>2177</v>
      </c>
    </row>
    <row r="1854" spans="1:9" ht="18.75" customHeight="1" x14ac:dyDescent="0.4">
      <c r="A1854" s="14" t="s">
        <v>4442</v>
      </c>
      <c r="B1854" s="16" t="str">
        <f>TRIM("塩草連合集会所")</f>
        <v>塩草連合集会所</v>
      </c>
      <c r="C1854" s="14" t="s">
        <v>1513</v>
      </c>
      <c r="D1854" s="14" t="s">
        <v>698</v>
      </c>
      <c r="E1854" s="1"/>
      <c r="F1854" s="2"/>
      <c r="G1854" s="1">
        <v>106.92</v>
      </c>
      <c r="H1854" s="3"/>
      <c r="I1854" s="14" t="s">
        <v>4439</v>
      </c>
    </row>
    <row r="1855" spans="1:9" ht="18.75" customHeight="1" x14ac:dyDescent="0.4">
      <c r="A1855" s="14" t="s">
        <v>6198</v>
      </c>
      <c r="B1855" s="16" t="str">
        <f>TRIM("神田住宅用地")</f>
        <v>神田住宅用地</v>
      </c>
      <c r="C1855" s="14" t="s">
        <v>1513</v>
      </c>
      <c r="D1855" s="14" t="s">
        <v>698</v>
      </c>
      <c r="E1855" s="1">
        <v>337.18</v>
      </c>
      <c r="F1855" s="2"/>
      <c r="G1855" s="1"/>
      <c r="H1855" s="3"/>
      <c r="I1855" s="14" t="s">
        <v>6177</v>
      </c>
    </row>
    <row r="1856" spans="1:9" ht="18.75" customHeight="1" x14ac:dyDescent="0.4">
      <c r="A1856" s="14" t="s">
        <v>5867</v>
      </c>
      <c r="B1856" s="16" t="str">
        <f>TRIM("小田町保育所")</f>
        <v>小田町保育所</v>
      </c>
      <c r="C1856" s="14" t="s">
        <v>1513</v>
      </c>
      <c r="D1856" s="14" t="s">
        <v>576</v>
      </c>
      <c r="E1856" s="1">
        <v>918.95</v>
      </c>
      <c r="F1856" s="2"/>
      <c r="G1856" s="1">
        <v>553.29</v>
      </c>
      <c r="H1856" s="3"/>
      <c r="I1856" s="14" t="s">
        <v>5617</v>
      </c>
    </row>
    <row r="1857" spans="1:9" ht="18.75" customHeight="1" x14ac:dyDescent="0.4">
      <c r="A1857" s="14" t="s">
        <v>6042</v>
      </c>
      <c r="B1857" s="16" t="str">
        <f>TRIM("中部環境事業センター出張所")</f>
        <v>中部環境事業センター出張所</v>
      </c>
      <c r="C1857" s="14" t="s">
        <v>1513</v>
      </c>
      <c r="D1857" s="14" t="s">
        <v>576</v>
      </c>
      <c r="E1857" s="1">
        <v>3651.46</v>
      </c>
      <c r="F1857" s="2"/>
      <c r="G1857" s="1">
        <v>7110.68</v>
      </c>
      <c r="H1857" s="3"/>
      <c r="I1857" s="14" t="s">
        <v>5977</v>
      </c>
    </row>
    <row r="1858" spans="1:9" ht="18.75" customHeight="1" x14ac:dyDescent="0.4">
      <c r="A1858" s="14" t="s">
        <v>2586</v>
      </c>
      <c r="B1858" s="16" t="str">
        <f>TRIM("　塩草公園")</f>
        <v>塩草公園</v>
      </c>
      <c r="C1858" s="14" t="s">
        <v>1513</v>
      </c>
      <c r="D1858" s="14" t="s">
        <v>576</v>
      </c>
      <c r="E1858" s="1">
        <v>3781.91</v>
      </c>
      <c r="F1858" s="2"/>
      <c r="G1858" s="1"/>
      <c r="H1858" s="3"/>
      <c r="I1858" s="14" t="s">
        <v>2177</v>
      </c>
    </row>
    <row r="1859" spans="1:9" ht="18.75" customHeight="1" x14ac:dyDescent="0.4">
      <c r="A1859" s="14" t="s">
        <v>3537</v>
      </c>
      <c r="B1859" s="16" t="str">
        <f>TRIM("　塩草公園")</f>
        <v>塩草公園</v>
      </c>
      <c r="C1859" s="14" t="s">
        <v>1513</v>
      </c>
      <c r="D1859" s="14" t="s">
        <v>576</v>
      </c>
      <c r="E1859" s="1"/>
      <c r="F1859" s="2"/>
      <c r="G1859" s="1">
        <v>42.14</v>
      </c>
      <c r="H1859" s="3"/>
      <c r="I1859" s="14" t="s">
        <v>2177</v>
      </c>
    </row>
    <row r="1860" spans="1:9" ht="18.75" customHeight="1" x14ac:dyDescent="0.4">
      <c r="A1860" s="14" t="s">
        <v>5668</v>
      </c>
      <c r="B1860" s="16" t="str">
        <f>TRIM("もと小田町児童館")</f>
        <v>もと小田町児童館</v>
      </c>
      <c r="C1860" s="14" t="s">
        <v>1513</v>
      </c>
      <c r="D1860" s="14" t="s">
        <v>576</v>
      </c>
      <c r="E1860" s="1"/>
      <c r="F1860" s="2"/>
      <c r="G1860" s="1">
        <v>158.08000000000001</v>
      </c>
      <c r="H1860" s="3"/>
      <c r="I1860" s="14" t="s">
        <v>5617</v>
      </c>
    </row>
    <row r="1861" spans="1:9" ht="18.75" customHeight="1" x14ac:dyDescent="0.4">
      <c r="A1861" s="14" t="s">
        <v>6302</v>
      </c>
      <c r="B1861" s="16" t="str">
        <f>TRIM("塩草第3住宅")</f>
        <v>塩草第3住宅</v>
      </c>
      <c r="C1861" s="14" t="s">
        <v>1513</v>
      </c>
      <c r="D1861" s="14" t="s">
        <v>576</v>
      </c>
      <c r="E1861" s="1"/>
      <c r="F1861" s="2"/>
      <c r="G1861" s="1">
        <v>4432.45</v>
      </c>
      <c r="H1861" s="3"/>
      <c r="I1861" s="14" t="s">
        <v>6177</v>
      </c>
    </row>
    <row r="1862" spans="1:9" ht="18.75" customHeight="1" x14ac:dyDescent="0.4">
      <c r="A1862" s="14" t="s">
        <v>1673</v>
      </c>
      <c r="B1862" s="16" t="str">
        <f>TRIM("浪速老人世話ホーム代替地")</f>
        <v>浪速老人世話ホーム代替地</v>
      </c>
      <c r="C1862" s="14" t="s">
        <v>1513</v>
      </c>
      <c r="D1862" s="14" t="s">
        <v>331</v>
      </c>
      <c r="E1862" s="1">
        <v>7.91</v>
      </c>
      <c r="F1862" s="2"/>
      <c r="G1862" s="1"/>
      <c r="H1862" s="3"/>
      <c r="I1862" s="14" t="s">
        <v>1654</v>
      </c>
    </row>
    <row r="1863" spans="1:9" ht="18.75" customHeight="1" x14ac:dyDescent="0.4">
      <c r="A1863" s="14" t="s">
        <v>4443</v>
      </c>
      <c r="B1863" s="16" t="str">
        <f>TRIM("塩草連合西集会所")</f>
        <v>塩草連合西集会所</v>
      </c>
      <c r="C1863" s="14" t="s">
        <v>1513</v>
      </c>
      <c r="D1863" s="14" t="s">
        <v>331</v>
      </c>
      <c r="E1863" s="1"/>
      <c r="F1863" s="2"/>
      <c r="G1863" s="1">
        <v>90.09</v>
      </c>
      <c r="H1863" s="3"/>
      <c r="I1863" s="14" t="s">
        <v>4439</v>
      </c>
    </row>
    <row r="1864" spans="1:9" ht="18.75" customHeight="1" x14ac:dyDescent="0.4">
      <c r="A1864" s="14" t="s">
        <v>3992</v>
      </c>
      <c r="B1864" s="16" t="str">
        <f>TRIM("旧芦原橋材料置場")</f>
        <v>旧芦原橋材料置場</v>
      </c>
      <c r="C1864" s="14" t="s">
        <v>1513</v>
      </c>
      <c r="D1864" s="14" t="s">
        <v>331</v>
      </c>
      <c r="E1864" s="1">
        <v>486.4</v>
      </c>
      <c r="F1864" s="2"/>
      <c r="G1864" s="1"/>
      <c r="H1864" s="3"/>
      <c r="I1864" s="14" t="s">
        <v>2177</v>
      </c>
    </row>
    <row r="1865" spans="1:9" ht="18.75" customHeight="1" x14ac:dyDescent="0.4">
      <c r="A1865" s="14" t="s">
        <v>4446</v>
      </c>
      <c r="B1865" s="16" t="str">
        <f>TRIM("勘助町会館")</f>
        <v>勘助町会館</v>
      </c>
      <c r="C1865" s="14" t="s">
        <v>1513</v>
      </c>
      <c r="D1865" s="14" t="s">
        <v>486</v>
      </c>
      <c r="E1865" s="1">
        <v>106.6</v>
      </c>
      <c r="F1865" s="2"/>
      <c r="G1865" s="1">
        <v>99.38</v>
      </c>
      <c r="H1865" s="3"/>
      <c r="I1865" s="14" t="s">
        <v>4439</v>
      </c>
    </row>
    <row r="1866" spans="1:9" ht="18.75" customHeight="1" x14ac:dyDescent="0.4">
      <c r="A1866" s="14" t="s">
        <v>4471</v>
      </c>
      <c r="B1866" s="16" t="str">
        <f>TRIM("敷津老人憩の家")</f>
        <v>敷津老人憩の家</v>
      </c>
      <c r="C1866" s="14" t="s">
        <v>1513</v>
      </c>
      <c r="D1866" s="14" t="s">
        <v>486</v>
      </c>
      <c r="E1866" s="1">
        <v>380.39</v>
      </c>
      <c r="F1866" s="2"/>
      <c r="G1866" s="1">
        <v>227.22</v>
      </c>
      <c r="H1866" s="3"/>
      <c r="I1866" s="14" t="s">
        <v>4439</v>
      </c>
    </row>
    <row r="1867" spans="1:9" ht="18.75" customHeight="1" x14ac:dyDescent="0.4">
      <c r="A1867" s="14" t="s">
        <v>5206</v>
      </c>
      <c r="B1867" s="16" t="str">
        <f>TRIM("浪速図書館")</f>
        <v>浪速図書館</v>
      </c>
      <c r="C1867" s="14" t="s">
        <v>1513</v>
      </c>
      <c r="D1867" s="14" t="s">
        <v>486</v>
      </c>
      <c r="E1867" s="1">
        <v>1079.1099999999999</v>
      </c>
      <c r="F1867" s="2"/>
      <c r="G1867" s="1">
        <v>606.36</v>
      </c>
      <c r="H1867" s="3"/>
      <c r="I1867" s="14" t="s">
        <v>4689</v>
      </c>
    </row>
    <row r="1868" spans="1:9" ht="18.75" customHeight="1" x14ac:dyDescent="0.4">
      <c r="A1868" s="14" t="s">
        <v>1659</v>
      </c>
      <c r="B1868" s="16" t="str">
        <f>TRIM("もと敷津老人憩の家")</f>
        <v>もと敷津老人憩の家</v>
      </c>
      <c r="C1868" s="14" t="s">
        <v>1513</v>
      </c>
      <c r="D1868" s="14" t="s">
        <v>486</v>
      </c>
      <c r="E1868" s="1"/>
      <c r="F1868" s="2"/>
      <c r="G1868" s="1">
        <v>100.19</v>
      </c>
      <c r="H1868" s="3" t="s">
        <v>7353</v>
      </c>
      <c r="I1868" s="14" t="s">
        <v>1654</v>
      </c>
    </row>
    <row r="1869" spans="1:9" ht="18.75" customHeight="1" x14ac:dyDescent="0.4">
      <c r="A1869" s="14" t="s">
        <v>2591</v>
      </c>
      <c r="B1869" s="16" t="str">
        <f>TRIM("　鴎町公園")</f>
        <v>鴎町公園</v>
      </c>
      <c r="C1869" s="14" t="s">
        <v>1513</v>
      </c>
      <c r="D1869" s="14" t="s">
        <v>486</v>
      </c>
      <c r="E1869" s="1">
        <v>4770.3</v>
      </c>
      <c r="F1869" s="2"/>
      <c r="G1869" s="1"/>
      <c r="H1869" s="3"/>
      <c r="I1869" s="14" t="s">
        <v>2177</v>
      </c>
    </row>
    <row r="1870" spans="1:9" ht="18.75" customHeight="1" x14ac:dyDescent="0.4">
      <c r="A1870" s="14" t="s">
        <v>4445</v>
      </c>
      <c r="B1870" s="16" t="str">
        <f>TRIM("鴎町公園集会所")</f>
        <v>鴎町公園集会所</v>
      </c>
      <c r="C1870" s="14" t="s">
        <v>1513</v>
      </c>
      <c r="D1870" s="14" t="s">
        <v>486</v>
      </c>
      <c r="E1870" s="1"/>
      <c r="F1870" s="2"/>
      <c r="G1870" s="1">
        <v>181.04</v>
      </c>
      <c r="H1870" s="3"/>
      <c r="I1870" s="14" t="s">
        <v>4439</v>
      </c>
    </row>
    <row r="1871" spans="1:9" ht="18.75" customHeight="1" x14ac:dyDescent="0.4">
      <c r="A1871" s="14" t="s">
        <v>4454</v>
      </c>
      <c r="B1871" s="16" t="str">
        <f>TRIM("敷津連合会館")</f>
        <v>敷津連合会館</v>
      </c>
      <c r="C1871" s="14" t="s">
        <v>1513</v>
      </c>
      <c r="D1871" s="14" t="s">
        <v>486</v>
      </c>
      <c r="E1871" s="1"/>
      <c r="F1871" s="2"/>
      <c r="G1871" s="1">
        <v>197.78</v>
      </c>
      <c r="H1871" s="3"/>
      <c r="I1871" s="14" t="s">
        <v>4439</v>
      </c>
    </row>
    <row r="1872" spans="1:9" ht="18.75" customHeight="1" x14ac:dyDescent="0.4">
      <c r="A1872" s="14" t="s">
        <v>5649</v>
      </c>
      <c r="B1872" s="16" t="str">
        <f>TRIM("大国保育所代替用地")</f>
        <v>大国保育所代替用地</v>
      </c>
      <c r="C1872" s="14" t="s">
        <v>1513</v>
      </c>
      <c r="D1872" s="14" t="s">
        <v>486</v>
      </c>
      <c r="E1872" s="1">
        <v>40.31</v>
      </c>
      <c r="F1872" s="2"/>
      <c r="G1872" s="1"/>
      <c r="H1872" s="3"/>
      <c r="I1872" s="14" t="s">
        <v>5617</v>
      </c>
    </row>
    <row r="1873" spans="1:9" ht="18.75" customHeight="1" x14ac:dyDescent="0.4">
      <c r="A1873" s="14" t="s">
        <v>6843</v>
      </c>
      <c r="B1873" s="16" t="str">
        <f>TRIM("もと建築物移転先用地（湊町工区）")</f>
        <v>もと建築物移転先用地（湊町工区）</v>
      </c>
      <c r="C1873" s="14" t="s">
        <v>1513</v>
      </c>
      <c r="D1873" s="14" t="s">
        <v>486</v>
      </c>
      <c r="E1873" s="1">
        <v>414.17</v>
      </c>
      <c r="F1873" s="2"/>
      <c r="G1873" s="1"/>
      <c r="H1873" s="3"/>
      <c r="I1873" s="14" t="s">
        <v>6177</v>
      </c>
    </row>
    <row r="1874" spans="1:9" ht="18.75" customHeight="1" x14ac:dyDescent="0.4">
      <c r="A1874" s="14" t="s">
        <v>6996</v>
      </c>
      <c r="B1874" s="16" t="str">
        <f>TRIM(" 放射線技術検査所")</f>
        <v>放射線技術検査所</v>
      </c>
      <c r="C1874" s="14" t="s">
        <v>1513</v>
      </c>
      <c r="D1874" s="14" t="s">
        <v>486</v>
      </c>
      <c r="E1874" s="1"/>
      <c r="F1874" s="2"/>
      <c r="G1874" s="1">
        <v>313.64999999999998</v>
      </c>
      <c r="H1874" s="3"/>
      <c r="I1874" s="14" t="s">
        <v>2402</v>
      </c>
    </row>
    <row r="1875" spans="1:9" ht="18.75" customHeight="1" x14ac:dyDescent="0.4">
      <c r="A1875" s="14" t="s">
        <v>4438</v>
      </c>
      <c r="B1875" s="16" t="str">
        <f>TRIM("浪速区役所")</f>
        <v>浪速区役所</v>
      </c>
      <c r="C1875" s="14" t="s">
        <v>1513</v>
      </c>
      <c r="D1875" s="14" t="s">
        <v>1455</v>
      </c>
      <c r="E1875" s="1">
        <v>1633.03</v>
      </c>
      <c r="F1875" s="2"/>
      <c r="G1875" s="1">
        <v>7469.97</v>
      </c>
      <c r="H1875" s="3"/>
      <c r="I1875" s="14" t="s">
        <v>4439</v>
      </c>
    </row>
    <row r="1876" spans="1:9" ht="18.75" customHeight="1" x14ac:dyDescent="0.4">
      <c r="A1876" s="14" t="s">
        <v>4440</v>
      </c>
      <c r="B1876" s="16" t="str">
        <f>TRIM("浪速区保健福祉センター")</f>
        <v>浪速区保健福祉センター</v>
      </c>
      <c r="C1876" s="14" t="s">
        <v>1513</v>
      </c>
      <c r="D1876" s="14" t="s">
        <v>1455</v>
      </c>
      <c r="E1876" s="1"/>
      <c r="F1876" s="2"/>
      <c r="G1876" s="1">
        <v>2269.44</v>
      </c>
      <c r="H1876" s="3"/>
      <c r="I1876" s="14" t="s">
        <v>4439</v>
      </c>
    </row>
    <row r="1877" spans="1:9" ht="18.75" customHeight="1" x14ac:dyDescent="0.4">
      <c r="A1877" s="14" t="s">
        <v>5076</v>
      </c>
      <c r="B1877" s="16" t="str">
        <f>TRIM("敷津小学校")</f>
        <v>敷津小学校</v>
      </c>
      <c r="C1877" s="14" t="s">
        <v>1513</v>
      </c>
      <c r="D1877" s="14" t="s">
        <v>828</v>
      </c>
      <c r="E1877" s="1">
        <v>4466.3999999999996</v>
      </c>
      <c r="F1877" s="2"/>
      <c r="G1877" s="1">
        <v>3860.98</v>
      </c>
      <c r="H1877" s="3"/>
      <c r="I1877" s="14" t="s">
        <v>4689</v>
      </c>
    </row>
    <row r="1878" spans="1:9" ht="18.75" customHeight="1" x14ac:dyDescent="0.4">
      <c r="A1878" s="14" t="s">
        <v>6639</v>
      </c>
      <c r="B1878" s="16" t="str">
        <f>TRIM("敷津東住宅")</f>
        <v>敷津東住宅</v>
      </c>
      <c r="C1878" s="14" t="s">
        <v>1513</v>
      </c>
      <c r="D1878" s="14" t="s">
        <v>828</v>
      </c>
      <c r="E1878" s="1">
        <v>5750.79</v>
      </c>
      <c r="F1878" s="2"/>
      <c r="G1878" s="1">
        <v>19439.18</v>
      </c>
      <c r="H1878" s="3"/>
      <c r="I1878" s="14" t="s">
        <v>6177</v>
      </c>
    </row>
    <row r="1879" spans="1:9" ht="18.75" customHeight="1" x14ac:dyDescent="0.4">
      <c r="A1879" s="14" t="s">
        <v>2703</v>
      </c>
      <c r="B1879" s="16" t="str">
        <f>TRIM("　高岸公園")</f>
        <v>高岸公園</v>
      </c>
      <c r="C1879" s="14" t="s">
        <v>1513</v>
      </c>
      <c r="D1879" s="14" t="s">
        <v>828</v>
      </c>
      <c r="E1879" s="1">
        <v>7120.13</v>
      </c>
      <c r="F1879" s="2"/>
      <c r="G1879" s="1"/>
      <c r="H1879" s="3"/>
      <c r="I1879" s="14" t="s">
        <v>2177</v>
      </c>
    </row>
    <row r="1880" spans="1:9" ht="18.75" customHeight="1" x14ac:dyDescent="0.4">
      <c r="A1880" s="14" t="s">
        <v>4465</v>
      </c>
      <c r="B1880" s="16" t="str">
        <f>TRIM("高岸公園老人憩の家")</f>
        <v>高岸公園老人憩の家</v>
      </c>
      <c r="C1880" s="14" t="s">
        <v>1513</v>
      </c>
      <c r="D1880" s="14" t="s">
        <v>828</v>
      </c>
      <c r="E1880" s="1"/>
      <c r="F1880" s="2"/>
      <c r="G1880" s="1">
        <v>105.84</v>
      </c>
      <c r="H1880" s="3"/>
      <c r="I1880" s="14" t="s">
        <v>4439</v>
      </c>
    </row>
    <row r="1881" spans="1:9" ht="18.75" customHeight="1" x14ac:dyDescent="0.4">
      <c r="A1881" s="14" t="s">
        <v>1840</v>
      </c>
      <c r="B1881" s="16" t="str">
        <f>TRIM("浪速区老人福祉センター")</f>
        <v>浪速区老人福祉センター</v>
      </c>
      <c r="C1881" s="14" t="s">
        <v>1513</v>
      </c>
      <c r="D1881" s="14" t="s">
        <v>219</v>
      </c>
      <c r="E1881" s="1">
        <v>1401.42</v>
      </c>
      <c r="F1881" s="2"/>
      <c r="G1881" s="1">
        <v>569.13</v>
      </c>
      <c r="H1881" s="3"/>
      <c r="I1881" s="14" t="s">
        <v>1654</v>
      </c>
    </row>
    <row r="1882" spans="1:9" ht="18.75" customHeight="1" x14ac:dyDescent="0.4">
      <c r="A1882" s="14" t="s">
        <v>4452</v>
      </c>
      <c r="B1882" s="16" t="str">
        <f>TRIM("日東雲井橋会館")</f>
        <v>日東雲井橋会館</v>
      </c>
      <c r="C1882" s="14" t="s">
        <v>1513</v>
      </c>
      <c r="D1882" s="14" t="s">
        <v>219</v>
      </c>
      <c r="E1882" s="1"/>
      <c r="F1882" s="2"/>
      <c r="G1882" s="1">
        <v>197.91</v>
      </c>
      <c r="H1882" s="3"/>
      <c r="I1882" s="14" t="s">
        <v>4439</v>
      </c>
    </row>
    <row r="1883" spans="1:9" ht="18.75" customHeight="1" x14ac:dyDescent="0.4">
      <c r="A1883" s="14" t="s">
        <v>4468</v>
      </c>
      <c r="B1883" s="16" t="str">
        <f>TRIM("日東老人憩の家")</f>
        <v>日東老人憩の家</v>
      </c>
      <c r="C1883" s="14" t="s">
        <v>1513</v>
      </c>
      <c r="D1883" s="14" t="s">
        <v>219</v>
      </c>
      <c r="E1883" s="1"/>
      <c r="F1883" s="2"/>
      <c r="G1883" s="1">
        <v>82.61</v>
      </c>
      <c r="H1883" s="3"/>
      <c r="I1883" s="14" t="s">
        <v>4439</v>
      </c>
    </row>
    <row r="1884" spans="1:9" ht="18.75" customHeight="1" x14ac:dyDescent="0.4">
      <c r="A1884" s="14" t="s">
        <v>5482</v>
      </c>
      <c r="B1884" s="16" t="str">
        <f>TRIM("契約管財局賃貸地（浪速・その他）")</f>
        <v>契約管財局賃貸地（浪速・その他）</v>
      </c>
      <c r="C1884" s="14" t="s">
        <v>1513</v>
      </c>
      <c r="D1884" s="14" t="s">
        <v>219</v>
      </c>
      <c r="E1884" s="1">
        <v>94.81</v>
      </c>
      <c r="F1884" s="2"/>
      <c r="G1884" s="1"/>
      <c r="H1884" s="3"/>
      <c r="I1884" s="14" t="s">
        <v>5349</v>
      </c>
    </row>
    <row r="1885" spans="1:9" ht="18.75" customHeight="1" x14ac:dyDescent="0.4">
      <c r="A1885" s="14" t="s">
        <v>5689</v>
      </c>
      <c r="B1885" s="16" t="str">
        <f>TRIM("もと浪速勤労青少年ホーム")</f>
        <v>もと浪速勤労青少年ホーム</v>
      </c>
      <c r="C1885" s="14" t="s">
        <v>1513</v>
      </c>
      <c r="D1885" s="14" t="s">
        <v>219</v>
      </c>
      <c r="E1885" s="1"/>
      <c r="F1885" s="2"/>
      <c r="G1885" s="1">
        <v>689.48</v>
      </c>
      <c r="H1885" s="3" t="s">
        <v>7353</v>
      </c>
      <c r="I1885" s="14" t="s">
        <v>5617</v>
      </c>
    </row>
    <row r="1886" spans="1:9" ht="18.75" customHeight="1" x14ac:dyDescent="0.4">
      <c r="A1886" s="14" t="s">
        <v>4705</v>
      </c>
      <c r="B1886" s="16" t="str">
        <f>TRIM("教育管理用地（浪速区下寺３丁目）")</f>
        <v>教育管理用地（浪速区下寺３丁目）</v>
      </c>
      <c r="C1886" s="14" t="s">
        <v>1513</v>
      </c>
      <c r="D1886" s="14" t="s">
        <v>593</v>
      </c>
      <c r="E1886" s="1">
        <v>1431.25</v>
      </c>
      <c r="F1886" s="2">
        <v>226</v>
      </c>
      <c r="G1886" s="1"/>
      <c r="H1886" s="3"/>
      <c r="I1886" s="14" t="s">
        <v>4689</v>
      </c>
    </row>
    <row r="1887" spans="1:9" ht="18.75" customHeight="1" x14ac:dyDescent="0.4">
      <c r="A1887" s="14" t="s">
        <v>2550</v>
      </c>
      <c r="B1887" s="16" t="str">
        <f>TRIM("　愛染公園")</f>
        <v>愛染公園</v>
      </c>
      <c r="C1887" s="14" t="s">
        <v>1513</v>
      </c>
      <c r="D1887" s="14" t="s">
        <v>593</v>
      </c>
      <c r="E1887" s="1">
        <v>5711.7</v>
      </c>
      <c r="F1887" s="2"/>
      <c r="G1887" s="1"/>
      <c r="H1887" s="3"/>
      <c r="I1887" s="14" t="s">
        <v>2177</v>
      </c>
    </row>
    <row r="1888" spans="1:9" ht="18.75" customHeight="1" x14ac:dyDescent="0.4">
      <c r="A1888" s="14" t="s">
        <v>4936</v>
      </c>
      <c r="B1888" s="16" t="str">
        <f>TRIM("大国小学校")</f>
        <v>大国小学校</v>
      </c>
      <c r="C1888" s="14" t="s">
        <v>1513</v>
      </c>
      <c r="D1888" s="14" t="s">
        <v>1410</v>
      </c>
      <c r="E1888" s="1">
        <v>5351.86</v>
      </c>
      <c r="F1888" s="2"/>
      <c r="G1888" s="1">
        <v>5911.08</v>
      </c>
      <c r="H1888" s="3"/>
      <c r="I1888" s="14" t="s">
        <v>4689</v>
      </c>
    </row>
    <row r="1889" spans="1:9" ht="18.75" customHeight="1" x14ac:dyDescent="0.4">
      <c r="A1889" s="14" t="s">
        <v>6484</v>
      </c>
      <c r="B1889" s="16" t="str">
        <f>TRIM("大国南住宅")</f>
        <v>大国南住宅</v>
      </c>
      <c r="C1889" s="14" t="s">
        <v>1513</v>
      </c>
      <c r="D1889" s="14" t="s">
        <v>613</v>
      </c>
      <c r="E1889" s="1">
        <v>2564.6</v>
      </c>
      <c r="F1889" s="2"/>
      <c r="G1889" s="1">
        <v>4278.99</v>
      </c>
      <c r="H1889" s="3"/>
      <c r="I1889" s="14" t="s">
        <v>6177</v>
      </c>
    </row>
    <row r="1890" spans="1:9" ht="18.75" customHeight="1" x14ac:dyDescent="0.4">
      <c r="A1890" s="14" t="s">
        <v>2403</v>
      </c>
      <c r="B1890" s="16" t="str">
        <f>TRIM("鴎町ポンプ場")</f>
        <v>鴎町ポンプ場</v>
      </c>
      <c r="C1890" s="14" t="s">
        <v>1513</v>
      </c>
      <c r="D1890" s="14" t="s">
        <v>613</v>
      </c>
      <c r="E1890" s="1"/>
      <c r="F1890" s="2"/>
      <c r="G1890" s="1">
        <v>5.29</v>
      </c>
      <c r="H1890" s="3"/>
      <c r="I1890" s="14" t="s">
        <v>2177</v>
      </c>
    </row>
    <row r="1891" spans="1:9" ht="18.75" customHeight="1" x14ac:dyDescent="0.4">
      <c r="A1891" s="14" t="s">
        <v>2985</v>
      </c>
      <c r="B1891" s="16" t="str">
        <f>TRIM("　大国町南公園")</f>
        <v>大国町南公園</v>
      </c>
      <c r="C1891" s="14" t="s">
        <v>1513</v>
      </c>
      <c r="D1891" s="14" t="s">
        <v>613</v>
      </c>
      <c r="E1891" s="1">
        <v>8882.64</v>
      </c>
      <c r="F1891" s="2"/>
      <c r="G1891" s="1"/>
      <c r="H1891" s="3"/>
      <c r="I1891" s="14" t="s">
        <v>2177</v>
      </c>
    </row>
    <row r="1892" spans="1:9" ht="18.75" customHeight="1" x14ac:dyDescent="0.4">
      <c r="A1892" s="14" t="s">
        <v>2986</v>
      </c>
      <c r="B1892" s="16" t="str">
        <f>TRIM("　大国町北公園")</f>
        <v>大国町北公園</v>
      </c>
      <c r="C1892" s="14" t="s">
        <v>1513</v>
      </c>
      <c r="D1892" s="14" t="s">
        <v>613</v>
      </c>
      <c r="E1892" s="1">
        <v>3257.15</v>
      </c>
      <c r="F1892" s="2"/>
      <c r="G1892" s="1"/>
      <c r="H1892" s="3"/>
      <c r="I1892" s="14" t="s">
        <v>2177</v>
      </c>
    </row>
    <row r="1893" spans="1:9" ht="18.75" customHeight="1" x14ac:dyDescent="0.4">
      <c r="A1893" s="14" t="s">
        <v>5957</v>
      </c>
      <c r="B1893" s="16" t="str">
        <f>TRIM("大国保育園")</f>
        <v>大国保育園</v>
      </c>
      <c r="C1893" s="14" t="s">
        <v>1513</v>
      </c>
      <c r="D1893" s="14" t="s">
        <v>613</v>
      </c>
      <c r="E1893" s="1">
        <v>1605.72</v>
      </c>
      <c r="F1893" s="2"/>
      <c r="G1893" s="1"/>
      <c r="H1893" s="3"/>
      <c r="I1893" s="14" t="s">
        <v>5617</v>
      </c>
    </row>
    <row r="1894" spans="1:9" ht="18.75" customHeight="1" x14ac:dyDescent="0.4">
      <c r="A1894" s="14" t="s">
        <v>1616</v>
      </c>
      <c r="B1894" s="16" t="str">
        <f>TRIM("もと浪速地区公共施設建設用地（大国）")</f>
        <v>もと浪速地区公共施設建設用地（大国）</v>
      </c>
      <c r="C1894" s="14" t="s">
        <v>1513</v>
      </c>
      <c r="D1894" s="14" t="s">
        <v>105</v>
      </c>
      <c r="E1894" s="1">
        <v>310.89999999999998</v>
      </c>
      <c r="F1894" s="2">
        <v>236</v>
      </c>
      <c r="G1894" s="1"/>
      <c r="H1894" s="3"/>
      <c r="I1894" s="14" t="s">
        <v>1598</v>
      </c>
    </row>
    <row r="1895" spans="1:9" ht="18.75" customHeight="1" x14ac:dyDescent="0.4">
      <c r="A1895" s="14" t="s">
        <v>5640</v>
      </c>
      <c r="B1895" s="16" t="str">
        <f>TRIM("もと浪速第5保育所")</f>
        <v>もと浪速第5保育所</v>
      </c>
      <c r="C1895" s="14" t="s">
        <v>1513</v>
      </c>
      <c r="D1895" s="14" t="s">
        <v>105</v>
      </c>
      <c r="E1895" s="1">
        <v>1652.9</v>
      </c>
      <c r="F1895" s="2">
        <v>248</v>
      </c>
      <c r="G1895" s="1"/>
      <c r="H1895" s="3"/>
      <c r="I1895" s="14" t="s">
        <v>5617</v>
      </c>
    </row>
    <row r="1896" spans="1:9" ht="18.75" customHeight="1" x14ac:dyDescent="0.4">
      <c r="A1896" s="14" t="s">
        <v>1605</v>
      </c>
      <c r="B1896" s="16" t="str">
        <f>TRIM(" もと浪速地区公共施設建設用地（恵美須東）")</f>
        <v>もと浪速地区公共施設建設用地（恵美須東）</v>
      </c>
      <c r="C1896" s="14" t="s">
        <v>1513</v>
      </c>
      <c r="D1896" s="14" t="s">
        <v>105</v>
      </c>
      <c r="E1896" s="1">
        <v>467.69</v>
      </c>
      <c r="F1896" s="2" t="s">
        <v>7292</v>
      </c>
      <c r="G1896" s="1"/>
      <c r="H1896" s="3"/>
      <c r="I1896" s="14" t="s">
        <v>1598</v>
      </c>
    </row>
    <row r="1897" spans="1:9" ht="18.75" customHeight="1" x14ac:dyDescent="0.4">
      <c r="A1897" s="14" t="s">
        <v>4450</v>
      </c>
      <c r="B1897" s="16" t="str">
        <f>TRIM("大国集会所")</f>
        <v>大国集会所</v>
      </c>
      <c r="C1897" s="14" t="s">
        <v>1513</v>
      </c>
      <c r="D1897" s="14" t="s">
        <v>105</v>
      </c>
      <c r="E1897" s="1">
        <v>891.86</v>
      </c>
      <c r="F1897" s="2"/>
      <c r="G1897" s="1">
        <v>135.22999999999999</v>
      </c>
      <c r="H1897" s="3"/>
      <c r="I1897" s="14" t="s">
        <v>4439</v>
      </c>
    </row>
    <row r="1898" spans="1:9" ht="18.75" customHeight="1" x14ac:dyDescent="0.4">
      <c r="A1898" s="14" t="s">
        <v>6483</v>
      </c>
      <c r="B1898" s="16" t="str">
        <f>TRIM("大国住宅")</f>
        <v>大国住宅</v>
      </c>
      <c r="C1898" s="14" t="s">
        <v>1513</v>
      </c>
      <c r="D1898" s="14" t="s">
        <v>105</v>
      </c>
      <c r="E1898" s="1">
        <v>4079.1</v>
      </c>
      <c r="F1898" s="2"/>
      <c r="G1898" s="1">
        <v>13936.02</v>
      </c>
      <c r="H1898" s="3"/>
      <c r="I1898" s="14" t="s">
        <v>6177</v>
      </c>
    </row>
    <row r="1899" spans="1:9" ht="18.75" customHeight="1" x14ac:dyDescent="0.4">
      <c r="A1899" s="14" t="s">
        <v>3427</v>
      </c>
      <c r="B1899" s="16" t="str">
        <f>TRIM("今宮駅前地区区画整理事業1号")</f>
        <v>今宮駅前地区区画整理事業1号</v>
      </c>
      <c r="C1899" s="14" t="s">
        <v>1513</v>
      </c>
      <c r="D1899" s="14" t="s">
        <v>105</v>
      </c>
      <c r="E1899" s="1">
        <v>1295.27</v>
      </c>
      <c r="F1899" s="2"/>
      <c r="G1899" s="1"/>
      <c r="H1899" s="3"/>
      <c r="I1899" s="14" t="s">
        <v>2177</v>
      </c>
    </row>
    <row r="1900" spans="1:9" ht="18.75" customHeight="1" x14ac:dyDescent="0.4">
      <c r="A1900" s="14" t="s">
        <v>3428</v>
      </c>
      <c r="B1900" s="16" t="str">
        <f>TRIM("今宮駅前地区区画整理事業2号")</f>
        <v>今宮駅前地区区画整理事業2号</v>
      </c>
      <c r="C1900" s="14" t="s">
        <v>1513</v>
      </c>
      <c r="D1900" s="14" t="s">
        <v>105</v>
      </c>
      <c r="E1900" s="1">
        <v>470.51</v>
      </c>
      <c r="F1900" s="2"/>
      <c r="G1900" s="1"/>
      <c r="H1900" s="3"/>
      <c r="I1900" s="14" t="s">
        <v>2177</v>
      </c>
    </row>
    <row r="1901" spans="1:9" ht="18.75" customHeight="1" x14ac:dyDescent="0.4">
      <c r="A1901" s="14" t="s">
        <v>3808</v>
      </c>
      <c r="B1901" s="16" t="str">
        <f>TRIM("今宮駅自転車駐車場管理ボックス")</f>
        <v>今宮駅自転車駐車場管理ボックス</v>
      </c>
      <c r="C1901" s="14" t="s">
        <v>1513</v>
      </c>
      <c r="D1901" s="14" t="s">
        <v>105</v>
      </c>
      <c r="E1901" s="1"/>
      <c r="F1901" s="2"/>
      <c r="G1901" s="1">
        <v>1.44</v>
      </c>
      <c r="H1901" s="3"/>
      <c r="I1901" s="14" t="s">
        <v>2177</v>
      </c>
    </row>
    <row r="1902" spans="1:9" ht="18.75" customHeight="1" x14ac:dyDescent="0.4">
      <c r="A1902" s="14" t="s">
        <v>3809</v>
      </c>
      <c r="B1902" s="16" t="str">
        <f>TRIM("今宮駅自転車駐車場管理事務所")</f>
        <v>今宮駅自転車駐車場管理事務所</v>
      </c>
      <c r="C1902" s="14" t="s">
        <v>1513</v>
      </c>
      <c r="D1902" s="14" t="s">
        <v>105</v>
      </c>
      <c r="E1902" s="1"/>
      <c r="F1902" s="2"/>
      <c r="G1902" s="1">
        <v>12.96</v>
      </c>
      <c r="H1902" s="3"/>
      <c r="I1902" s="14" t="s">
        <v>2177</v>
      </c>
    </row>
    <row r="1903" spans="1:9" ht="18.75" customHeight="1" x14ac:dyDescent="0.4">
      <c r="A1903" s="14" t="s">
        <v>6228</v>
      </c>
      <c r="B1903" s="16" t="str">
        <f>TRIM("浪速地区改良事業用地")</f>
        <v>浪速地区改良事業用地</v>
      </c>
      <c r="C1903" s="14" t="s">
        <v>1513</v>
      </c>
      <c r="D1903" s="14" t="s">
        <v>105</v>
      </c>
      <c r="E1903" s="1">
        <v>7309.99</v>
      </c>
      <c r="F1903" s="2"/>
      <c r="G1903" s="1"/>
      <c r="H1903" s="3"/>
      <c r="I1903" s="14" t="s">
        <v>6177</v>
      </c>
    </row>
    <row r="1904" spans="1:9" ht="18.75" customHeight="1" x14ac:dyDescent="0.4">
      <c r="A1904" s="14" t="s">
        <v>5141</v>
      </c>
      <c r="B1904" s="16" t="str">
        <f>TRIM("もと立葉小学校")</f>
        <v>もと立葉小学校</v>
      </c>
      <c r="C1904" s="14" t="s">
        <v>1513</v>
      </c>
      <c r="D1904" s="14" t="s">
        <v>1266</v>
      </c>
      <c r="E1904" s="1">
        <v>6115.33</v>
      </c>
      <c r="F1904" s="2">
        <v>1545</v>
      </c>
      <c r="G1904" s="1">
        <v>5461.42</v>
      </c>
      <c r="H1904" s="3" t="s">
        <v>7353</v>
      </c>
      <c r="I1904" s="14" t="s">
        <v>4689</v>
      </c>
    </row>
    <row r="1905" spans="1:9" ht="18.75" customHeight="1" x14ac:dyDescent="0.4">
      <c r="A1905" s="14" t="s">
        <v>6223</v>
      </c>
      <c r="B1905" s="16" t="str">
        <f>TRIM("立葉住宅")</f>
        <v>立葉住宅</v>
      </c>
      <c r="C1905" s="14" t="s">
        <v>1513</v>
      </c>
      <c r="D1905" s="14" t="s">
        <v>1266</v>
      </c>
      <c r="E1905" s="1">
        <v>1360.05</v>
      </c>
      <c r="F1905" s="2"/>
      <c r="G1905" s="1">
        <v>1285.55</v>
      </c>
      <c r="H1905" s="3"/>
      <c r="I1905" s="14" t="s">
        <v>6177</v>
      </c>
    </row>
    <row r="1906" spans="1:9" ht="18.75" customHeight="1" x14ac:dyDescent="0.4">
      <c r="A1906" s="14" t="s">
        <v>3373</v>
      </c>
      <c r="B1906" s="16" t="str">
        <f>TRIM("　立葉町公園")</f>
        <v>立葉町公園</v>
      </c>
      <c r="C1906" s="14" t="s">
        <v>1513</v>
      </c>
      <c r="D1906" s="14" t="s">
        <v>1266</v>
      </c>
      <c r="E1906" s="1">
        <v>8766</v>
      </c>
      <c r="F1906" s="2"/>
      <c r="G1906" s="1"/>
      <c r="H1906" s="3"/>
      <c r="I1906" s="14" t="s">
        <v>2177</v>
      </c>
    </row>
    <row r="1907" spans="1:9" ht="18.75" customHeight="1" x14ac:dyDescent="0.4">
      <c r="A1907" s="14" t="s">
        <v>4470</v>
      </c>
      <c r="B1907" s="16" t="str">
        <f>TRIM("立葉地区老人会館憩の家")</f>
        <v>立葉地区老人会館憩の家</v>
      </c>
      <c r="C1907" s="14" t="s">
        <v>1513</v>
      </c>
      <c r="D1907" s="14" t="s">
        <v>1266</v>
      </c>
      <c r="E1907" s="1"/>
      <c r="F1907" s="2"/>
      <c r="G1907" s="1">
        <v>113.78</v>
      </c>
      <c r="H1907" s="3"/>
      <c r="I1907" s="14" t="s">
        <v>4439</v>
      </c>
    </row>
    <row r="1908" spans="1:9" ht="18.75" customHeight="1" x14ac:dyDescent="0.4">
      <c r="A1908" s="14" t="s">
        <v>4472</v>
      </c>
      <c r="B1908" s="16" t="str">
        <f>TRIM("西南地域活性化拠点施設")</f>
        <v>西南地域活性化拠点施設</v>
      </c>
      <c r="C1908" s="14" t="s">
        <v>1513</v>
      </c>
      <c r="D1908" s="14" t="s">
        <v>43</v>
      </c>
      <c r="E1908" s="1">
        <v>3546.74</v>
      </c>
      <c r="F1908" s="2">
        <v>1703</v>
      </c>
      <c r="G1908" s="1">
        <v>3322.9</v>
      </c>
      <c r="H1908" s="3" t="s">
        <v>7353</v>
      </c>
      <c r="I1908" s="14" t="s">
        <v>4439</v>
      </c>
    </row>
    <row r="1909" spans="1:9" ht="18.75" customHeight="1" x14ac:dyDescent="0.4">
      <c r="A1909" s="14" t="s">
        <v>6272</v>
      </c>
      <c r="B1909" s="16" t="str">
        <f>TRIM("にしはま住宅")</f>
        <v>にしはま住宅</v>
      </c>
      <c r="C1909" s="14" t="s">
        <v>1513</v>
      </c>
      <c r="D1909" s="14" t="s">
        <v>43</v>
      </c>
      <c r="E1909" s="1">
        <v>2611.4899999999998</v>
      </c>
      <c r="F1909" s="2"/>
      <c r="G1909" s="1">
        <v>3781.58</v>
      </c>
      <c r="H1909" s="3"/>
      <c r="I1909" s="14" t="s">
        <v>6177</v>
      </c>
    </row>
    <row r="1910" spans="1:9" ht="18.75" customHeight="1" x14ac:dyDescent="0.4">
      <c r="A1910" s="14" t="s">
        <v>6434</v>
      </c>
      <c r="B1910" s="16" t="str">
        <f>TRIM("新浪速第2住宅")</f>
        <v>新浪速第2住宅</v>
      </c>
      <c r="C1910" s="14" t="s">
        <v>1513</v>
      </c>
      <c r="D1910" s="14" t="s">
        <v>43</v>
      </c>
      <c r="E1910" s="1">
        <v>11764.5</v>
      </c>
      <c r="F1910" s="2"/>
      <c r="G1910" s="1">
        <v>18652.78</v>
      </c>
      <c r="H1910" s="3"/>
      <c r="I1910" s="14" t="s">
        <v>6177</v>
      </c>
    </row>
    <row r="1911" spans="1:9" ht="18.75" customHeight="1" x14ac:dyDescent="0.4">
      <c r="A1911" s="14" t="s">
        <v>6699</v>
      </c>
      <c r="B1911" s="16" t="str">
        <f>TRIM("浪速西第3住宅")</f>
        <v>浪速西第3住宅</v>
      </c>
      <c r="C1911" s="14" t="s">
        <v>1513</v>
      </c>
      <c r="D1911" s="14" t="s">
        <v>43</v>
      </c>
      <c r="E1911" s="1">
        <v>3350.96</v>
      </c>
      <c r="F1911" s="2"/>
      <c r="G1911" s="1">
        <v>6926.31</v>
      </c>
      <c r="H1911" s="3"/>
      <c r="I1911" s="14" t="s">
        <v>6177</v>
      </c>
    </row>
    <row r="1912" spans="1:9" ht="18.75" customHeight="1" x14ac:dyDescent="0.4">
      <c r="A1912" s="14" t="s">
        <v>6700</v>
      </c>
      <c r="B1912" s="16" t="str">
        <f>TRIM("浪速西地区住宅集会所")</f>
        <v>浪速西地区住宅集会所</v>
      </c>
      <c r="C1912" s="14" t="s">
        <v>1513</v>
      </c>
      <c r="D1912" s="14" t="s">
        <v>43</v>
      </c>
      <c r="E1912" s="1">
        <v>408.52</v>
      </c>
      <c r="F1912" s="2"/>
      <c r="G1912" s="1">
        <v>192.22</v>
      </c>
      <c r="H1912" s="3"/>
      <c r="I1912" s="14" t="s">
        <v>6177</v>
      </c>
    </row>
    <row r="1913" spans="1:9" ht="18.75" customHeight="1" x14ac:dyDescent="0.4">
      <c r="A1913" s="14" t="s">
        <v>7058</v>
      </c>
      <c r="B1913" s="16" t="str">
        <f>TRIM("第2浪速西工場アパート")</f>
        <v>第2浪速西工場アパート</v>
      </c>
      <c r="C1913" s="14" t="s">
        <v>1513</v>
      </c>
      <c r="D1913" s="14" t="s">
        <v>43</v>
      </c>
      <c r="E1913" s="1">
        <v>1261.0899999999999</v>
      </c>
      <c r="F1913" s="2"/>
      <c r="G1913" s="1">
        <v>721.8</v>
      </c>
      <c r="H1913" s="3"/>
      <c r="I1913" s="14" t="s">
        <v>4115</v>
      </c>
    </row>
    <row r="1914" spans="1:9" ht="18.75" customHeight="1" x14ac:dyDescent="0.4">
      <c r="A1914" s="14" t="s">
        <v>7070</v>
      </c>
      <c r="B1914" s="16" t="str">
        <f>TRIM("浪速西工場アパート")</f>
        <v>浪速西工場アパート</v>
      </c>
      <c r="C1914" s="14" t="s">
        <v>1513</v>
      </c>
      <c r="D1914" s="14" t="s">
        <v>43</v>
      </c>
      <c r="E1914" s="1">
        <v>955.58</v>
      </c>
      <c r="F1914" s="2"/>
      <c r="G1914" s="1">
        <v>1047.2</v>
      </c>
      <c r="H1914" s="3"/>
      <c r="I1914" s="14" t="s">
        <v>4115</v>
      </c>
    </row>
    <row r="1915" spans="1:9" ht="18.75" customHeight="1" x14ac:dyDescent="0.4">
      <c r="A1915" s="14" t="s">
        <v>1610</v>
      </c>
      <c r="B1915" s="16" t="str">
        <f>TRIM("もと浪速地区公共施設建設用地（浪速西1）")</f>
        <v>もと浪速地区公共施設建設用地（浪速西1）</v>
      </c>
      <c r="C1915" s="14" t="s">
        <v>1513</v>
      </c>
      <c r="D1915" s="14" t="s">
        <v>43</v>
      </c>
      <c r="E1915" s="1">
        <v>415.2</v>
      </c>
      <c r="F1915" s="2"/>
      <c r="G1915" s="1"/>
      <c r="H1915" s="3"/>
      <c r="I1915" s="14" t="s">
        <v>1598</v>
      </c>
    </row>
    <row r="1916" spans="1:9" ht="18.75" customHeight="1" x14ac:dyDescent="0.4">
      <c r="A1916" s="14" t="s">
        <v>1776</v>
      </c>
      <c r="B1916" s="16" t="str">
        <f>TRIM("もと浪速老人福祉センター附属用地")</f>
        <v>もと浪速老人福祉センター附属用地</v>
      </c>
      <c r="C1916" s="14" t="s">
        <v>1513</v>
      </c>
      <c r="D1916" s="14" t="s">
        <v>43</v>
      </c>
      <c r="E1916" s="1">
        <v>924.76</v>
      </c>
      <c r="F1916" s="2"/>
      <c r="G1916" s="1"/>
      <c r="H1916" s="3"/>
      <c r="I1916" s="14" t="s">
        <v>1654</v>
      </c>
    </row>
    <row r="1917" spans="1:9" ht="18.75" customHeight="1" x14ac:dyDescent="0.4">
      <c r="A1917" s="14" t="s">
        <v>3379</v>
      </c>
      <c r="B1917" s="16" t="str">
        <f>TRIM("　浪速第1公園")</f>
        <v>浪速第1公園</v>
      </c>
      <c r="C1917" s="14" t="s">
        <v>1513</v>
      </c>
      <c r="D1917" s="14" t="s">
        <v>43</v>
      </c>
      <c r="E1917" s="1">
        <v>3123.77</v>
      </c>
      <c r="F1917" s="2"/>
      <c r="G1917" s="1"/>
      <c r="H1917" s="3"/>
      <c r="I1917" s="14" t="s">
        <v>2177</v>
      </c>
    </row>
    <row r="1918" spans="1:9" ht="18.75" customHeight="1" x14ac:dyDescent="0.4">
      <c r="A1918" s="14" t="s">
        <v>3384</v>
      </c>
      <c r="B1918" s="16" t="str">
        <f>TRIM("　浪速北公園")</f>
        <v>浪速北公園</v>
      </c>
      <c r="C1918" s="14" t="s">
        <v>1513</v>
      </c>
      <c r="D1918" s="14" t="s">
        <v>43</v>
      </c>
      <c r="E1918" s="1">
        <v>3753.55</v>
      </c>
      <c r="F1918" s="2"/>
      <c r="G1918" s="1"/>
      <c r="H1918" s="3"/>
      <c r="I1918" s="14" t="s">
        <v>2177</v>
      </c>
    </row>
    <row r="1919" spans="1:9" ht="18.75" customHeight="1" x14ac:dyDescent="0.4">
      <c r="A1919" s="14" t="s">
        <v>3771</v>
      </c>
      <c r="B1919" s="16" t="str">
        <f>TRIM("芦原橋駅自転車駐車場管理ボックス")</f>
        <v>芦原橋駅自転車駐車場管理ボックス</v>
      </c>
      <c r="C1919" s="14" t="s">
        <v>1513</v>
      </c>
      <c r="D1919" s="14" t="s">
        <v>43</v>
      </c>
      <c r="E1919" s="1"/>
      <c r="F1919" s="2"/>
      <c r="G1919" s="1">
        <v>1.44</v>
      </c>
      <c r="H1919" s="3"/>
      <c r="I1919" s="14" t="s">
        <v>2177</v>
      </c>
    </row>
    <row r="1920" spans="1:9" ht="18.75" customHeight="1" x14ac:dyDescent="0.4">
      <c r="A1920" s="14" t="s">
        <v>3957</v>
      </c>
      <c r="B1920" s="16" t="str">
        <f>TRIM("浪速西自転車保管所管理事務所")</f>
        <v>浪速西自転車保管所管理事務所</v>
      </c>
      <c r="C1920" s="14" t="s">
        <v>1513</v>
      </c>
      <c r="D1920" s="14" t="s">
        <v>43</v>
      </c>
      <c r="E1920" s="1"/>
      <c r="F1920" s="2"/>
      <c r="G1920" s="1">
        <v>24.3</v>
      </c>
      <c r="H1920" s="3"/>
      <c r="I1920" s="14" t="s">
        <v>2177</v>
      </c>
    </row>
    <row r="1921" spans="1:9" ht="18.75" customHeight="1" x14ac:dyDescent="0.4">
      <c r="A1921" s="14" t="s">
        <v>6701</v>
      </c>
      <c r="B1921" s="16" t="str">
        <f>TRIM("浪速西地区住宅駐車場")</f>
        <v>浪速西地区住宅駐車場</v>
      </c>
      <c r="C1921" s="14" t="s">
        <v>1513</v>
      </c>
      <c r="D1921" s="14" t="s">
        <v>43</v>
      </c>
      <c r="E1921" s="1">
        <v>2229.46</v>
      </c>
      <c r="F1921" s="2"/>
      <c r="G1921" s="1"/>
      <c r="H1921" s="3"/>
      <c r="I1921" s="14" t="s">
        <v>6177</v>
      </c>
    </row>
    <row r="1922" spans="1:9" ht="18.75" customHeight="1" x14ac:dyDescent="0.4">
      <c r="A1922" s="14" t="s">
        <v>6433</v>
      </c>
      <c r="B1922" s="16" t="str">
        <f>TRIM("新浪速第1住宅")</f>
        <v>新浪速第1住宅</v>
      </c>
      <c r="C1922" s="14" t="s">
        <v>1513</v>
      </c>
      <c r="D1922" s="14" t="s">
        <v>50</v>
      </c>
      <c r="E1922" s="1">
        <v>15226.79</v>
      </c>
      <c r="F1922" s="2"/>
      <c r="G1922" s="1">
        <v>21371.27</v>
      </c>
      <c r="H1922" s="3"/>
      <c r="I1922" s="14" t="s">
        <v>6177</v>
      </c>
    </row>
    <row r="1923" spans="1:9" ht="18.75" customHeight="1" x14ac:dyDescent="0.4">
      <c r="A1923" s="14" t="s">
        <v>6704</v>
      </c>
      <c r="B1923" s="16" t="str">
        <f>TRIM("浪速第6住宅")</f>
        <v>浪速第6住宅</v>
      </c>
      <c r="C1923" s="14" t="s">
        <v>1513</v>
      </c>
      <c r="D1923" s="14" t="s">
        <v>50</v>
      </c>
      <c r="E1923" s="1">
        <v>4647.62</v>
      </c>
      <c r="F1923" s="2"/>
      <c r="G1923" s="1">
        <v>20026.34</v>
      </c>
      <c r="H1923" s="3"/>
      <c r="I1923" s="14" t="s">
        <v>6177</v>
      </c>
    </row>
    <row r="1924" spans="1:9" ht="18.75" customHeight="1" x14ac:dyDescent="0.4">
      <c r="A1924" s="14" t="s">
        <v>7068</v>
      </c>
      <c r="B1924" s="16" t="str">
        <f>TRIM("浪速購買施設")</f>
        <v>浪速購買施設</v>
      </c>
      <c r="C1924" s="14" t="s">
        <v>1513</v>
      </c>
      <c r="D1924" s="14" t="s">
        <v>50</v>
      </c>
      <c r="E1924" s="1">
        <v>1491.74</v>
      </c>
      <c r="F1924" s="2"/>
      <c r="G1924" s="1">
        <v>3774.17</v>
      </c>
      <c r="H1924" s="3"/>
      <c r="I1924" s="14" t="s">
        <v>4115</v>
      </c>
    </row>
    <row r="1925" spans="1:9" ht="18.75" customHeight="1" x14ac:dyDescent="0.4">
      <c r="A1925" s="14" t="s">
        <v>6224</v>
      </c>
      <c r="B1925" s="16" t="str">
        <f>TRIM("浪速西地区改良事業用地")</f>
        <v>浪速西地区改良事業用地</v>
      </c>
      <c r="C1925" s="14" t="s">
        <v>1513</v>
      </c>
      <c r="D1925" s="14" t="s">
        <v>50</v>
      </c>
      <c r="E1925" s="1">
        <v>488.58</v>
      </c>
      <c r="F1925" s="2"/>
      <c r="G1925" s="1"/>
      <c r="H1925" s="3"/>
      <c r="I1925" s="14" t="s">
        <v>6177</v>
      </c>
    </row>
    <row r="1926" spans="1:9" ht="18.75" customHeight="1" x14ac:dyDescent="0.4">
      <c r="A1926" s="14" t="s">
        <v>6959</v>
      </c>
      <c r="B1926" s="16" t="str">
        <f>TRIM("看護専門学校（浪速区浪速西）")</f>
        <v>看護専門学校（浪速区浪速西）</v>
      </c>
      <c r="C1926" s="14" t="s">
        <v>1513</v>
      </c>
      <c r="D1926" s="14" t="s">
        <v>50</v>
      </c>
      <c r="E1926" s="1">
        <v>835.05</v>
      </c>
      <c r="F1926" s="2"/>
      <c r="G1926" s="1"/>
      <c r="H1926" s="3"/>
      <c r="I1926" s="14" t="s">
        <v>2402</v>
      </c>
    </row>
    <row r="1927" spans="1:9" ht="18.75" customHeight="1" x14ac:dyDescent="0.4">
      <c r="A1927" s="14" t="s">
        <v>2911</v>
      </c>
      <c r="B1927" s="16" t="str">
        <f>TRIM("　西栄緑道")</f>
        <v>西栄緑道</v>
      </c>
      <c r="C1927" s="14" t="s">
        <v>1513</v>
      </c>
      <c r="D1927" s="14" t="s">
        <v>110</v>
      </c>
      <c r="E1927" s="1">
        <v>564.94000000000005</v>
      </c>
      <c r="F1927" s="2">
        <v>260</v>
      </c>
      <c r="G1927" s="1"/>
      <c r="H1927" s="3"/>
      <c r="I1927" s="14" t="s">
        <v>2177</v>
      </c>
    </row>
    <row r="1928" spans="1:9" ht="18.75" customHeight="1" x14ac:dyDescent="0.4">
      <c r="A1928" s="14" t="s">
        <v>5941</v>
      </c>
      <c r="B1928" s="16" t="str">
        <f>TRIM("もと浪速第2保育所")</f>
        <v>もと浪速第2保育所</v>
      </c>
      <c r="C1928" s="14" t="s">
        <v>1513</v>
      </c>
      <c r="D1928" s="14" t="s">
        <v>110</v>
      </c>
      <c r="E1928" s="1">
        <v>1411.34</v>
      </c>
      <c r="F1928" s="2">
        <v>1896</v>
      </c>
      <c r="G1928" s="1">
        <v>712.47</v>
      </c>
      <c r="H1928" s="3" t="s">
        <v>7353</v>
      </c>
      <c r="I1928" s="14" t="s">
        <v>5617</v>
      </c>
    </row>
    <row r="1929" spans="1:9" ht="18.75" customHeight="1" x14ac:dyDescent="0.4">
      <c r="A1929" s="14" t="s">
        <v>1618</v>
      </c>
      <c r="B1929" s="16" t="str">
        <f>TRIM("もと大阪人権博物館")</f>
        <v>もと大阪人権博物館</v>
      </c>
      <c r="C1929" s="14" t="s">
        <v>1513</v>
      </c>
      <c r="D1929" s="14" t="s">
        <v>110</v>
      </c>
      <c r="E1929" s="1">
        <v>6951.16</v>
      </c>
      <c r="F1929" s="2">
        <v>1957</v>
      </c>
      <c r="G1929" s="1"/>
      <c r="H1929" s="3"/>
      <c r="I1929" s="14" t="s">
        <v>1598</v>
      </c>
    </row>
    <row r="1930" spans="1:9" ht="18.75" customHeight="1" x14ac:dyDescent="0.4">
      <c r="A1930" s="14" t="s">
        <v>5178</v>
      </c>
      <c r="B1930" s="16" t="str">
        <f>TRIM("もと浪速青少年会館付設武道館")</f>
        <v>もと浪速青少年会館付設武道館</v>
      </c>
      <c r="C1930" s="14" t="s">
        <v>1513</v>
      </c>
      <c r="D1930" s="14" t="s">
        <v>110</v>
      </c>
      <c r="E1930" s="1">
        <v>2682.82</v>
      </c>
      <c r="F1930" s="2" t="s">
        <v>7308</v>
      </c>
      <c r="G1930" s="1">
        <v>845.48</v>
      </c>
      <c r="H1930" s="3"/>
      <c r="I1930" s="14" t="s">
        <v>4689</v>
      </c>
    </row>
    <row r="1931" spans="1:9" ht="18.75" customHeight="1" x14ac:dyDescent="0.4">
      <c r="A1931" s="14" t="s">
        <v>6446</v>
      </c>
      <c r="B1931" s="16" t="str">
        <f>TRIM("西栄住宅")</f>
        <v>西栄住宅</v>
      </c>
      <c r="C1931" s="14" t="s">
        <v>1513</v>
      </c>
      <c r="D1931" s="14" t="s">
        <v>110</v>
      </c>
      <c r="E1931" s="1">
        <v>11568.34</v>
      </c>
      <c r="F1931" s="2"/>
      <c r="G1931" s="1">
        <v>16225.63</v>
      </c>
      <c r="H1931" s="3"/>
      <c r="I1931" s="14" t="s">
        <v>6177</v>
      </c>
    </row>
    <row r="1932" spans="1:9" ht="18.75" customHeight="1" x14ac:dyDescent="0.4">
      <c r="A1932" s="14" t="s">
        <v>1662</v>
      </c>
      <c r="B1932" s="16" t="str">
        <f>TRIM("もと浪速第1温泉")</f>
        <v>もと浪速第1温泉</v>
      </c>
      <c r="C1932" s="14" t="s">
        <v>1513</v>
      </c>
      <c r="D1932" s="14" t="s">
        <v>110</v>
      </c>
      <c r="E1932" s="1">
        <v>6.4</v>
      </c>
      <c r="F1932" s="2"/>
      <c r="G1932" s="1"/>
      <c r="H1932" s="3"/>
      <c r="I1932" s="14" t="s">
        <v>1654</v>
      </c>
    </row>
    <row r="1933" spans="1:9" ht="18.75" customHeight="1" x14ac:dyDescent="0.4">
      <c r="A1933" s="14" t="s">
        <v>3378</v>
      </c>
      <c r="B1933" s="16" t="str">
        <f>TRIM("　浪速西公園")</f>
        <v>浪速西公園</v>
      </c>
      <c r="C1933" s="14" t="s">
        <v>1513</v>
      </c>
      <c r="D1933" s="14" t="s">
        <v>110</v>
      </c>
      <c r="E1933" s="1">
        <v>1642.32</v>
      </c>
      <c r="F1933" s="2"/>
      <c r="G1933" s="1"/>
      <c r="H1933" s="3"/>
      <c r="I1933" s="14" t="s">
        <v>2177</v>
      </c>
    </row>
    <row r="1934" spans="1:9" ht="18.75" customHeight="1" x14ac:dyDescent="0.4">
      <c r="A1934" s="14" t="s">
        <v>6201</v>
      </c>
      <c r="B1934" s="16" t="str">
        <f>TRIM("西栄住宅建替事業用地")</f>
        <v>西栄住宅建替事業用地</v>
      </c>
      <c r="C1934" s="14" t="s">
        <v>1513</v>
      </c>
      <c r="D1934" s="14" t="s">
        <v>110</v>
      </c>
      <c r="E1934" s="1">
        <v>137.75</v>
      </c>
      <c r="F1934" s="2"/>
      <c r="G1934" s="1"/>
      <c r="H1934" s="3"/>
      <c r="I1934" s="14" t="s">
        <v>6177</v>
      </c>
    </row>
    <row r="1935" spans="1:9" ht="18.75" customHeight="1" x14ac:dyDescent="0.4">
      <c r="A1935" s="14" t="s">
        <v>6236</v>
      </c>
      <c r="B1935" s="16" t="str">
        <f>TRIM("西栄住宅")</f>
        <v>西栄住宅</v>
      </c>
      <c r="C1935" s="14" t="s">
        <v>1513</v>
      </c>
      <c r="D1935" s="14" t="s">
        <v>110</v>
      </c>
      <c r="E1935" s="1">
        <v>729.42</v>
      </c>
      <c r="F1935" s="2"/>
      <c r="G1935" s="1"/>
      <c r="H1935" s="3"/>
      <c r="I1935" s="14" t="s">
        <v>6177</v>
      </c>
    </row>
    <row r="1936" spans="1:9" ht="18.75" customHeight="1" x14ac:dyDescent="0.4">
      <c r="A1936" s="14" t="s">
        <v>6707</v>
      </c>
      <c r="B1936" s="16" t="str">
        <f>TRIM("浪速第9住宅")</f>
        <v>浪速第9住宅</v>
      </c>
      <c r="C1936" s="14" t="s">
        <v>1513</v>
      </c>
      <c r="D1936" s="14" t="s">
        <v>4</v>
      </c>
      <c r="E1936" s="1">
        <v>14730.45</v>
      </c>
      <c r="F1936" s="2"/>
      <c r="G1936" s="1">
        <v>17963.939999999999</v>
      </c>
      <c r="H1936" s="3"/>
      <c r="I1936" s="14" t="s">
        <v>6177</v>
      </c>
    </row>
    <row r="1937" spans="1:9" ht="18.75" customHeight="1" x14ac:dyDescent="0.4">
      <c r="A1937" s="14" t="s">
        <v>1612</v>
      </c>
      <c r="B1937" s="16" t="str">
        <f>TRIM("浪速地区公共施設建設用地（浪速西2）")</f>
        <v>浪速地区公共施設建設用地（浪速西2）</v>
      </c>
      <c r="C1937" s="14" t="s">
        <v>1513</v>
      </c>
      <c r="D1937" s="14" t="s">
        <v>4</v>
      </c>
      <c r="E1937" s="1">
        <v>65.819999999999993</v>
      </c>
      <c r="F1937" s="2"/>
      <c r="G1937" s="1"/>
      <c r="H1937" s="3"/>
      <c r="I1937" s="14" t="s">
        <v>1598</v>
      </c>
    </row>
    <row r="1938" spans="1:9" ht="18.75" customHeight="1" x14ac:dyDescent="0.4">
      <c r="A1938" s="14" t="s">
        <v>2280</v>
      </c>
      <c r="B1938" s="16" t="str">
        <f>TRIM("大阪臨海線（浪速）（管財課）")</f>
        <v>大阪臨海線（浪速）（管財課）</v>
      </c>
      <c r="C1938" s="14" t="s">
        <v>1513</v>
      </c>
      <c r="D1938" s="14" t="s">
        <v>4</v>
      </c>
      <c r="E1938" s="1">
        <v>576.71</v>
      </c>
      <c r="F1938" s="2"/>
      <c r="G1938" s="1"/>
      <c r="H1938" s="3"/>
      <c r="I1938" s="14" t="s">
        <v>2177</v>
      </c>
    </row>
    <row r="1939" spans="1:9" ht="18.75" customHeight="1" x14ac:dyDescent="0.4">
      <c r="A1939" s="14" t="s">
        <v>2543</v>
      </c>
      <c r="B1939" s="16" t="str">
        <f>TRIM("　もと新浪速公園")</f>
        <v>もと新浪速公園</v>
      </c>
      <c r="C1939" s="14" t="s">
        <v>1513</v>
      </c>
      <c r="D1939" s="14" t="s">
        <v>4</v>
      </c>
      <c r="E1939" s="1">
        <v>751.17</v>
      </c>
      <c r="F1939" s="2"/>
      <c r="G1939" s="1"/>
      <c r="H1939" s="3"/>
      <c r="I1939" s="14" t="s">
        <v>2177</v>
      </c>
    </row>
    <row r="1940" spans="1:9" ht="18.75" customHeight="1" x14ac:dyDescent="0.4">
      <c r="A1940" s="14" t="s">
        <v>2865</v>
      </c>
      <c r="B1940" s="16" t="str">
        <f>TRIM("　新浪速公園")</f>
        <v>新浪速公園</v>
      </c>
      <c r="C1940" s="14" t="s">
        <v>1513</v>
      </c>
      <c r="D1940" s="14" t="s">
        <v>4</v>
      </c>
      <c r="E1940" s="1">
        <v>2380.34</v>
      </c>
      <c r="F1940" s="2"/>
      <c r="G1940" s="1"/>
      <c r="H1940" s="3"/>
      <c r="I1940" s="14" t="s">
        <v>2177</v>
      </c>
    </row>
    <row r="1941" spans="1:9" ht="18.75" customHeight="1" x14ac:dyDescent="0.4">
      <c r="A1941" s="14" t="s">
        <v>6245</v>
      </c>
      <c r="B1941" s="16" t="str">
        <f>TRIM("浪速第9住宅")</f>
        <v>浪速第9住宅</v>
      </c>
      <c r="C1941" s="14" t="s">
        <v>1513</v>
      </c>
      <c r="D1941" s="14" t="s">
        <v>4</v>
      </c>
      <c r="E1941" s="1">
        <v>251.98</v>
      </c>
      <c r="F1941" s="2"/>
      <c r="G1941" s="1"/>
      <c r="H1941" s="3"/>
      <c r="I1941" s="14" t="s">
        <v>6177</v>
      </c>
    </row>
    <row r="1942" spans="1:9" ht="18.75" customHeight="1" x14ac:dyDescent="0.4">
      <c r="A1942" s="14" t="s">
        <v>7009</v>
      </c>
      <c r="B1942" s="16" t="str">
        <f>TRIM("もと工場建設用地")</f>
        <v>もと工場建設用地</v>
      </c>
      <c r="C1942" s="14" t="s">
        <v>1513</v>
      </c>
      <c r="D1942" s="14" t="s">
        <v>4</v>
      </c>
      <c r="E1942" s="1">
        <v>2378.3200000000002</v>
      </c>
      <c r="F1942" s="2"/>
      <c r="G1942" s="1"/>
      <c r="H1942" s="3"/>
      <c r="I1942" s="14" t="s">
        <v>4115</v>
      </c>
    </row>
    <row r="1943" spans="1:9" ht="18.75" customHeight="1" x14ac:dyDescent="0.4">
      <c r="A1943" s="14" t="s">
        <v>5177</v>
      </c>
      <c r="B1943" s="16" t="str">
        <f>TRIM("もと浪速青少年会館用地")</f>
        <v>もと浪速青少年会館用地</v>
      </c>
      <c r="C1943" s="14" t="s">
        <v>1513</v>
      </c>
      <c r="D1943" s="14" t="s">
        <v>706</v>
      </c>
      <c r="E1943" s="1">
        <v>9604.5300000000007</v>
      </c>
      <c r="F1943" s="2" t="s">
        <v>7307</v>
      </c>
      <c r="G1943" s="1">
        <v>497.5</v>
      </c>
      <c r="H1943" s="3" t="s">
        <v>7353</v>
      </c>
      <c r="I1943" s="14" t="s">
        <v>4689</v>
      </c>
    </row>
    <row r="1944" spans="1:9" ht="18.75" customHeight="1" x14ac:dyDescent="0.4">
      <c r="A1944" s="14" t="s">
        <v>3714</v>
      </c>
      <c r="B1944" s="16" t="str">
        <f>TRIM("芦原橋駅自転車駐車場")</f>
        <v>芦原橋駅自転車駐車場</v>
      </c>
      <c r="C1944" s="14" t="s">
        <v>1513</v>
      </c>
      <c r="D1944" s="14" t="s">
        <v>706</v>
      </c>
      <c r="E1944" s="1">
        <v>332.91</v>
      </c>
      <c r="F1944" s="2"/>
      <c r="G1944" s="1">
        <v>915.42</v>
      </c>
      <c r="H1944" s="3"/>
      <c r="I1944" s="14" t="s">
        <v>2177</v>
      </c>
    </row>
    <row r="1945" spans="1:9" ht="18.75" customHeight="1" x14ac:dyDescent="0.4">
      <c r="A1945" s="14" t="s">
        <v>5150</v>
      </c>
      <c r="B1945" s="16" t="str">
        <f>TRIM("栄小学校")</f>
        <v>栄小学校</v>
      </c>
      <c r="C1945" s="14" t="s">
        <v>1513</v>
      </c>
      <c r="D1945" s="14" t="s">
        <v>706</v>
      </c>
      <c r="E1945" s="1">
        <v>13565.23</v>
      </c>
      <c r="F1945" s="2"/>
      <c r="G1945" s="1">
        <v>6324.12</v>
      </c>
      <c r="H1945" s="3"/>
      <c r="I1945" s="14" t="s">
        <v>4689</v>
      </c>
    </row>
    <row r="1946" spans="1:9" ht="18.75" customHeight="1" x14ac:dyDescent="0.4">
      <c r="A1946" s="14" t="s">
        <v>5708</v>
      </c>
      <c r="B1946" s="16" t="str">
        <f>TRIM("中央こども相談センター")</f>
        <v>中央こども相談センター</v>
      </c>
      <c r="C1946" s="14" t="s">
        <v>1513</v>
      </c>
      <c r="D1946" s="14" t="s">
        <v>706</v>
      </c>
      <c r="E1946" s="1">
        <v>10267.26</v>
      </c>
      <c r="F1946" s="2"/>
      <c r="G1946" s="1">
        <v>6178.41</v>
      </c>
      <c r="H1946" s="3"/>
      <c r="I1946" s="14" t="s">
        <v>5617</v>
      </c>
    </row>
    <row r="1947" spans="1:9" ht="18.75" customHeight="1" x14ac:dyDescent="0.4">
      <c r="A1947" s="14" t="s">
        <v>2500</v>
      </c>
      <c r="B1947" s="16" t="str">
        <f>TRIM("芦原駅前整備事業用地")</f>
        <v>芦原駅前整備事業用地</v>
      </c>
      <c r="C1947" s="14" t="s">
        <v>1513</v>
      </c>
      <c r="D1947" s="14" t="s">
        <v>706</v>
      </c>
      <c r="E1947" s="1">
        <v>136</v>
      </c>
      <c r="F1947" s="2"/>
      <c r="G1947" s="1"/>
      <c r="H1947" s="3"/>
      <c r="I1947" s="14" t="s">
        <v>2177</v>
      </c>
    </row>
    <row r="1948" spans="1:9" ht="18.75" customHeight="1" x14ac:dyDescent="0.4">
      <c r="A1948" s="14" t="s">
        <v>6227</v>
      </c>
      <c r="B1948" s="16" t="str">
        <f>TRIM("浪速第2地区改良事業用地")</f>
        <v>浪速第2地区改良事業用地</v>
      </c>
      <c r="C1948" s="14" t="s">
        <v>1513</v>
      </c>
      <c r="D1948" s="14" t="s">
        <v>706</v>
      </c>
      <c r="E1948" s="1">
        <v>1138.04</v>
      </c>
      <c r="F1948" s="2"/>
      <c r="G1948" s="1"/>
      <c r="H1948" s="3"/>
      <c r="I1948" s="14" t="s">
        <v>6177</v>
      </c>
    </row>
    <row r="1949" spans="1:9" ht="18.75" customHeight="1" x14ac:dyDescent="0.4">
      <c r="A1949" s="14" t="s">
        <v>6702</v>
      </c>
      <c r="B1949" s="16" t="str">
        <f>TRIM("浪速第10住宅")</f>
        <v>浪速第10住宅</v>
      </c>
      <c r="C1949" s="14" t="s">
        <v>1513</v>
      </c>
      <c r="D1949" s="14" t="s">
        <v>51</v>
      </c>
      <c r="E1949" s="1">
        <v>7154.01</v>
      </c>
      <c r="F1949" s="2"/>
      <c r="G1949" s="1">
        <v>12477.4</v>
      </c>
      <c r="H1949" s="3"/>
      <c r="I1949" s="14" t="s">
        <v>6177</v>
      </c>
    </row>
    <row r="1950" spans="1:9" ht="18.75" customHeight="1" x14ac:dyDescent="0.4">
      <c r="A1950" s="14" t="s">
        <v>6709</v>
      </c>
      <c r="B1950" s="16" t="str">
        <f>TRIM("浪速東第2住宅")</f>
        <v>浪速東第2住宅</v>
      </c>
      <c r="C1950" s="14" t="s">
        <v>1513</v>
      </c>
      <c r="D1950" s="14" t="s">
        <v>51</v>
      </c>
      <c r="E1950" s="1">
        <v>8435.85</v>
      </c>
      <c r="F1950" s="2"/>
      <c r="G1950" s="1">
        <v>13241.29</v>
      </c>
      <c r="H1950" s="3"/>
      <c r="I1950" s="14" t="s">
        <v>6177</v>
      </c>
    </row>
    <row r="1951" spans="1:9" ht="18.75" customHeight="1" x14ac:dyDescent="0.4">
      <c r="A1951" s="14" t="s">
        <v>7069</v>
      </c>
      <c r="B1951" s="16" t="str">
        <f>TRIM("浪速商業施設")</f>
        <v>浪速商業施設</v>
      </c>
      <c r="C1951" s="14" t="s">
        <v>1513</v>
      </c>
      <c r="D1951" s="14" t="s">
        <v>51</v>
      </c>
      <c r="E1951" s="1">
        <v>652.24</v>
      </c>
      <c r="F1951" s="2"/>
      <c r="G1951" s="1">
        <v>448.18</v>
      </c>
      <c r="H1951" s="3"/>
      <c r="I1951" s="14" t="s">
        <v>4115</v>
      </c>
    </row>
    <row r="1952" spans="1:9" ht="18.75" customHeight="1" x14ac:dyDescent="0.4">
      <c r="A1952" s="14" t="s">
        <v>1614</v>
      </c>
      <c r="B1952" s="16" t="str">
        <f>TRIM("もと浪速地区公共施設建設用地（浪速東）")</f>
        <v>もと浪速地区公共施設建設用地（浪速東）</v>
      </c>
      <c r="C1952" s="14" t="s">
        <v>1513</v>
      </c>
      <c r="D1952" s="14" t="s">
        <v>51</v>
      </c>
      <c r="E1952" s="1">
        <v>106.1</v>
      </c>
      <c r="F1952" s="2"/>
      <c r="G1952" s="1"/>
      <c r="H1952" s="3"/>
      <c r="I1952" s="14" t="s">
        <v>1598</v>
      </c>
    </row>
    <row r="1953" spans="1:9" ht="18.75" customHeight="1" x14ac:dyDescent="0.4">
      <c r="A1953" s="14" t="s">
        <v>3380</v>
      </c>
      <c r="B1953" s="16" t="str">
        <f>TRIM("　浪速中公園")</f>
        <v>浪速中公園</v>
      </c>
      <c r="C1953" s="14" t="s">
        <v>1513</v>
      </c>
      <c r="D1953" s="14" t="s">
        <v>51</v>
      </c>
      <c r="E1953" s="1">
        <v>4523.76</v>
      </c>
      <c r="F1953" s="2"/>
      <c r="G1953" s="1"/>
      <c r="H1953" s="3"/>
      <c r="I1953" s="14" t="s">
        <v>2177</v>
      </c>
    </row>
    <row r="1954" spans="1:9" ht="18.75" customHeight="1" x14ac:dyDescent="0.4">
      <c r="A1954" s="14" t="s">
        <v>3382</v>
      </c>
      <c r="B1954" s="16" t="str">
        <f>TRIM("　浪速東公園")</f>
        <v>浪速東公園</v>
      </c>
      <c r="C1954" s="14" t="s">
        <v>1513</v>
      </c>
      <c r="D1954" s="14" t="s">
        <v>51</v>
      </c>
      <c r="E1954" s="1">
        <v>1000.05</v>
      </c>
      <c r="F1954" s="2"/>
      <c r="G1954" s="1"/>
      <c r="H1954" s="3"/>
      <c r="I1954" s="14" t="s">
        <v>2177</v>
      </c>
    </row>
    <row r="1955" spans="1:9" ht="18.75" customHeight="1" x14ac:dyDescent="0.4">
      <c r="A1955" s="14" t="s">
        <v>6225</v>
      </c>
      <c r="B1955" s="16" t="str">
        <f>TRIM("浪速第10住宅付帯施設用地")</f>
        <v>浪速第10住宅付帯施設用地</v>
      </c>
      <c r="C1955" s="14" t="s">
        <v>1513</v>
      </c>
      <c r="D1955" s="14" t="s">
        <v>51</v>
      </c>
      <c r="E1955" s="1">
        <v>270.60000000000002</v>
      </c>
      <c r="F1955" s="2"/>
      <c r="G1955" s="1"/>
      <c r="H1955" s="3"/>
      <c r="I1955" s="14" t="s">
        <v>6177</v>
      </c>
    </row>
    <row r="1956" spans="1:9" ht="18.75" customHeight="1" x14ac:dyDescent="0.4">
      <c r="A1956" s="14" t="s">
        <v>6229</v>
      </c>
      <c r="B1956" s="16" t="str">
        <f>TRIM("浪速東住宅付帯施設用地")</f>
        <v>浪速東住宅付帯施設用地</v>
      </c>
      <c r="C1956" s="14" t="s">
        <v>1513</v>
      </c>
      <c r="D1956" s="14" t="s">
        <v>51</v>
      </c>
      <c r="E1956" s="1">
        <v>174.78</v>
      </c>
      <c r="F1956" s="2"/>
      <c r="G1956" s="1"/>
      <c r="H1956" s="3"/>
      <c r="I1956" s="14" t="s">
        <v>6177</v>
      </c>
    </row>
    <row r="1957" spans="1:9" ht="18.75" customHeight="1" x14ac:dyDescent="0.4">
      <c r="A1957" s="14" t="s">
        <v>6243</v>
      </c>
      <c r="B1957" s="16" t="str">
        <f>TRIM("浪速第10住宅")</f>
        <v>浪速第10住宅</v>
      </c>
      <c r="C1957" s="14" t="s">
        <v>1513</v>
      </c>
      <c r="D1957" s="14" t="s">
        <v>51</v>
      </c>
      <c r="E1957" s="1">
        <v>1043.74</v>
      </c>
      <c r="F1957" s="2"/>
      <c r="G1957" s="1"/>
      <c r="H1957" s="3"/>
      <c r="I1957" s="14" t="s">
        <v>6177</v>
      </c>
    </row>
    <row r="1958" spans="1:9" ht="18.75" customHeight="1" x14ac:dyDescent="0.4">
      <c r="A1958" s="14" t="s">
        <v>6261</v>
      </c>
      <c r="B1958" s="16" t="str">
        <f>TRIM("もと浪速東住宅")</f>
        <v>もと浪速東住宅</v>
      </c>
      <c r="C1958" s="14" t="s">
        <v>1513</v>
      </c>
      <c r="D1958" s="14" t="s">
        <v>51</v>
      </c>
      <c r="E1958" s="1">
        <v>1263.24</v>
      </c>
      <c r="F1958" s="2"/>
      <c r="G1958" s="1"/>
      <c r="H1958" s="3"/>
      <c r="I1958" s="14" t="s">
        <v>6177</v>
      </c>
    </row>
    <row r="1959" spans="1:9" ht="18.75" customHeight="1" x14ac:dyDescent="0.4">
      <c r="A1959" s="14" t="s">
        <v>6262</v>
      </c>
      <c r="B1959" s="16" t="str">
        <f>TRIM("もと浪速東住宅付帯施設用地")</f>
        <v>もと浪速東住宅付帯施設用地</v>
      </c>
      <c r="C1959" s="14" t="s">
        <v>1513</v>
      </c>
      <c r="D1959" s="14" t="s">
        <v>51</v>
      </c>
      <c r="E1959" s="1">
        <v>1352.4</v>
      </c>
      <c r="F1959" s="2"/>
      <c r="G1959" s="1"/>
      <c r="H1959" s="3"/>
      <c r="I1959" s="14" t="s">
        <v>6177</v>
      </c>
    </row>
    <row r="1960" spans="1:9" ht="18.75" customHeight="1" x14ac:dyDescent="0.4">
      <c r="A1960" s="14" t="s">
        <v>6708</v>
      </c>
      <c r="B1960" s="16" t="str">
        <f>TRIM("浪速東住宅")</f>
        <v>浪速東住宅</v>
      </c>
      <c r="C1960" s="14" t="s">
        <v>1513</v>
      </c>
      <c r="D1960" s="14" t="s">
        <v>51</v>
      </c>
      <c r="E1960" s="1"/>
      <c r="F1960" s="2"/>
      <c r="G1960" s="1">
        <v>3849.45</v>
      </c>
      <c r="H1960" s="3"/>
      <c r="I1960" s="14" t="s">
        <v>6177</v>
      </c>
    </row>
    <row r="1961" spans="1:9" ht="18.75" customHeight="1" x14ac:dyDescent="0.4">
      <c r="A1961" s="14" t="s">
        <v>6703</v>
      </c>
      <c r="B1961" s="16" t="str">
        <f>TRIM("浪速第5住宅")</f>
        <v>浪速第5住宅</v>
      </c>
      <c r="C1961" s="14" t="s">
        <v>1513</v>
      </c>
      <c r="D1961" s="14" t="s">
        <v>44</v>
      </c>
      <c r="E1961" s="1">
        <v>10006.49</v>
      </c>
      <c r="F1961" s="2" t="s">
        <v>7323</v>
      </c>
      <c r="G1961" s="1"/>
      <c r="H1961" s="3"/>
      <c r="I1961" s="14" t="s">
        <v>6177</v>
      </c>
    </row>
    <row r="1962" spans="1:9" ht="18.75" customHeight="1" x14ac:dyDescent="0.4">
      <c r="A1962" s="14" t="s">
        <v>5333</v>
      </c>
      <c r="B1962" s="16" t="str">
        <f>TRIM("浪速消防署浪速出張所")</f>
        <v>浪速消防署浪速出張所</v>
      </c>
      <c r="C1962" s="14" t="s">
        <v>1513</v>
      </c>
      <c r="D1962" s="14" t="s">
        <v>44</v>
      </c>
      <c r="E1962" s="1">
        <v>587.30999999999995</v>
      </c>
      <c r="F1962" s="2"/>
      <c r="G1962" s="1">
        <v>670.7</v>
      </c>
      <c r="H1962" s="3"/>
      <c r="I1962" s="14" t="s">
        <v>5219</v>
      </c>
    </row>
    <row r="1963" spans="1:9" ht="18.75" customHeight="1" x14ac:dyDescent="0.4">
      <c r="A1963" s="14" t="s">
        <v>5940</v>
      </c>
      <c r="B1963" s="16" t="str">
        <f>TRIM("浪速第1保育所")</f>
        <v>浪速第1保育所</v>
      </c>
      <c r="C1963" s="14" t="s">
        <v>1513</v>
      </c>
      <c r="D1963" s="14" t="s">
        <v>44</v>
      </c>
      <c r="E1963" s="1">
        <v>3671.78</v>
      </c>
      <c r="F1963" s="2"/>
      <c r="G1963" s="1">
        <v>1297.28</v>
      </c>
      <c r="H1963" s="3"/>
      <c r="I1963" s="14" t="s">
        <v>5617</v>
      </c>
    </row>
    <row r="1964" spans="1:9" ht="18.75" customHeight="1" x14ac:dyDescent="0.4">
      <c r="A1964" s="14" t="s">
        <v>6244</v>
      </c>
      <c r="B1964" s="16" t="str">
        <f>TRIM("浪速第7住宅")</f>
        <v>浪速第7住宅</v>
      </c>
      <c r="C1964" s="14" t="s">
        <v>1513</v>
      </c>
      <c r="D1964" s="14" t="s">
        <v>44</v>
      </c>
      <c r="E1964" s="1">
        <v>1601.66</v>
      </c>
      <c r="F1964" s="2"/>
      <c r="G1964" s="1">
        <v>76.13</v>
      </c>
      <c r="H1964" s="3"/>
      <c r="I1964" s="14" t="s">
        <v>6177</v>
      </c>
    </row>
    <row r="1965" spans="1:9" ht="18.75" customHeight="1" x14ac:dyDescent="0.4">
      <c r="A1965" s="14" t="s">
        <v>6705</v>
      </c>
      <c r="B1965" s="16" t="str">
        <f>TRIM("浪速第7住宅")</f>
        <v>浪速第7住宅</v>
      </c>
      <c r="C1965" s="14" t="s">
        <v>1513</v>
      </c>
      <c r="D1965" s="14" t="s">
        <v>44</v>
      </c>
      <c r="E1965" s="1">
        <v>15489.35</v>
      </c>
      <c r="F1965" s="2"/>
      <c r="G1965" s="1">
        <v>21597.13</v>
      </c>
      <c r="H1965" s="3"/>
      <c r="I1965" s="14" t="s">
        <v>6177</v>
      </c>
    </row>
    <row r="1966" spans="1:9" ht="18.75" customHeight="1" x14ac:dyDescent="0.4">
      <c r="A1966" s="14" t="s">
        <v>7059</v>
      </c>
      <c r="B1966" s="16" t="str">
        <f>TRIM("第2浪速東工場アパート")</f>
        <v>第2浪速東工場アパート</v>
      </c>
      <c r="C1966" s="14" t="s">
        <v>1513</v>
      </c>
      <c r="D1966" s="14" t="s">
        <v>44</v>
      </c>
      <c r="E1966" s="1">
        <v>1318.9</v>
      </c>
      <c r="F1966" s="2"/>
      <c r="G1966" s="1">
        <v>1050.4100000000001</v>
      </c>
      <c r="H1966" s="3"/>
      <c r="I1966" s="14" t="s">
        <v>4115</v>
      </c>
    </row>
    <row r="1967" spans="1:9" ht="18.75" customHeight="1" x14ac:dyDescent="0.4">
      <c r="A1967" s="14" t="s">
        <v>7060</v>
      </c>
      <c r="B1967" s="16" t="str">
        <f>TRIM("第3浪速東（南）工場アパート")</f>
        <v>第3浪速東（南）工場アパート</v>
      </c>
      <c r="C1967" s="14" t="s">
        <v>1513</v>
      </c>
      <c r="D1967" s="14" t="s">
        <v>44</v>
      </c>
      <c r="E1967" s="1">
        <v>500.51</v>
      </c>
      <c r="F1967" s="2"/>
      <c r="G1967" s="1">
        <v>450.12</v>
      </c>
      <c r="H1967" s="3"/>
      <c r="I1967" s="14" t="s">
        <v>4115</v>
      </c>
    </row>
    <row r="1968" spans="1:9" ht="18.75" customHeight="1" x14ac:dyDescent="0.4">
      <c r="A1968" s="14" t="s">
        <v>7061</v>
      </c>
      <c r="B1968" s="16" t="str">
        <f>TRIM("第3浪速東（北）工場アパート")</f>
        <v>第3浪速東（北）工場アパート</v>
      </c>
      <c r="C1968" s="14" t="s">
        <v>1513</v>
      </c>
      <c r="D1968" s="14" t="s">
        <v>44</v>
      </c>
      <c r="E1968" s="1">
        <v>762.62</v>
      </c>
      <c r="F1968" s="2"/>
      <c r="G1968" s="1">
        <v>607.5</v>
      </c>
      <c r="H1968" s="3"/>
      <c r="I1968" s="14" t="s">
        <v>4115</v>
      </c>
    </row>
    <row r="1969" spans="1:9" ht="18.75" customHeight="1" x14ac:dyDescent="0.4">
      <c r="A1969" s="14" t="s">
        <v>7071</v>
      </c>
      <c r="B1969" s="16" t="str">
        <f>TRIM("浪速東工場アパート")</f>
        <v>浪速東工場アパート</v>
      </c>
      <c r="C1969" s="14" t="s">
        <v>1513</v>
      </c>
      <c r="D1969" s="14" t="s">
        <v>44</v>
      </c>
      <c r="E1969" s="1">
        <v>1650</v>
      </c>
      <c r="F1969" s="2"/>
      <c r="G1969" s="1">
        <v>880.2</v>
      </c>
      <c r="H1969" s="3"/>
      <c r="I1969" s="14" t="s">
        <v>4115</v>
      </c>
    </row>
    <row r="1970" spans="1:9" ht="18.75" customHeight="1" x14ac:dyDescent="0.4">
      <c r="A1970" s="14" t="s">
        <v>1611</v>
      </c>
      <c r="B1970" s="16" t="str">
        <f>TRIM("人権文化センター用地（浪速区浪速東）")</f>
        <v>人権文化センター用地（浪速区浪速東）</v>
      </c>
      <c r="C1970" s="14" t="s">
        <v>1513</v>
      </c>
      <c r="D1970" s="14" t="s">
        <v>44</v>
      </c>
      <c r="E1970" s="1">
        <v>29.72</v>
      </c>
      <c r="F1970" s="2"/>
      <c r="G1970" s="1"/>
      <c r="H1970" s="3"/>
      <c r="I1970" s="14" t="s">
        <v>1598</v>
      </c>
    </row>
    <row r="1971" spans="1:9" ht="18.75" customHeight="1" x14ac:dyDescent="0.4">
      <c r="A1971" s="14" t="s">
        <v>1635</v>
      </c>
      <c r="B1971" s="16" t="str">
        <f>TRIM(" 今宮地区開発事業用地")</f>
        <v>今宮地区開発事業用地</v>
      </c>
      <c r="C1971" s="14" t="s">
        <v>1513</v>
      </c>
      <c r="D1971" s="14" t="s">
        <v>44</v>
      </c>
      <c r="E1971" s="1">
        <v>8128.89</v>
      </c>
      <c r="F1971" s="2"/>
      <c r="G1971" s="1"/>
      <c r="H1971" s="3"/>
      <c r="I1971" s="14" t="s">
        <v>1633</v>
      </c>
    </row>
    <row r="1972" spans="1:9" ht="18.75" customHeight="1" x14ac:dyDescent="0.4">
      <c r="A1972" s="14" t="s">
        <v>3376</v>
      </c>
      <c r="B1972" s="16" t="str">
        <f>TRIM("　浪速玉姫公園")</f>
        <v>浪速玉姫公園</v>
      </c>
      <c r="C1972" s="14" t="s">
        <v>1513</v>
      </c>
      <c r="D1972" s="14" t="s">
        <v>44</v>
      </c>
      <c r="E1972" s="1">
        <v>2280.9899999999998</v>
      </c>
      <c r="F1972" s="2"/>
      <c r="G1972" s="1"/>
      <c r="H1972" s="3"/>
      <c r="I1972" s="14" t="s">
        <v>2177</v>
      </c>
    </row>
    <row r="1973" spans="1:9" ht="18.75" customHeight="1" x14ac:dyDescent="0.4">
      <c r="A1973" s="14" t="s">
        <v>3381</v>
      </c>
      <c r="B1973" s="16" t="str">
        <f>TRIM("　浪速東3公園")</f>
        <v>浪速東3公園</v>
      </c>
      <c r="C1973" s="14" t="s">
        <v>1513</v>
      </c>
      <c r="D1973" s="14" t="s">
        <v>44</v>
      </c>
      <c r="E1973" s="1">
        <v>3453.87</v>
      </c>
      <c r="F1973" s="2"/>
      <c r="G1973" s="1"/>
      <c r="H1973" s="3"/>
      <c r="I1973" s="14" t="s">
        <v>2177</v>
      </c>
    </row>
    <row r="1974" spans="1:9" ht="18.75" customHeight="1" x14ac:dyDescent="0.4">
      <c r="A1974" s="14" t="s">
        <v>3383</v>
      </c>
      <c r="B1974" s="16" t="str">
        <f>TRIM("　浪速南公園")</f>
        <v>浪速南公園</v>
      </c>
      <c r="C1974" s="14" t="s">
        <v>1513</v>
      </c>
      <c r="D1974" s="14" t="s">
        <v>44</v>
      </c>
      <c r="E1974" s="1">
        <v>4714.88</v>
      </c>
      <c r="F1974" s="2"/>
      <c r="G1974" s="1"/>
      <c r="H1974" s="3"/>
      <c r="I1974" s="14" t="s">
        <v>2177</v>
      </c>
    </row>
    <row r="1975" spans="1:9" ht="18.75" customHeight="1" x14ac:dyDescent="0.4">
      <c r="A1975" s="14" t="s">
        <v>5572</v>
      </c>
      <c r="B1975" s="16" t="str">
        <f>TRIM("浪速署浪速町交番")</f>
        <v>浪速署浪速町交番</v>
      </c>
      <c r="C1975" s="14" t="s">
        <v>1513</v>
      </c>
      <c r="D1975" s="14" t="s">
        <v>44</v>
      </c>
      <c r="E1975" s="1">
        <v>32.979999999999997</v>
      </c>
      <c r="F1975" s="2"/>
      <c r="G1975" s="1"/>
      <c r="H1975" s="3"/>
      <c r="I1975" s="14" t="s">
        <v>5349</v>
      </c>
    </row>
    <row r="1976" spans="1:9" ht="18.75" customHeight="1" x14ac:dyDescent="0.4">
      <c r="A1976" s="14" t="s">
        <v>4467</v>
      </c>
      <c r="B1976" s="16" t="str">
        <f>TRIM("難波老人憩の家")</f>
        <v>難波老人憩の家</v>
      </c>
      <c r="C1976" s="14" t="s">
        <v>1513</v>
      </c>
      <c r="D1976" s="14" t="s">
        <v>302</v>
      </c>
      <c r="E1976" s="1">
        <v>164.89</v>
      </c>
      <c r="F1976" s="2"/>
      <c r="G1976" s="1">
        <v>100</v>
      </c>
      <c r="H1976" s="3"/>
      <c r="I1976" s="14" t="s">
        <v>4439</v>
      </c>
    </row>
    <row r="1977" spans="1:9" ht="18.75" customHeight="1" x14ac:dyDescent="0.4">
      <c r="A1977" s="14" t="s">
        <v>2365</v>
      </c>
      <c r="B1977" s="16" t="str">
        <f>TRIM("もと軌道敷(難波木津線)")</f>
        <v>もと軌道敷(難波木津線)</v>
      </c>
      <c r="C1977" s="14" t="s">
        <v>1513</v>
      </c>
      <c r="D1977" s="14" t="s">
        <v>302</v>
      </c>
      <c r="E1977" s="1">
        <v>8968.58</v>
      </c>
      <c r="F1977" s="2"/>
      <c r="G1977" s="1"/>
      <c r="H1977" s="3"/>
      <c r="I1977" s="14" t="s">
        <v>2177</v>
      </c>
    </row>
    <row r="1978" spans="1:9" ht="18.75" customHeight="1" x14ac:dyDescent="0.4">
      <c r="A1978" s="14" t="s">
        <v>4035</v>
      </c>
      <c r="B1978" s="16" t="str">
        <f>TRIM("下水道用地（浪速）")</f>
        <v>下水道用地（浪速）</v>
      </c>
      <c r="C1978" s="14" t="s">
        <v>1513</v>
      </c>
      <c r="D1978" s="14" t="s">
        <v>302</v>
      </c>
      <c r="E1978" s="1">
        <v>17462.61</v>
      </c>
      <c r="F1978" s="2"/>
      <c r="G1978" s="1"/>
      <c r="H1978" s="3"/>
      <c r="I1978" s="14" t="s">
        <v>2177</v>
      </c>
    </row>
    <row r="1979" spans="1:9" ht="18.75" customHeight="1" x14ac:dyDescent="0.4">
      <c r="A1979" s="14" t="s">
        <v>4451</v>
      </c>
      <c r="B1979" s="16" t="str">
        <f>TRIM("難波地域集会所")</f>
        <v>難波地域集会所</v>
      </c>
      <c r="C1979" s="14" t="s">
        <v>1513</v>
      </c>
      <c r="D1979" s="14" t="s">
        <v>302</v>
      </c>
      <c r="E1979" s="1"/>
      <c r="F1979" s="2"/>
      <c r="G1979" s="1">
        <v>100</v>
      </c>
      <c r="H1979" s="3"/>
      <c r="I1979" s="14" t="s">
        <v>4439</v>
      </c>
    </row>
    <row r="1980" spans="1:9" ht="18.75" customHeight="1" x14ac:dyDescent="0.4">
      <c r="A1980" s="14" t="s">
        <v>5602</v>
      </c>
      <c r="B1980" s="16" t="str">
        <f>TRIM("もと軌道敷（難波木津線）")</f>
        <v>もと軌道敷（難波木津線）</v>
      </c>
      <c r="C1980" s="14" t="s">
        <v>1513</v>
      </c>
      <c r="D1980" s="14" t="s">
        <v>302</v>
      </c>
      <c r="E1980" s="1">
        <v>9932.43</v>
      </c>
      <c r="F1980" s="2"/>
      <c r="G1980" s="1"/>
      <c r="H1980" s="3"/>
      <c r="I1980" s="14" t="s">
        <v>5349</v>
      </c>
    </row>
    <row r="1981" spans="1:9" ht="18.75" customHeight="1" x14ac:dyDescent="0.4">
      <c r="A1981" s="14" t="s">
        <v>1976</v>
      </c>
      <c r="B1981" s="16" t="str">
        <f>TRIM("浪速区在宅サービスセンター")</f>
        <v>浪速区在宅サービスセンター</v>
      </c>
      <c r="C1981" s="14" t="s">
        <v>1513</v>
      </c>
      <c r="D1981" s="14" t="s">
        <v>89</v>
      </c>
      <c r="E1981" s="1">
        <v>328.07</v>
      </c>
      <c r="F1981" s="2"/>
      <c r="G1981" s="1"/>
      <c r="H1981" s="3"/>
      <c r="I1981" s="14" t="s">
        <v>1654</v>
      </c>
    </row>
    <row r="1982" spans="1:9" ht="18.75" customHeight="1" x14ac:dyDescent="0.4">
      <c r="A1982" s="14" t="s">
        <v>3213</v>
      </c>
      <c r="B1982" s="16" t="str">
        <f>TRIM("　難波中公園")</f>
        <v>難波中公園</v>
      </c>
      <c r="C1982" s="14" t="s">
        <v>1513</v>
      </c>
      <c r="D1982" s="14" t="s">
        <v>89</v>
      </c>
      <c r="E1982" s="1">
        <v>4027.91</v>
      </c>
      <c r="F1982" s="2"/>
      <c r="G1982" s="1"/>
      <c r="H1982" s="3"/>
      <c r="I1982" s="14" t="s">
        <v>2177</v>
      </c>
    </row>
    <row r="1983" spans="1:9" ht="18.75" customHeight="1" x14ac:dyDescent="0.4">
      <c r="A1983" s="14" t="s">
        <v>6813</v>
      </c>
      <c r="B1983" s="16" t="str">
        <f>TRIM("肩替地（東部新川町）")</f>
        <v>肩替地（東部新川町）</v>
      </c>
      <c r="C1983" s="14" t="s">
        <v>1513</v>
      </c>
      <c r="D1983" s="14" t="s">
        <v>89</v>
      </c>
      <c r="E1983" s="1">
        <v>250.86</v>
      </c>
      <c r="F1983" s="2"/>
      <c r="G1983" s="1"/>
      <c r="H1983" s="3"/>
      <c r="I1983" s="14" t="s">
        <v>6177</v>
      </c>
    </row>
    <row r="1984" spans="1:9" ht="18.75" customHeight="1" x14ac:dyDescent="0.4">
      <c r="A1984" s="14" t="s">
        <v>7135</v>
      </c>
      <c r="B1984" s="16" t="str">
        <f>TRIM("浪速スポーツセンター")</f>
        <v>浪速スポーツセンター</v>
      </c>
      <c r="C1984" s="14" t="s">
        <v>1513</v>
      </c>
      <c r="D1984" s="14" t="s">
        <v>89</v>
      </c>
      <c r="E1984" s="1">
        <v>4962.5</v>
      </c>
      <c r="F1984" s="2"/>
      <c r="G1984" s="1"/>
      <c r="H1984" s="3"/>
      <c r="I1984" s="14" t="s">
        <v>4115</v>
      </c>
    </row>
    <row r="1985" spans="1:9" ht="18.75" customHeight="1" x14ac:dyDescent="0.4">
      <c r="A1985" s="14" t="s">
        <v>7136</v>
      </c>
      <c r="B1985" s="16" t="str">
        <f>TRIM("浪速スポーツセンター・浪速屋内プール・浪速アイススケート場")</f>
        <v>浪速スポーツセンター・浪速屋内プール・浪速アイススケート場</v>
      </c>
      <c r="C1985" s="14" t="s">
        <v>1513</v>
      </c>
      <c r="D1985" s="14" t="s">
        <v>89</v>
      </c>
      <c r="E1985" s="1"/>
      <c r="F1985" s="2"/>
      <c r="G1985" s="1">
        <v>16555.7</v>
      </c>
      <c r="H1985" s="3"/>
      <c r="I1985" s="14" t="s">
        <v>4115</v>
      </c>
    </row>
    <row r="1986" spans="1:9" ht="18.75" customHeight="1" x14ac:dyDescent="0.4">
      <c r="A1986" s="14" t="s">
        <v>7137</v>
      </c>
      <c r="B1986" s="16" t="str">
        <f>TRIM("浪速屋内プール")</f>
        <v>浪速屋内プール</v>
      </c>
      <c r="C1986" s="14" t="s">
        <v>1513</v>
      </c>
      <c r="D1986" s="14" t="s">
        <v>89</v>
      </c>
      <c r="E1986" s="1">
        <v>1230</v>
      </c>
      <c r="F1986" s="2"/>
      <c r="G1986" s="1"/>
      <c r="H1986" s="3"/>
      <c r="I1986" s="14" t="s">
        <v>4115</v>
      </c>
    </row>
    <row r="1987" spans="1:9" ht="18.75" customHeight="1" x14ac:dyDescent="0.4">
      <c r="A1987" s="14" t="s">
        <v>7138</v>
      </c>
      <c r="B1987" s="16" t="str">
        <f>TRIM("浪速屋内プールアイススケート場")</f>
        <v>浪速屋内プールアイススケート場</v>
      </c>
      <c r="C1987" s="14" t="s">
        <v>1513</v>
      </c>
      <c r="D1987" s="14" t="s">
        <v>89</v>
      </c>
      <c r="E1987" s="1">
        <v>2475.38</v>
      </c>
      <c r="F1987" s="2"/>
      <c r="G1987" s="1"/>
      <c r="H1987" s="3"/>
      <c r="I1987" s="14" t="s">
        <v>4115</v>
      </c>
    </row>
    <row r="1988" spans="1:9" ht="18.75" customHeight="1" x14ac:dyDescent="0.4">
      <c r="A1988" s="14" t="s">
        <v>5059</v>
      </c>
      <c r="B1988" s="16" t="str">
        <f>TRIM("もと日本橋小学校")</f>
        <v>もと日本橋小学校</v>
      </c>
      <c r="C1988" s="14" t="s">
        <v>1513</v>
      </c>
      <c r="D1988" s="14" t="s">
        <v>470</v>
      </c>
      <c r="E1988" s="1">
        <v>740.55</v>
      </c>
      <c r="F1988" s="2" t="s">
        <v>7266</v>
      </c>
      <c r="G1988" s="1">
        <v>44.15</v>
      </c>
      <c r="H1988" s="3"/>
      <c r="I1988" s="14" t="s">
        <v>4689</v>
      </c>
    </row>
    <row r="1989" spans="1:9" ht="18.75" customHeight="1" x14ac:dyDescent="0.4">
      <c r="A1989" s="14" t="s">
        <v>4473</v>
      </c>
      <c r="B1989" s="16" t="str">
        <f>TRIM("日本橋地域防災拠点")</f>
        <v>日本橋地域防災拠点</v>
      </c>
      <c r="C1989" s="14" t="s">
        <v>1513</v>
      </c>
      <c r="D1989" s="14" t="s">
        <v>470</v>
      </c>
      <c r="E1989" s="1">
        <v>4486.72</v>
      </c>
      <c r="F1989" s="2" t="s">
        <v>7301</v>
      </c>
      <c r="G1989" s="1">
        <v>4786.1099999999997</v>
      </c>
      <c r="H1989" s="3"/>
      <c r="I1989" s="14" t="s">
        <v>4439</v>
      </c>
    </row>
    <row r="1990" spans="1:9" ht="18.75" customHeight="1" x14ac:dyDescent="0.4">
      <c r="A1990" s="14" t="s">
        <v>5694</v>
      </c>
      <c r="B1990" s="16" t="str">
        <f>TRIM("もと日本橋小学校附属幼稚園")</f>
        <v>もと日本橋小学校附属幼稚園</v>
      </c>
      <c r="C1990" s="14" t="s">
        <v>1513</v>
      </c>
      <c r="D1990" s="14" t="s">
        <v>470</v>
      </c>
      <c r="E1990" s="1">
        <v>148.41</v>
      </c>
      <c r="F1990" s="2" t="s">
        <v>7300</v>
      </c>
      <c r="G1990" s="1"/>
      <c r="H1990" s="3"/>
      <c r="I1990" s="14" t="s">
        <v>5617</v>
      </c>
    </row>
    <row r="1991" spans="1:9" ht="18.75" customHeight="1" x14ac:dyDescent="0.4">
      <c r="A1991" s="14" t="s">
        <v>3220</v>
      </c>
      <c r="B1991" s="16" t="str">
        <f>TRIM("　日本橋公園")</f>
        <v>日本橋公園</v>
      </c>
      <c r="C1991" s="14" t="s">
        <v>1513</v>
      </c>
      <c r="D1991" s="14" t="s">
        <v>470</v>
      </c>
      <c r="E1991" s="1">
        <v>4061.33</v>
      </c>
      <c r="F1991" s="2"/>
      <c r="G1991" s="1"/>
      <c r="H1991" s="3"/>
      <c r="I1991" s="14" t="s">
        <v>2177</v>
      </c>
    </row>
    <row r="1992" spans="1:9" ht="18.75" customHeight="1" x14ac:dyDescent="0.4">
      <c r="A1992" s="14" t="s">
        <v>6964</v>
      </c>
      <c r="B1992" s="16" t="str">
        <f>TRIM("もと日本橋病院公舎")</f>
        <v>もと日本橋病院公舎</v>
      </c>
      <c r="C1992" s="14" t="s">
        <v>1513</v>
      </c>
      <c r="D1992" s="14" t="s">
        <v>470</v>
      </c>
      <c r="E1992" s="1">
        <v>19.78</v>
      </c>
      <c r="F1992" s="2"/>
      <c r="G1992" s="1"/>
      <c r="H1992" s="3"/>
      <c r="I1992" s="14" t="s">
        <v>2402</v>
      </c>
    </row>
    <row r="1993" spans="1:9" ht="18.75" customHeight="1" x14ac:dyDescent="0.4">
      <c r="A1993" s="14" t="s">
        <v>5571</v>
      </c>
      <c r="B1993" s="16" t="str">
        <f>TRIM("浪速署日本橋4丁目交通詰所")</f>
        <v>浪速署日本橋4丁目交通詰所</v>
      </c>
      <c r="C1993" s="14" t="s">
        <v>1513</v>
      </c>
      <c r="D1993" s="14" t="s">
        <v>286</v>
      </c>
      <c r="E1993" s="1">
        <v>24.56</v>
      </c>
      <c r="F1993" s="2"/>
      <c r="G1993" s="1"/>
      <c r="H1993" s="3"/>
      <c r="I1993" s="14" t="s">
        <v>5349</v>
      </c>
    </row>
    <row r="1994" spans="1:9" ht="18.75" customHeight="1" x14ac:dyDescent="0.4">
      <c r="A1994" s="14" t="s">
        <v>6882</v>
      </c>
      <c r="B1994" s="16" t="str">
        <f>TRIM("日本橋住宅（北）")</f>
        <v>日本橋住宅（北）</v>
      </c>
      <c r="C1994" s="14" t="s">
        <v>1513</v>
      </c>
      <c r="D1994" s="14" t="s">
        <v>285</v>
      </c>
      <c r="E1994" s="1">
        <v>1113.04</v>
      </c>
      <c r="F1994" s="2">
        <v>984</v>
      </c>
      <c r="G1994" s="1"/>
      <c r="H1994" s="3"/>
      <c r="I1994" s="14" t="s">
        <v>6177</v>
      </c>
    </row>
    <row r="1995" spans="1:9" ht="18.75" customHeight="1" x14ac:dyDescent="0.4">
      <c r="A1995" s="14" t="s">
        <v>5331</v>
      </c>
      <c r="B1995" s="16" t="str">
        <f>TRIM("浪速消防署恵美須出張所")</f>
        <v>浪速消防署恵美須出張所</v>
      </c>
      <c r="C1995" s="14" t="s">
        <v>1513</v>
      </c>
      <c r="D1995" s="14" t="s">
        <v>285</v>
      </c>
      <c r="E1995" s="1">
        <v>140.38999999999999</v>
      </c>
      <c r="F1995" s="2"/>
      <c r="G1995" s="1">
        <v>226.88</v>
      </c>
      <c r="H1995" s="3"/>
      <c r="I1995" s="14" t="s">
        <v>5219</v>
      </c>
    </row>
    <row r="1996" spans="1:9" ht="18.75" customHeight="1" x14ac:dyDescent="0.4">
      <c r="A1996" s="14" t="s">
        <v>6610</v>
      </c>
      <c r="B1996" s="16" t="str">
        <f>TRIM("日東住宅")</f>
        <v>日東住宅</v>
      </c>
      <c r="C1996" s="14" t="s">
        <v>1513</v>
      </c>
      <c r="D1996" s="14" t="s">
        <v>285</v>
      </c>
      <c r="E1996" s="1">
        <v>4427.2</v>
      </c>
      <c r="F1996" s="2"/>
      <c r="G1996" s="1">
        <v>27381.81</v>
      </c>
      <c r="H1996" s="3"/>
      <c r="I1996" s="14" t="s">
        <v>6177</v>
      </c>
    </row>
    <row r="1997" spans="1:9" ht="18.75" customHeight="1" x14ac:dyDescent="0.4">
      <c r="A1997" s="14" t="s">
        <v>6618</v>
      </c>
      <c r="B1997" s="16" t="str">
        <f>TRIM("日本橋住宅")</f>
        <v>日本橋住宅</v>
      </c>
      <c r="C1997" s="14" t="s">
        <v>1513</v>
      </c>
      <c r="D1997" s="14" t="s">
        <v>285</v>
      </c>
      <c r="E1997" s="1">
        <v>19839.64</v>
      </c>
      <c r="F1997" s="2"/>
      <c r="G1997" s="1">
        <v>37163.550000000003</v>
      </c>
      <c r="H1997" s="3"/>
      <c r="I1997" s="14" t="s">
        <v>6177</v>
      </c>
    </row>
    <row r="1998" spans="1:9" ht="18.75" customHeight="1" x14ac:dyDescent="0.4">
      <c r="A1998" s="14" t="s">
        <v>1914</v>
      </c>
      <c r="B1998" s="16" t="str">
        <f>TRIM("特別養護老人ホームあいぜん・グループホームあいぜん")</f>
        <v>特別養護老人ホームあいぜん・グループホームあいぜん</v>
      </c>
      <c r="C1998" s="14" t="s">
        <v>1513</v>
      </c>
      <c r="D1998" s="14" t="s">
        <v>285</v>
      </c>
      <c r="E1998" s="1">
        <v>1608.92</v>
      </c>
      <c r="F1998" s="2"/>
      <c r="G1998" s="1"/>
      <c r="H1998" s="3"/>
      <c r="I1998" s="14" t="s">
        <v>1654</v>
      </c>
    </row>
    <row r="1999" spans="1:9" ht="18.75" customHeight="1" x14ac:dyDescent="0.4">
      <c r="A1999" s="14" t="s">
        <v>3974</v>
      </c>
      <c r="B1999" s="16" t="str">
        <f>TRIM("恵美須町駅自転車駐車場管理事務所")</f>
        <v>恵美須町駅自転車駐車場管理事務所</v>
      </c>
      <c r="C1999" s="14" t="s">
        <v>1513</v>
      </c>
      <c r="D1999" s="14" t="s">
        <v>285</v>
      </c>
      <c r="E1999" s="1"/>
      <c r="F1999" s="2"/>
      <c r="G1999" s="1">
        <v>6.5</v>
      </c>
      <c r="H1999" s="3"/>
      <c r="I1999" s="14" t="s">
        <v>2177</v>
      </c>
    </row>
    <row r="2000" spans="1:9" ht="18.75" customHeight="1" x14ac:dyDescent="0.4">
      <c r="A2000" s="14" t="s">
        <v>5569</v>
      </c>
      <c r="B2000" s="16" t="str">
        <f>TRIM("浪速警察署")</f>
        <v>浪速警察署</v>
      </c>
      <c r="C2000" s="14" t="s">
        <v>1513</v>
      </c>
      <c r="D2000" s="14" t="s">
        <v>285</v>
      </c>
      <c r="E2000" s="1">
        <v>1744.6</v>
      </c>
      <c r="F2000" s="2"/>
      <c r="G2000" s="1"/>
      <c r="H2000" s="3"/>
      <c r="I2000" s="14" t="s">
        <v>5349</v>
      </c>
    </row>
    <row r="2001" spans="1:9" ht="18.75" customHeight="1" x14ac:dyDescent="0.4">
      <c r="A2001" s="14" t="s">
        <v>4453</v>
      </c>
      <c r="B2001" s="16" t="str">
        <f>TRIM("日本橋連合会館")</f>
        <v>日本橋連合会館</v>
      </c>
      <c r="C2001" s="14" t="s">
        <v>1513</v>
      </c>
      <c r="D2001" s="14" t="s">
        <v>1428</v>
      </c>
      <c r="E2001" s="1">
        <v>135</v>
      </c>
      <c r="F2001" s="2"/>
      <c r="G2001" s="1">
        <v>101.01</v>
      </c>
      <c r="H2001" s="3"/>
      <c r="I2001" s="14" t="s">
        <v>4439</v>
      </c>
    </row>
    <row r="2002" spans="1:9" ht="18.75" customHeight="1" x14ac:dyDescent="0.4">
      <c r="A2002" s="14" t="s">
        <v>5060</v>
      </c>
      <c r="B2002" s="16" t="str">
        <f>TRIM("浪速小学校　日本橋中学校")</f>
        <v>浪速小学校　日本橋中学校</v>
      </c>
      <c r="C2002" s="14" t="s">
        <v>1513</v>
      </c>
      <c r="D2002" s="14" t="s">
        <v>1428</v>
      </c>
      <c r="E2002" s="1">
        <v>14996.27</v>
      </c>
      <c r="F2002" s="2"/>
      <c r="G2002" s="1">
        <v>14077.04</v>
      </c>
      <c r="H2002" s="3"/>
      <c r="I2002" s="14" t="s">
        <v>4689</v>
      </c>
    </row>
    <row r="2003" spans="1:9" ht="18.75" customHeight="1" x14ac:dyDescent="0.4">
      <c r="A2003" s="14" t="s">
        <v>4469</v>
      </c>
      <c r="B2003" s="16" t="str">
        <f>TRIM("日本橋連合老人憩の家")</f>
        <v>日本橋連合老人憩の家</v>
      </c>
      <c r="C2003" s="14" t="s">
        <v>1513</v>
      </c>
      <c r="D2003" s="14" t="s">
        <v>1428</v>
      </c>
      <c r="E2003" s="1"/>
      <c r="F2003" s="2"/>
      <c r="G2003" s="1">
        <v>100.02</v>
      </c>
      <c r="H2003" s="3"/>
      <c r="I2003" s="14" t="s">
        <v>4439</v>
      </c>
    </row>
    <row r="2004" spans="1:9" ht="18.75" customHeight="1" x14ac:dyDescent="0.4">
      <c r="A2004" s="14" t="s">
        <v>5854</v>
      </c>
      <c r="B2004" s="16" t="str">
        <f>TRIM("広田保育所")</f>
        <v>広田保育所</v>
      </c>
      <c r="C2004" s="14" t="s">
        <v>1513</v>
      </c>
      <c r="D2004" s="14" t="s">
        <v>568</v>
      </c>
      <c r="E2004" s="1">
        <v>898.82</v>
      </c>
      <c r="F2004" s="2"/>
      <c r="G2004" s="1">
        <v>382.17</v>
      </c>
      <c r="H2004" s="3"/>
      <c r="I2004" s="14" t="s">
        <v>5617</v>
      </c>
    </row>
    <row r="2005" spans="1:9" ht="18.75" customHeight="1" x14ac:dyDescent="0.4">
      <c r="A2005" s="14" t="s">
        <v>6619</v>
      </c>
      <c r="B2005" s="16" t="str">
        <f>TRIM("日本橋西住宅")</f>
        <v>日本橋西住宅</v>
      </c>
      <c r="C2005" s="14" t="s">
        <v>1513</v>
      </c>
      <c r="D2005" s="14" t="s">
        <v>568</v>
      </c>
      <c r="E2005" s="1">
        <v>3972.95</v>
      </c>
      <c r="F2005" s="2"/>
      <c r="G2005" s="1">
        <v>8112.19</v>
      </c>
      <c r="H2005" s="3"/>
      <c r="I2005" s="14" t="s">
        <v>6177</v>
      </c>
    </row>
    <row r="2006" spans="1:9" ht="18.75" customHeight="1" x14ac:dyDescent="0.4">
      <c r="A2006" s="14" t="s">
        <v>3512</v>
      </c>
      <c r="B2006" s="16" t="str">
        <f>TRIM("日本橋西公園")</f>
        <v>日本橋西公園</v>
      </c>
      <c r="C2006" s="14" t="s">
        <v>1513</v>
      </c>
      <c r="D2006" s="14" t="s">
        <v>568</v>
      </c>
      <c r="E2006" s="1">
        <v>2523.62</v>
      </c>
      <c r="F2006" s="2"/>
      <c r="G2006" s="1"/>
      <c r="H2006" s="3"/>
      <c r="I2006" s="14" t="s">
        <v>2177</v>
      </c>
    </row>
    <row r="2007" spans="1:9" ht="18.75" customHeight="1" x14ac:dyDescent="0.4">
      <c r="A2007" s="14" t="s">
        <v>6190</v>
      </c>
      <c r="B2007" s="16" t="str">
        <f>TRIM("広田住宅")</f>
        <v>広田住宅</v>
      </c>
      <c r="C2007" s="14" t="s">
        <v>1513</v>
      </c>
      <c r="D2007" s="14" t="s">
        <v>568</v>
      </c>
      <c r="E2007" s="1">
        <v>1789.13</v>
      </c>
      <c r="F2007" s="2"/>
      <c r="G2007" s="1"/>
      <c r="H2007" s="3"/>
      <c r="I2007" s="14" t="s">
        <v>6177</v>
      </c>
    </row>
    <row r="2008" spans="1:9" ht="18.75" customHeight="1" x14ac:dyDescent="0.4">
      <c r="A2008" s="14" t="s">
        <v>6270</v>
      </c>
      <c r="B2008" s="16" t="str">
        <f>TRIM("  広田住宅")</f>
        <v>広田住宅</v>
      </c>
      <c r="C2008" s="14" t="s">
        <v>1513</v>
      </c>
      <c r="D2008" s="14" t="s">
        <v>568</v>
      </c>
      <c r="E2008" s="1"/>
      <c r="F2008" s="2"/>
      <c r="G2008" s="1">
        <v>2481.71</v>
      </c>
      <c r="H2008" s="3"/>
      <c r="I2008" s="14" t="s">
        <v>6177</v>
      </c>
    </row>
    <row r="2009" spans="1:9" ht="18.75" customHeight="1" x14ac:dyDescent="0.4">
      <c r="A2009" s="14" t="s">
        <v>6884</v>
      </c>
      <c r="B2009" s="16" t="str">
        <f>TRIM("もと北日東住宅地区改良事業用地")</f>
        <v>もと北日東住宅地区改良事業用地</v>
      </c>
      <c r="C2009" s="14" t="s">
        <v>1513</v>
      </c>
      <c r="D2009" s="14" t="s">
        <v>894</v>
      </c>
      <c r="E2009" s="1">
        <v>1028.92</v>
      </c>
      <c r="F2009" s="2" t="s">
        <v>7291</v>
      </c>
      <c r="G2009" s="1"/>
      <c r="H2009" s="3"/>
      <c r="I2009" s="14" t="s">
        <v>6177</v>
      </c>
    </row>
    <row r="2010" spans="1:9" ht="18.75" customHeight="1" x14ac:dyDescent="0.4">
      <c r="A2010" s="14" t="s">
        <v>6896</v>
      </c>
      <c r="B2010" s="16" t="str">
        <f>TRIM("北日東住宅地区改良事業用地")</f>
        <v>北日東住宅地区改良事業用地</v>
      </c>
      <c r="C2010" s="14" t="s">
        <v>1513</v>
      </c>
      <c r="D2010" s="14" t="s">
        <v>894</v>
      </c>
      <c r="E2010" s="1">
        <v>85.2</v>
      </c>
      <c r="F2010" s="2"/>
      <c r="G2010" s="1"/>
      <c r="H2010" s="3"/>
      <c r="I2010" s="14" t="s">
        <v>6177</v>
      </c>
    </row>
    <row r="2011" spans="1:9" ht="18.75" customHeight="1" x14ac:dyDescent="0.4">
      <c r="A2011" s="14" t="s">
        <v>6917</v>
      </c>
      <c r="B2011" s="16" t="str">
        <f>TRIM("北日東住宅地区改良事業用地")</f>
        <v>北日東住宅地区改良事業用地</v>
      </c>
      <c r="C2011" s="14" t="s">
        <v>1513</v>
      </c>
      <c r="D2011" s="14" t="s">
        <v>894</v>
      </c>
      <c r="E2011" s="1">
        <v>2852.44</v>
      </c>
      <c r="F2011" s="2"/>
      <c r="G2011" s="1"/>
      <c r="H2011" s="3"/>
      <c r="I2011" s="14" t="s">
        <v>6177</v>
      </c>
    </row>
    <row r="2012" spans="1:9" ht="18.75" customHeight="1" x14ac:dyDescent="0.4">
      <c r="A2012" s="14" t="s">
        <v>6611</v>
      </c>
      <c r="B2012" s="16" t="str">
        <f>TRIM("日東住宅住宅地区改良事業用地")</f>
        <v>日東住宅住宅地区改良事業用地</v>
      </c>
      <c r="C2012" s="14" t="s">
        <v>1513</v>
      </c>
      <c r="D2012" s="14" t="s">
        <v>823</v>
      </c>
      <c r="E2012" s="1">
        <v>16222.36</v>
      </c>
      <c r="F2012" s="2"/>
      <c r="G2012" s="1"/>
      <c r="H2012" s="3"/>
      <c r="I2012" s="14" t="s">
        <v>6177</v>
      </c>
    </row>
    <row r="2013" spans="1:9" ht="18.75" customHeight="1" x14ac:dyDescent="0.4">
      <c r="A2013" s="14" t="s">
        <v>5058</v>
      </c>
      <c r="B2013" s="16" t="str">
        <f>TRIM("浪速小学校　日本橋中学校（もと日東小学校）")</f>
        <v>浪速小学校　日本橋中学校（もと日東小学校）</v>
      </c>
      <c r="C2013" s="14" t="s">
        <v>1513</v>
      </c>
      <c r="D2013" s="14" t="s">
        <v>823</v>
      </c>
      <c r="E2013" s="1">
        <v>5743.11</v>
      </c>
      <c r="F2013" s="2"/>
      <c r="G2013" s="1">
        <v>5108.37</v>
      </c>
      <c r="H2013" s="3"/>
      <c r="I2013" s="14" t="s">
        <v>4689</v>
      </c>
    </row>
    <row r="2014" spans="1:9" ht="18.75" customHeight="1" x14ac:dyDescent="0.4">
      <c r="A2014" s="14" t="s">
        <v>3215</v>
      </c>
      <c r="B2014" s="16" t="str">
        <f>TRIM("　日東公園")</f>
        <v>日東公園</v>
      </c>
      <c r="C2014" s="14" t="s">
        <v>1513</v>
      </c>
      <c r="D2014" s="14" t="s">
        <v>823</v>
      </c>
      <c r="E2014" s="1">
        <v>2542.9</v>
      </c>
      <c r="F2014" s="2"/>
      <c r="G2014" s="1"/>
      <c r="H2014" s="3"/>
      <c r="I2014" s="14" t="s">
        <v>2177</v>
      </c>
    </row>
    <row r="2015" spans="1:9" ht="18.75" customHeight="1" x14ac:dyDescent="0.4">
      <c r="A2015" s="14" t="s">
        <v>5815</v>
      </c>
      <c r="B2015" s="16" t="str">
        <f>TRIM("日東幼稚園")</f>
        <v>日東幼稚園</v>
      </c>
      <c r="C2015" s="14" t="s">
        <v>1513</v>
      </c>
      <c r="D2015" s="14" t="s">
        <v>823</v>
      </c>
      <c r="E2015" s="1"/>
      <c r="F2015" s="2"/>
      <c r="G2015" s="1">
        <v>730.31</v>
      </c>
      <c r="H2015" s="3"/>
      <c r="I2015" s="14" t="s">
        <v>5617</v>
      </c>
    </row>
    <row r="2016" spans="1:9" ht="18.75" customHeight="1" x14ac:dyDescent="0.4">
      <c r="A2016" s="14" t="s">
        <v>6918</v>
      </c>
      <c r="B2016" s="16" t="str">
        <f>TRIM("もと日東住宅住宅地区改良事業用地")</f>
        <v>もと日東住宅住宅地区改良事業用地</v>
      </c>
      <c r="C2016" s="14" t="s">
        <v>1513</v>
      </c>
      <c r="D2016" s="14" t="s">
        <v>823</v>
      </c>
      <c r="E2016" s="1">
        <v>492.6</v>
      </c>
      <c r="F2016" s="2"/>
      <c r="G2016" s="1"/>
      <c r="H2016" s="3"/>
      <c r="I2016" s="14" t="s">
        <v>6177</v>
      </c>
    </row>
    <row r="2017" spans="1:9" ht="18.75" customHeight="1" x14ac:dyDescent="0.4">
      <c r="A2017" s="14" t="s">
        <v>1649</v>
      </c>
      <c r="B2017" s="16" t="str">
        <f>TRIM("湊町地区交通広場")</f>
        <v>湊町地区交通広場</v>
      </c>
      <c r="C2017" s="14" t="s">
        <v>1513</v>
      </c>
      <c r="D2017" s="14" t="s">
        <v>320</v>
      </c>
      <c r="E2017" s="1">
        <v>3961.53</v>
      </c>
      <c r="F2017" s="2"/>
      <c r="G2017" s="1"/>
      <c r="H2017" s="3"/>
      <c r="I2017" s="14" t="s">
        <v>1633</v>
      </c>
    </row>
    <row r="2018" spans="1:9" ht="18.75" customHeight="1" x14ac:dyDescent="0.4">
      <c r="A2018" s="14" t="s">
        <v>1650</v>
      </c>
      <c r="B2018" s="16" t="str">
        <f>TRIM("湊町地区複合交通センター")</f>
        <v>湊町地区複合交通センター</v>
      </c>
      <c r="C2018" s="14" t="s">
        <v>1513</v>
      </c>
      <c r="D2018" s="14" t="s">
        <v>320</v>
      </c>
      <c r="E2018" s="1">
        <v>7677.62</v>
      </c>
      <c r="F2018" s="2"/>
      <c r="G2018" s="1"/>
      <c r="H2018" s="3"/>
      <c r="I2018" s="14" t="s">
        <v>1633</v>
      </c>
    </row>
    <row r="2019" spans="1:9" ht="18.75" customHeight="1" x14ac:dyDescent="0.4">
      <c r="A2019" s="14" t="s">
        <v>2179</v>
      </c>
      <c r="B2019" s="16" t="str">
        <f>TRIM("もとＪＲ関西本線連続立体交差事業")</f>
        <v>もとＪＲ関西本線連続立体交差事業</v>
      </c>
      <c r="C2019" s="14" t="s">
        <v>1513</v>
      </c>
      <c r="D2019" s="14" t="s">
        <v>320</v>
      </c>
      <c r="E2019" s="1">
        <v>12.08</v>
      </c>
      <c r="F2019" s="2"/>
      <c r="G2019" s="1"/>
      <c r="H2019" s="3"/>
      <c r="I2019" s="14" t="s">
        <v>2177</v>
      </c>
    </row>
    <row r="2020" spans="1:9" ht="18.75" customHeight="1" x14ac:dyDescent="0.4">
      <c r="A2020" s="14" t="s">
        <v>2319</v>
      </c>
      <c r="B2020" s="16" t="str">
        <f>TRIM("南北線（浪速）（管財課）")</f>
        <v>南北線（浪速）（管財課）</v>
      </c>
      <c r="C2020" s="14" t="s">
        <v>1513</v>
      </c>
      <c r="D2020" s="14" t="s">
        <v>320</v>
      </c>
      <c r="E2020" s="1">
        <v>1172.0899999999999</v>
      </c>
      <c r="F2020" s="2"/>
      <c r="G2020" s="1"/>
      <c r="H2020" s="3"/>
      <c r="I2020" s="14" t="s">
        <v>2177</v>
      </c>
    </row>
    <row r="2021" spans="1:9" ht="18.75" customHeight="1" x14ac:dyDescent="0.4">
      <c r="A2021" s="14" t="s">
        <v>2320</v>
      </c>
      <c r="B2021" s="16" t="str">
        <f>TRIM("難波境川線（浪速）（管財課）")</f>
        <v>難波境川線（浪速）（管財課）</v>
      </c>
      <c r="C2021" s="14" t="s">
        <v>1513</v>
      </c>
      <c r="D2021" s="14" t="s">
        <v>320</v>
      </c>
      <c r="E2021" s="1">
        <v>17021.150000000001</v>
      </c>
      <c r="F2021" s="2"/>
      <c r="G2021" s="1"/>
      <c r="H2021" s="3"/>
      <c r="I2021" s="14" t="s">
        <v>2177</v>
      </c>
    </row>
    <row r="2022" spans="1:9" ht="18.75" customHeight="1" x14ac:dyDescent="0.4">
      <c r="A2022" s="14" t="s">
        <v>3818</v>
      </c>
      <c r="B2022" s="16" t="str">
        <f>TRIM("桜川駅・ＪＲ難波駅・汐見橋駅自転車駐車場管理事務所")</f>
        <v>桜川駅・ＪＲ難波駅・汐見橋駅自転車駐車場管理事務所</v>
      </c>
      <c r="C2022" s="14" t="s">
        <v>1513</v>
      </c>
      <c r="D2022" s="14" t="s">
        <v>320</v>
      </c>
      <c r="E2022" s="1"/>
      <c r="F2022" s="2"/>
      <c r="G2022" s="1">
        <v>12.15</v>
      </c>
      <c r="H2022" s="3"/>
      <c r="I2022" s="14" t="s">
        <v>2177</v>
      </c>
    </row>
    <row r="2023" spans="1:9" ht="18.75" customHeight="1" x14ac:dyDescent="0.4">
      <c r="A2023" s="14" t="s">
        <v>6857</v>
      </c>
      <c r="B2023" s="16" t="str">
        <f>TRIM("区画整理事業用地（湊町工区・湊町）")</f>
        <v>区画整理事業用地（湊町工区・湊町）</v>
      </c>
      <c r="C2023" s="14" t="s">
        <v>1513</v>
      </c>
      <c r="D2023" s="14" t="s">
        <v>320</v>
      </c>
      <c r="E2023" s="1">
        <v>14267.85</v>
      </c>
      <c r="F2023" s="2"/>
      <c r="G2023" s="1"/>
      <c r="H2023" s="3"/>
      <c r="I2023" s="14" t="s">
        <v>6177</v>
      </c>
    </row>
    <row r="2024" spans="1:9" ht="18.75" customHeight="1" x14ac:dyDescent="0.4">
      <c r="A2024" s="14" t="s">
        <v>6863</v>
      </c>
      <c r="B2024" s="16" t="str">
        <f>TRIM("湊町リバープレイス")</f>
        <v>湊町リバープレイス</v>
      </c>
      <c r="C2024" s="14" t="s">
        <v>1513</v>
      </c>
      <c r="D2024" s="14" t="s">
        <v>320</v>
      </c>
      <c r="E2024" s="1"/>
      <c r="F2024" s="2"/>
      <c r="G2024" s="1">
        <v>21240.89</v>
      </c>
      <c r="H2024" s="3"/>
      <c r="I2024" s="14" t="s">
        <v>6177</v>
      </c>
    </row>
    <row r="2025" spans="1:9" ht="18.75" customHeight="1" x14ac:dyDescent="0.4">
      <c r="A2025" s="14" t="s">
        <v>6864</v>
      </c>
      <c r="B2025" s="16" t="str">
        <f>TRIM("湊町東公園")</f>
        <v>湊町東公園</v>
      </c>
      <c r="C2025" s="14" t="s">
        <v>1513</v>
      </c>
      <c r="D2025" s="14" t="s">
        <v>320</v>
      </c>
      <c r="E2025" s="1">
        <v>1648.57</v>
      </c>
      <c r="F2025" s="2"/>
      <c r="G2025" s="1"/>
      <c r="H2025" s="3"/>
      <c r="I2025" s="14" t="s">
        <v>6177</v>
      </c>
    </row>
    <row r="2026" spans="1:9" ht="18.75" customHeight="1" x14ac:dyDescent="0.4">
      <c r="A2026" s="14" t="s">
        <v>1648</v>
      </c>
      <c r="B2026" s="16" t="str">
        <f>TRIM("湊町地区開発事業用地")</f>
        <v>湊町地区開発事業用地</v>
      </c>
      <c r="C2026" s="14" t="s">
        <v>1513</v>
      </c>
      <c r="D2026" s="14" t="s">
        <v>319</v>
      </c>
      <c r="E2026" s="1">
        <v>9663.5400000000009</v>
      </c>
      <c r="F2026" s="2"/>
      <c r="G2026" s="1"/>
      <c r="H2026" s="3"/>
      <c r="I2026" s="14" t="s">
        <v>1633</v>
      </c>
    </row>
    <row r="2027" spans="1:9" ht="18.75" customHeight="1" x14ac:dyDescent="0.4">
      <c r="A2027" s="14" t="s">
        <v>2176</v>
      </c>
      <c r="B2027" s="16" t="str">
        <f>TRIM("ＪＲ関西本線連続立体交差事業")</f>
        <v>ＪＲ関西本線連続立体交差事業</v>
      </c>
      <c r="C2027" s="14" t="s">
        <v>1513</v>
      </c>
      <c r="D2027" s="14" t="s">
        <v>319</v>
      </c>
      <c r="E2027" s="1">
        <v>175.09</v>
      </c>
      <c r="F2027" s="2"/>
      <c r="G2027" s="1"/>
      <c r="H2027" s="3"/>
      <c r="I2027" s="14" t="s">
        <v>2177</v>
      </c>
    </row>
    <row r="2028" spans="1:9" ht="18.75" customHeight="1" x14ac:dyDescent="0.4">
      <c r="A2028" s="14" t="s">
        <v>2337</v>
      </c>
      <c r="B2028" s="16" t="str">
        <f>TRIM("浪速鶴町線（浪速）（管財課）")</f>
        <v>浪速鶴町線（浪速）（管財課）</v>
      </c>
      <c r="C2028" s="14" t="s">
        <v>1513</v>
      </c>
      <c r="D2028" s="14" t="s">
        <v>319</v>
      </c>
      <c r="E2028" s="1">
        <v>6755.81</v>
      </c>
      <c r="F2028" s="2"/>
      <c r="G2028" s="1"/>
      <c r="H2028" s="3"/>
      <c r="I2028" s="14" t="s">
        <v>2177</v>
      </c>
    </row>
    <row r="2029" spans="1:9" ht="18.75" customHeight="1" x14ac:dyDescent="0.4">
      <c r="A2029" s="14" t="s">
        <v>5054</v>
      </c>
      <c r="B2029" s="16" t="str">
        <f>TRIM("難波元町小学校")</f>
        <v>難波元町小学校</v>
      </c>
      <c r="C2029" s="14" t="s">
        <v>1513</v>
      </c>
      <c r="D2029" s="14" t="s">
        <v>880</v>
      </c>
      <c r="E2029" s="1">
        <v>6832.12</v>
      </c>
      <c r="F2029" s="2"/>
      <c r="G2029" s="1">
        <v>6305.45</v>
      </c>
      <c r="H2029" s="3"/>
      <c r="I2029" s="14" t="s">
        <v>4689</v>
      </c>
    </row>
    <row r="2030" spans="1:9" ht="18.75" customHeight="1" x14ac:dyDescent="0.4">
      <c r="A2030" s="14" t="s">
        <v>5330</v>
      </c>
      <c r="B2030" s="16" t="str">
        <f>TRIM("浪速消防署")</f>
        <v>浪速消防署</v>
      </c>
      <c r="C2030" s="14" t="s">
        <v>1513</v>
      </c>
      <c r="D2030" s="14" t="s">
        <v>880</v>
      </c>
      <c r="E2030" s="1">
        <v>971.68</v>
      </c>
      <c r="F2030" s="2"/>
      <c r="G2030" s="1">
        <v>3583.49</v>
      </c>
      <c r="H2030" s="3"/>
      <c r="I2030" s="14" t="s">
        <v>5219</v>
      </c>
    </row>
    <row r="2031" spans="1:9" ht="18.75" customHeight="1" x14ac:dyDescent="0.4">
      <c r="A2031" s="14" t="s">
        <v>2672</v>
      </c>
      <c r="B2031" s="16" t="str">
        <f>TRIM("　元町中公園")</f>
        <v>元町中公園</v>
      </c>
      <c r="C2031" s="14" t="s">
        <v>1513</v>
      </c>
      <c r="D2031" s="14" t="s">
        <v>880</v>
      </c>
      <c r="E2031" s="1">
        <v>3325.8</v>
      </c>
      <c r="F2031" s="2"/>
      <c r="G2031" s="1"/>
      <c r="H2031" s="3"/>
      <c r="I2031" s="14" t="s">
        <v>2177</v>
      </c>
    </row>
    <row r="2032" spans="1:9" ht="18.75" customHeight="1" x14ac:dyDescent="0.4">
      <c r="A2032" s="14" t="s">
        <v>4448</v>
      </c>
      <c r="B2032" s="16" t="str">
        <f>TRIM("元町1丁目北振興町会集会所")</f>
        <v>元町1丁目北振興町会集会所</v>
      </c>
      <c r="C2032" s="14" t="s">
        <v>1513</v>
      </c>
      <c r="D2032" s="14" t="s">
        <v>880</v>
      </c>
      <c r="E2032" s="1"/>
      <c r="F2032" s="2"/>
      <c r="G2032" s="1">
        <v>49.68</v>
      </c>
      <c r="H2032" s="3"/>
      <c r="I2032" s="14" t="s">
        <v>4439</v>
      </c>
    </row>
    <row r="2033" spans="1:9" ht="18.75" customHeight="1" x14ac:dyDescent="0.4">
      <c r="A2033" s="14" t="s">
        <v>6823</v>
      </c>
      <c r="B2033" s="16" t="str">
        <f>TRIM("肩替地（湊町）・（江戸堀）")</f>
        <v>肩替地（湊町）・（江戸堀）</v>
      </c>
      <c r="C2033" s="14" t="s">
        <v>1513</v>
      </c>
      <c r="D2033" s="14" t="s">
        <v>880</v>
      </c>
      <c r="E2033" s="1">
        <v>47.66</v>
      </c>
      <c r="F2033" s="2"/>
      <c r="G2033" s="1"/>
      <c r="H2033" s="3"/>
      <c r="I2033" s="14" t="s">
        <v>6177</v>
      </c>
    </row>
    <row r="2034" spans="1:9" ht="18.75" customHeight="1" x14ac:dyDescent="0.4">
      <c r="A2034" s="14" t="s">
        <v>4441</v>
      </c>
      <c r="B2034" s="16" t="str">
        <f>TRIM(" 難波元町西会館")</f>
        <v>難波元町西会館</v>
      </c>
      <c r="C2034" s="14" t="s">
        <v>1513</v>
      </c>
      <c r="D2034" s="14" t="s">
        <v>1296</v>
      </c>
      <c r="E2034" s="1">
        <v>280</v>
      </c>
      <c r="F2034" s="2"/>
      <c r="G2034" s="1">
        <v>172.15</v>
      </c>
      <c r="H2034" s="3"/>
      <c r="I2034" s="14" t="s">
        <v>4439</v>
      </c>
    </row>
    <row r="2035" spans="1:9" ht="18.75" customHeight="1" x14ac:dyDescent="0.4">
      <c r="A2035" s="14" t="s">
        <v>3489</v>
      </c>
      <c r="B2035" s="16" t="str">
        <f>TRIM("難波塩草敷津公園")</f>
        <v>難波塩草敷津公園</v>
      </c>
      <c r="C2035" s="14" t="s">
        <v>1513</v>
      </c>
      <c r="D2035" s="14" t="s">
        <v>1296</v>
      </c>
      <c r="E2035" s="1">
        <v>6817.06</v>
      </c>
      <c r="F2035" s="2"/>
      <c r="G2035" s="1"/>
      <c r="H2035" s="3"/>
      <c r="I2035" s="14" t="s">
        <v>2177</v>
      </c>
    </row>
    <row r="2036" spans="1:9" ht="18.75" customHeight="1" x14ac:dyDescent="0.4">
      <c r="A2036" s="14" t="s">
        <v>4463</v>
      </c>
      <c r="B2036" s="16" t="str">
        <f>TRIM("元町老人憩の家")</f>
        <v>元町老人憩の家</v>
      </c>
      <c r="C2036" s="14" t="s">
        <v>1513</v>
      </c>
      <c r="D2036" s="14" t="s">
        <v>1454</v>
      </c>
      <c r="E2036" s="1">
        <v>163.72999999999999</v>
      </c>
      <c r="F2036" s="2"/>
      <c r="G2036" s="1"/>
      <c r="H2036" s="3"/>
      <c r="I2036" s="14" t="s">
        <v>4439</v>
      </c>
    </row>
    <row r="2037" spans="1:9" ht="18.75" customHeight="1" x14ac:dyDescent="0.4">
      <c r="A2037" s="14" t="s">
        <v>6220</v>
      </c>
      <c r="B2037" s="16" t="str">
        <f>TRIM("柏里処分住宅用地")</f>
        <v>柏里処分住宅用地</v>
      </c>
      <c r="C2037" s="14" t="s">
        <v>1528</v>
      </c>
      <c r="D2037" s="14" t="s">
        <v>703</v>
      </c>
      <c r="E2037" s="1">
        <v>36.35</v>
      </c>
      <c r="F2037" s="2"/>
      <c r="G2037" s="1"/>
      <c r="H2037" s="3"/>
      <c r="I2037" s="14" t="s">
        <v>6177</v>
      </c>
    </row>
    <row r="2038" spans="1:9" ht="18.75" customHeight="1" x14ac:dyDescent="0.4">
      <c r="A2038" s="14" t="s">
        <v>4752</v>
      </c>
      <c r="B2038" s="16" t="str">
        <f>TRIM("歌島小学校")</f>
        <v>歌島小学校</v>
      </c>
      <c r="C2038" s="14" t="s">
        <v>1528</v>
      </c>
      <c r="D2038" s="14" t="s">
        <v>524</v>
      </c>
      <c r="E2038" s="1">
        <v>8597.65</v>
      </c>
      <c r="F2038" s="2"/>
      <c r="G2038" s="1">
        <v>5554.67</v>
      </c>
      <c r="H2038" s="3"/>
      <c r="I2038" s="14" t="s">
        <v>4689</v>
      </c>
    </row>
    <row r="2039" spans="1:9" ht="18.75" customHeight="1" x14ac:dyDescent="0.4">
      <c r="A2039" s="14" t="s">
        <v>4753</v>
      </c>
      <c r="B2039" s="16" t="str">
        <f>TRIM("歌島中学校")</f>
        <v>歌島中学校</v>
      </c>
      <c r="C2039" s="14" t="s">
        <v>1528</v>
      </c>
      <c r="D2039" s="14" t="s">
        <v>524</v>
      </c>
      <c r="E2039" s="1">
        <v>17551.37</v>
      </c>
      <c r="F2039" s="2"/>
      <c r="G2039" s="1">
        <v>11210.16</v>
      </c>
      <c r="H2039" s="3"/>
      <c r="I2039" s="14" t="s">
        <v>4689</v>
      </c>
    </row>
    <row r="2040" spans="1:9" ht="18.75" customHeight="1" x14ac:dyDescent="0.4">
      <c r="A2040" s="14" t="s">
        <v>5821</v>
      </c>
      <c r="B2040" s="16" t="str">
        <f>TRIM("野里幼稚園")</f>
        <v>野里幼稚園</v>
      </c>
      <c r="C2040" s="14" t="s">
        <v>1528</v>
      </c>
      <c r="D2040" s="14" t="s">
        <v>524</v>
      </c>
      <c r="E2040" s="1">
        <v>2581.2399999999998</v>
      </c>
      <c r="F2040" s="2"/>
      <c r="G2040" s="1">
        <v>1149.2</v>
      </c>
      <c r="H2040" s="3"/>
      <c r="I2040" s="14" t="s">
        <v>5617</v>
      </c>
    </row>
    <row r="2041" spans="1:9" ht="18.75" customHeight="1" x14ac:dyDescent="0.4">
      <c r="A2041" s="14" t="s">
        <v>6721</v>
      </c>
      <c r="B2041" s="16" t="str">
        <f>TRIM("歌島第2住宅")</f>
        <v>歌島第2住宅</v>
      </c>
      <c r="C2041" s="14" t="s">
        <v>1528</v>
      </c>
      <c r="D2041" s="14" t="s">
        <v>854</v>
      </c>
      <c r="E2041" s="1">
        <v>20013.18</v>
      </c>
      <c r="F2041" s="2"/>
      <c r="G2041" s="1">
        <v>24707.31</v>
      </c>
      <c r="H2041" s="3"/>
      <c r="I2041" s="14" t="s">
        <v>6177</v>
      </c>
    </row>
    <row r="2042" spans="1:9" ht="18.75" customHeight="1" x14ac:dyDescent="0.4">
      <c r="A2042" s="14" t="s">
        <v>3317</v>
      </c>
      <c r="B2042" s="16" t="str">
        <f>TRIM("　北之町公園")</f>
        <v>北之町公園</v>
      </c>
      <c r="C2042" s="14" t="s">
        <v>1528</v>
      </c>
      <c r="D2042" s="14" t="s">
        <v>854</v>
      </c>
      <c r="E2042" s="1">
        <v>3864.46</v>
      </c>
      <c r="F2042" s="2"/>
      <c r="G2042" s="1"/>
      <c r="H2042" s="3"/>
      <c r="I2042" s="14" t="s">
        <v>2177</v>
      </c>
    </row>
    <row r="2043" spans="1:9" ht="18.75" customHeight="1" x14ac:dyDescent="0.4">
      <c r="A2043" s="14" t="s">
        <v>3678</v>
      </c>
      <c r="B2043" s="16" t="str">
        <f>TRIM("　北之町公園")</f>
        <v>北之町公園</v>
      </c>
      <c r="C2043" s="14" t="s">
        <v>1528</v>
      </c>
      <c r="D2043" s="14" t="s">
        <v>854</v>
      </c>
      <c r="E2043" s="1"/>
      <c r="F2043" s="2"/>
      <c r="G2043" s="1">
        <v>6.17</v>
      </c>
      <c r="H2043" s="3"/>
      <c r="I2043" s="14" t="s">
        <v>2177</v>
      </c>
    </row>
    <row r="2044" spans="1:9" ht="18.75" customHeight="1" x14ac:dyDescent="0.4">
      <c r="A2044" s="14" t="s">
        <v>6330</v>
      </c>
      <c r="B2044" s="16" t="str">
        <f>TRIM("歌島住宅")</f>
        <v>歌島住宅</v>
      </c>
      <c r="C2044" s="14" t="s">
        <v>1528</v>
      </c>
      <c r="D2044" s="14" t="s">
        <v>730</v>
      </c>
      <c r="E2044" s="1">
        <v>10704.95</v>
      </c>
      <c r="F2044" s="2"/>
      <c r="G2044" s="1">
        <v>9873.9</v>
      </c>
      <c r="H2044" s="3"/>
      <c r="I2044" s="14" t="s">
        <v>6177</v>
      </c>
    </row>
    <row r="2045" spans="1:9" ht="18.75" customHeight="1" x14ac:dyDescent="0.4">
      <c r="A2045" s="14" t="s">
        <v>6331</v>
      </c>
      <c r="B2045" s="16" t="str">
        <f>TRIM("歌島北住宅")</f>
        <v>歌島北住宅</v>
      </c>
      <c r="C2045" s="14" t="s">
        <v>1528</v>
      </c>
      <c r="D2045" s="14" t="s">
        <v>730</v>
      </c>
      <c r="E2045" s="1">
        <v>5878.84</v>
      </c>
      <c r="F2045" s="2"/>
      <c r="G2045" s="1">
        <v>5472.23</v>
      </c>
      <c r="H2045" s="3"/>
      <c r="I2045" s="14" t="s">
        <v>6177</v>
      </c>
    </row>
    <row r="2046" spans="1:9" ht="18.75" customHeight="1" x14ac:dyDescent="0.4">
      <c r="A2046" s="14" t="s">
        <v>6811</v>
      </c>
      <c r="B2046" s="16" t="str">
        <f>TRIM("肩替地（第二阪神）")</f>
        <v>肩替地（第二阪神）</v>
      </c>
      <c r="C2046" s="14" t="s">
        <v>1528</v>
      </c>
      <c r="D2046" s="14" t="s">
        <v>875</v>
      </c>
      <c r="E2046" s="1">
        <v>24.08</v>
      </c>
      <c r="F2046" s="2"/>
      <c r="G2046" s="1"/>
      <c r="H2046" s="3"/>
      <c r="I2046" s="14" t="s">
        <v>6177</v>
      </c>
    </row>
    <row r="2047" spans="1:9" ht="18.75" customHeight="1" x14ac:dyDescent="0.4">
      <c r="A2047" s="14" t="s">
        <v>6833</v>
      </c>
      <c r="B2047" s="16" t="str">
        <f>TRIM("もと区画整理事業用地（南部工区・西淀川）")</f>
        <v>もと区画整理事業用地（南部工区・西淀川）</v>
      </c>
      <c r="C2047" s="14" t="s">
        <v>1528</v>
      </c>
      <c r="D2047" s="14" t="s">
        <v>875</v>
      </c>
      <c r="E2047" s="1">
        <v>342.61</v>
      </c>
      <c r="F2047" s="2"/>
      <c r="G2047" s="1"/>
      <c r="H2047" s="3"/>
      <c r="I2047" s="14" t="s">
        <v>6177</v>
      </c>
    </row>
    <row r="2048" spans="1:9" ht="18.75" customHeight="1" x14ac:dyDescent="0.4">
      <c r="A2048" s="14" t="s">
        <v>3462</v>
      </c>
      <c r="B2048" s="16" t="str">
        <f>TRIM("大野3公園")</f>
        <v>大野3公園</v>
      </c>
      <c r="C2048" s="14" t="s">
        <v>1528</v>
      </c>
      <c r="D2048" s="14" t="s">
        <v>610</v>
      </c>
      <c r="E2048" s="1">
        <v>1708.49</v>
      </c>
      <c r="F2048" s="2" t="s">
        <v>7290</v>
      </c>
      <c r="G2048" s="1"/>
      <c r="H2048" s="3"/>
      <c r="I2048" s="14" t="s">
        <v>2177</v>
      </c>
    </row>
    <row r="2049" spans="1:9" ht="18.75" customHeight="1" x14ac:dyDescent="0.4">
      <c r="A2049" s="14" t="s">
        <v>6486</v>
      </c>
      <c r="B2049" s="16" t="str">
        <f>TRIM("大野住宅")</f>
        <v>大野住宅</v>
      </c>
      <c r="C2049" s="14" t="s">
        <v>1528</v>
      </c>
      <c r="D2049" s="14" t="s">
        <v>610</v>
      </c>
      <c r="E2049" s="1">
        <v>2887.12</v>
      </c>
      <c r="F2049" s="2"/>
      <c r="G2049" s="1">
        <v>2953.42</v>
      </c>
      <c r="H2049" s="3"/>
      <c r="I2049" s="14" t="s">
        <v>6177</v>
      </c>
    </row>
    <row r="2050" spans="1:9" ht="18.75" customHeight="1" x14ac:dyDescent="0.4">
      <c r="A2050" s="14" t="s">
        <v>4482</v>
      </c>
      <c r="B2050" s="16" t="str">
        <f>TRIM("大野百島コミュニティ会館")</f>
        <v>大野百島コミュニティ会館</v>
      </c>
      <c r="C2050" s="14" t="s">
        <v>1528</v>
      </c>
      <c r="D2050" s="14" t="s">
        <v>610</v>
      </c>
      <c r="E2050" s="1"/>
      <c r="F2050" s="2"/>
      <c r="G2050" s="1">
        <v>123.57</v>
      </c>
      <c r="H2050" s="3"/>
      <c r="I2050" s="14" t="s">
        <v>2069</v>
      </c>
    </row>
    <row r="2051" spans="1:9" ht="18.75" customHeight="1" x14ac:dyDescent="0.4">
      <c r="A2051" s="14" t="s">
        <v>5951</v>
      </c>
      <c r="B2051" s="16" t="str">
        <f>TRIM("レイモンド西淀保育園")</f>
        <v>レイモンド西淀保育園</v>
      </c>
      <c r="C2051" s="14" t="s">
        <v>1528</v>
      </c>
      <c r="D2051" s="14" t="s">
        <v>610</v>
      </c>
      <c r="E2051" s="1">
        <v>689.87</v>
      </c>
      <c r="F2051" s="2"/>
      <c r="G2051" s="1"/>
      <c r="H2051" s="3"/>
      <c r="I2051" s="14" t="s">
        <v>5617</v>
      </c>
    </row>
    <row r="2052" spans="1:9" ht="18.75" customHeight="1" x14ac:dyDescent="0.4">
      <c r="A2052" s="14" t="s">
        <v>6143</v>
      </c>
      <c r="B2052" s="16" t="str">
        <f>TRIM("大野霊園")</f>
        <v>大野霊園</v>
      </c>
      <c r="C2052" s="14" t="s">
        <v>1528</v>
      </c>
      <c r="D2052" s="14" t="s">
        <v>610</v>
      </c>
      <c r="E2052" s="1">
        <v>1081.28</v>
      </c>
      <c r="F2052" s="2"/>
      <c r="G2052" s="1"/>
      <c r="H2052" s="3"/>
      <c r="I2052" s="14" t="s">
        <v>5977</v>
      </c>
    </row>
    <row r="2053" spans="1:9" ht="18.75" customHeight="1" x14ac:dyDescent="0.4">
      <c r="A2053" s="14" t="s">
        <v>2268</v>
      </c>
      <c r="B2053" s="16" t="str">
        <f>TRIM("大阪池田線（西淀川）（管財課）")</f>
        <v>大阪池田線（西淀川）（管財課）</v>
      </c>
      <c r="C2053" s="14" t="s">
        <v>1528</v>
      </c>
      <c r="D2053" s="14" t="s">
        <v>213</v>
      </c>
      <c r="E2053" s="1">
        <v>40153.120000000003</v>
      </c>
      <c r="F2053" s="2"/>
      <c r="G2053" s="1"/>
      <c r="H2053" s="3"/>
      <c r="I2053" s="14" t="s">
        <v>2177</v>
      </c>
    </row>
    <row r="2054" spans="1:9" ht="18.75" customHeight="1" x14ac:dyDescent="0.4">
      <c r="A2054" s="14" t="s">
        <v>2939</v>
      </c>
      <c r="B2054" s="16" t="str">
        <f>TRIM("　西淀公園")</f>
        <v>西淀公園</v>
      </c>
      <c r="C2054" s="14" t="s">
        <v>1528</v>
      </c>
      <c r="D2054" s="14" t="s">
        <v>213</v>
      </c>
      <c r="E2054" s="1">
        <v>32825.519999999997</v>
      </c>
      <c r="F2054" s="2"/>
      <c r="G2054" s="1"/>
      <c r="H2054" s="3"/>
      <c r="I2054" s="14" t="s">
        <v>2177</v>
      </c>
    </row>
    <row r="2055" spans="1:9" ht="18.75" customHeight="1" x14ac:dyDescent="0.4">
      <c r="A2055" s="14" t="s">
        <v>3600</v>
      </c>
      <c r="B2055" s="16" t="str">
        <f>TRIM("　西淀公園")</f>
        <v>西淀公園</v>
      </c>
      <c r="C2055" s="14" t="s">
        <v>1528</v>
      </c>
      <c r="D2055" s="14" t="s">
        <v>213</v>
      </c>
      <c r="E2055" s="1"/>
      <c r="F2055" s="2"/>
      <c r="G2055" s="1">
        <v>221.46</v>
      </c>
      <c r="H2055" s="3"/>
      <c r="I2055" s="14" t="s">
        <v>2177</v>
      </c>
    </row>
    <row r="2056" spans="1:9" ht="18.75" customHeight="1" x14ac:dyDescent="0.4">
      <c r="A2056" s="14" t="s">
        <v>3890</v>
      </c>
      <c r="B2056" s="16" t="str">
        <f>TRIM("大和田自転車保管所管理事務所")</f>
        <v>大和田自転車保管所管理事務所</v>
      </c>
      <c r="C2056" s="14" t="s">
        <v>1528</v>
      </c>
      <c r="D2056" s="14" t="s">
        <v>213</v>
      </c>
      <c r="E2056" s="1"/>
      <c r="F2056" s="2"/>
      <c r="G2056" s="1">
        <v>25.65</v>
      </c>
      <c r="H2056" s="3"/>
      <c r="I2056" s="14" t="s">
        <v>2177</v>
      </c>
    </row>
    <row r="2057" spans="1:9" ht="18.75" customHeight="1" x14ac:dyDescent="0.4">
      <c r="A2057" s="14" t="s">
        <v>5474</v>
      </c>
      <c r="B2057" s="16" t="str">
        <f>TRIM("契約管財局賃貸地（西淀川）")</f>
        <v>契約管財局賃貸地（西淀川）</v>
      </c>
      <c r="C2057" s="14" t="s">
        <v>1528</v>
      </c>
      <c r="D2057" s="14" t="s">
        <v>213</v>
      </c>
      <c r="E2057" s="1">
        <v>134.87</v>
      </c>
      <c r="F2057" s="2"/>
      <c r="G2057" s="1"/>
      <c r="H2057" s="3"/>
      <c r="I2057" s="14" t="s">
        <v>5349</v>
      </c>
    </row>
    <row r="2058" spans="1:9" ht="18.75" customHeight="1" x14ac:dyDescent="0.4">
      <c r="A2058" s="14" t="s">
        <v>4480</v>
      </c>
      <c r="B2058" s="16" t="str">
        <f>TRIM("西淀川区民会館")</f>
        <v>西淀川区民会館</v>
      </c>
      <c r="C2058" s="14" t="s">
        <v>1528</v>
      </c>
      <c r="D2058" s="14" t="s">
        <v>389</v>
      </c>
      <c r="E2058" s="1">
        <v>2439.35</v>
      </c>
      <c r="F2058" s="2"/>
      <c r="G2058" s="1">
        <v>1071.6099999999999</v>
      </c>
      <c r="H2058" s="3"/>
      <c r="I2058" s="14" t="s">
        <v>2069</v>
      </c>
    </row>
    <row r="2059" spans="1:9" ht="18.75" customHeight="1" x14ac:dyDescent="0.4">
      <c r="A2059" s="14" t="s">
        <v>6040</v>
      </c>
      <c r="B2059" s="16" t="str">
        <f>TRIM("西北環境事業センター")</f>
        <v>西北環境事業センター</v>
      </c>
      <c r="C2059" s="14" t="s">
        <v>1528</v>
      </c>
      <c r="D2059" s="14" t="s">
        <v>389</v>
      </c>
      <c r="E2059" s="1">
        <v>8023.89</v>
      </c>
      <c r="F2059" s="2"/>
      <c r="G2059" s="1">
        <v>4355.0200000000004</v>
      </c>
      <c r="H2059" s="3"/>
      <c r="I2059" s="14" t="s">
        <v>5977</v>
      </c>
    </row>
    <row r="2060" spans="1:9" ht="18.75" customHeight="1" x14ac:dyDescent="0.4">
      <c r="A2060" s="14" t="s">
        <v>6495</v>
      </c>
      <c r="B2060" s="16" t="str">
        <f>TRIM("大和田第3住宅")</f>
        <v>大和田第3住宅</v>
      </c>
      <c r="C2060" s="14" t="s">
        <v>1528</v>
      </c>
      <c r="D2060" s="14" t="s">
        <v>389</v>
      </c>
      <c r="E2060" s="1">
        <v>6649.8</v>
      </c>
      <c r="F2060" s="2"/>
      <c r="G2060" s="1">
        <v>14517.5</v>
      </c>
      <c r="H2060" s="3"/>
      <c r="I2060" s="14" t="s">
        <v>6177</v>
      </c>
    </row>
    <row r="2061" spans="1:9" ht="18.75" customHeight="1" x14ac:dyDescent="0.4">
      <c r="A2061" s="14" t="s">
        <v>1893</v>
      </c>
      <c r="B2061" s="16" t="str">
        <f>TRIM("西淀川特別養護老人ホーム・淀地域在宅サービスステーション・障がい福祉サービス事業所よつば")</f>
        <v>西淀川特別養護老人ホーム・淀地域在宅サービスステーション・障がい福祉サービス事業所よつば</v>
      </c>
      <c r="C2061" s="14" t="s">
        <v>1528</v>
      </c>
      <c r="D2061" s="14" t="s">
        <v>389</v>
      </c>
      <c r="E2061" s="1">
        <v>2608.1</v>
      </c>
      <c r="F2061" s="2"/>
      <c r="G2061" s="1"/>
      <c r="H2061" s="3"/>
      <c r="I2061" s="14" t="s">
        <v>1654</v>
      </c>
    </row>
    <row r="2062" spans="1:9" ht="18.75" customHeight="1" x14ac:dyDescent="0.4">
      <c r="A2062" s="14" t="s">
        <v>2469</v>
      </c>
      <c r="B2062" s="16" t="str">
        <f>TRIM("運河（西淀川）")</f>
        <v>運河（西淀川）</v>
      </c>
      <c r="C2062" s="14" t="s">
        <v>1528</v>
      </c>
      <c r="D2062" s="14" t="s">
        <v>389</v>
      </c>
      <c r="E2062" s="1">
        <v>1980.16</v>
      </c>
      <c r="F2062" s="2"/>
      <c r="G2062" s="1"/>
      <c r="H2062" s="3"/>
      <c r="I2062" s="14" t="s">
        <v>2177</v>
      </c>
    </row>
    <row r="2063" spans="1:9" ht="18.75" customHeight="1" x14ac:dyDescent="0.4">
      <c r="A2063" s="14" t="s">
        <v>5263</v>
      </c>
      <c r="B2063" s="16" t="str">
        <f>TRIM("西淀川消防署大和田出張所")</f>
        <v>西淀川消防署大和田出張所</v>
      </c>
      <c r="C2063" s="14" t="s">
        <v>1528</v>
      </c>
      <c r="D2063" s="14" t="s">
        <v>389</v>
      </c>
      <c r="E2063" s="1">
        <v>677.95</v>
      </c>
      <c r="F2063" s="2"/>
      <c r="G2063" s="1"/>
      <c r="H2063" s="3"/>
      <c r="I2063" s="14" t="s">
        <v>5219</v>
      </c>
    </row>
    <row r="2064" spans="1:9" ht="18.75" customHeight="1" x14ac:dyDescent="0.4">
      <c r="A2064" s="14" t="s">
        <v>6068</v>
      </c>
      <c r="B2064" s="16" t="str">
        <f>TRIM("西淀工場")</f>
        <v>西淀工場</v>
      </c>
      <c r="C2064" s="14" t="s">
        <v>1528</v>
      </c>
      <c r="D2064" s="14" t="s">
        <v>389</v>
      </c>
      <c r="E2064" s="1">
        <v>24883.42</v>
      </c>
      <c r="F2064" s="2"/>
      <c r="G2064" s="1"/>
      <c r="H2064" s="3"/>
      <c r="I2064" s="14" t="s">
        <v>5977</v>
      </c>
    </row>
    <row r="2065" spans="1:9" ht="18.75" customHeight="1" x14ac:dyDescent="0.4">
      <c r="A2065" s="14" t="s">
        <v>6080</v>
      </c>
      <c r="B2065" s="16" t="str">
        <f>TRIM("西淀川屋内プール")</f>
        <v>西淀川屋内プール</v>
      </c>
      <c r="C2065" s="14" t="s">
        <v>1528</v>
      </c>
      <c r="D2065" s="14" t="s">
        <v>389</v>
      </c>
      <c r="E2065" s="1"/>
      <c r="F2065" s="2"/>
      <c r="G2065" s="1">
        <v>2737.1</v>
      </c>
      <c r="H2065" s="3"/>
      <c r="I2065" s="14" t="s">
        <v>5977</v>
      </c>
    </row>
    <row r="2066" spans="1:9" ht="18.75" customHeight="1" x14ac:dyDescent="0.4">
      <c r="A2066" s="14" t="s">
        <v>3465</v>
      </c>
      <c r="B2066" s="16" t="str">
        <f>TRIM("大和田中一公園")</f>
        <v>大和田中一公園</v>
      </c>
      <c r="C2066" s="14" t="s">
        <v>1528</v>
      </c>
      <c r="D2066" s="14" t="s">
        <v>1289</v>
      </c>
      <c r="E2066" s="1">
        <v>1330.29</v>
      </c>
      <c r="F2066" s="2" t="s">
        <v>7289</v>
      </c>
      <c r="G2066" s="1"/>
      <c r="H2066" s="3"/>
      <c r="I2066" s="14" t="s">
        <v>2177</v>
      </c>
    </row>
    <row r="2067" spans="1:9" ht="18.75" customHeight="1" x14ac:dyDescent="0.4">
      <c r="A2067" s="14" t="s">
        <v>3513</v>
      </c>
      <c r="B2067" s="16" t="str">
        <f>TRIM("もと大和田中一公園")</f>
        <v>もと大和田中一公園</v>
      </c>
      <c r="C2067" s="14" t="s">
        <v>1528</v>
      </c>
      <c r="D2067" s="14" t="s">
        <v>1289</v>
      </c>
      <c r="E2067" s="1">
        <v>354.74</v>
      </c>
      <c r="F2067" s="2" t="s">
        <v>7288</v>
      </c>
      <c r="G2067" s="1"/>
      <c r="H2067" s="3"/>
      <c r="I2067" s="14" t="s">
        <v>2177</v>
      </c>
    </row>
    <row r="2068" spans="1:9" ht="18.75" customHeight="1" x14ac:dyDescent="0.4">
      <c r="A2068" s="14" t="s">
        <v>4483</v>
      </c>
      <c r="B2068" s="16" t="str">
        <f>TRIM("大和田会館")</f>
        <v>大和田会館</v>
      </c>
      <c r="C2068" s="14" t="s">
        <v>1528</v>
      </c>
      <c r="D2068" s="14" t="s">
        <v>1289</v>
      </c>
      <c r="E2068" s="1"/>
      <c r="F2068" s="2"/>
      <c r="G2068" s="1">
        <v>134.63999999999999</v>
      </c>
      <c r="H2068" s="3"/>
      <c r="I2068" s="14" t="s">
        <v>2069</v>
      </c>
    </row>
    <row r="2069" spans="1:9" ht="18.75" customHeight="1" x14ac:dyDescent="0.4">
      <c r="A2069" s="14" t="s">
        <v>2080</v>
      </c>
      <c r="B2069" s="16" t="str">
        <f>TRIM("大和田福祉会館（もと大和田老人憩の家）")</f>
        <v>大和田福祉会館（もと大和田老人憩の家）</v>
      </c>
      <c r="C2069" s="14" t="s">
        <v>1528</v>
      </c>
      <c r="D2069" s="14" t="s">
        <v>509</v>
      </c>
      <c r="E2069" s="1">
        <v>266.18</v>
      </c>
      <c r="F2069" s="2"/>
      <c r="G2069" s="1">
        <v>122.31</v>
      </c>
      <c r="H2069" s="3"/>
      <c r="I2069" s="14" t="s">
        <v>2069</v>
      </c>
    </row>
    <row r="2070" spans="1:9" ht="18.75" customHeight="1" x14ac:dyDescent="0.4">
      <c r="A2070" s="14" t="s">
        <v>4950</v>
      </c>
      <c r="B2070" s="16" t="str">
        <f>TRIM("大和田小学校")</f>
        <v>大和田小学校</v>
      </c>
      <c r="C2070" s="14" t="s">
        <v>1528</v>
      </c>
      <c r="D2070" s="14" t="s">
        <v>509</v>
      </c>
      <c r="E2070" s="1">
        <v>11184.45</v>
      </c>
      <c r="F2070" s="2"/>
      <c r="G2070" s="1">
        <v>11110.33</v>
      </c>
      <c r="H2070" s="3"/>
      <c r="I2070" s="14" t="s">
        <v>4689</v>
      </c>
    </row>
    <row r="2071" spans="1:9" ht="18.75" customHeight="1" x14ac:dyDescent="0.4">
      <c r="A2071" s="14" t="s">
        <v>5801</v>
      </c>
      <c r="B2071" s="16" t="str">
        <f>TRIM("大和田幼稚園")</f>
        <v>大和田幼稚園</v>
      </c>
      <c r="C2071" s="14" t="s">
        <v>1528</v>
      </c>
      <c r="D2071" s="14" t="s">
        <v>509</v>
      </c>
      <c r="E2071" s="1">
        <v>1980</v>
      </c>
      <c r="F2071" s="2"/>
      <c r="G2071" s="1">
        <v>920.61</v>
      </c>
      <c r="H2071" s="3"/>
      <c r="I2071" s="14" t="s">
        <v>5617</v>
      </c>
    </row>
    <row r="2072" spans="1:9" ht="18.75" customHeight="1" x14ac:dyDescent="0.4">
      <c r="A2072" s="14" t="s">
        <v>2284</v>
      </c>
      <c r="B2072" s="16" t="str">
        <f>TRIM("大和田千船線（西淀川）（管財課）")</f>
        <v>大和田千船線（西淀川）（管財課）</v>
      </c>
      <c r="C2072" s="14" t="s">
        <v>1528</v>
      </c>
      <c r="D2072" s="14" t="s">
        <v>509</v>
      </c>
      <c r="E2072" s="1">
        <v>3031.75</v>
      </c>
      <c r="F2072" s="2"/>
      <c r="G2072" s="1"/>
      <c r="H2072" s="3"/>
      <c r="I2072" s="14" t="s">
        <v>2177</v>
      </c>
    </row>
    <row r="2073" spans="1:9" ht="18.75" customHeight="1" x14ac:dyDescent="0.4">
      <c r="A2073" s="14" t="s">
        <v>3008</v>
      </c>
      <c r="B2073" s="16" t="str">
        <f>TRIM("　大和田中央公園")</f>
        <v>大和田中央公園</v>
      </c>
      <c r="C2073" s="14" t="s">
        <v>1528</v>
      </c>
      <c r="D2073" s="14" t="s">
        <v>509</v>
      </c>
      <c r="E2073" s="1">
        <v>12309.61</v>
      </c>
      <c r="F2073" s="2"/>
      <c r="G2073" s="1"/>
      <c r="H2073" s="3"/>
      <c r="I2073" s="14" t="s">
        <v>2177</v>
      </c>
    </row>
    <row r="2074" spans="1:9" ht="18.75" customHeight="1" x14ac:dyDescent="0.4">
      <c r="A2074" s="14" t="s">
        <v>3609</v>
      </c>
      <c r="B2074" s="16" t="str">
        <f>TRIM("　大和田中央公園")</f>
        <v>大和田中央公園</v>
      </c>
      <c r="C2074" s="14" t="s">
        <v>1528</v>
      </c>
      <c r="D2074" s="14" t="s">
        <v>509</v>
      </c>
      <c r="E2074" s="1"/>
      <c r="F2074" s="2"/>
      <c r="G2074" s="1">
        <v>19.2</v>
      </c>
      <c r="H2074" s="3"/>
      <c r="I2074" s="14" t="s">
        <v>2177</v>
      </c>
    </row>
    <row r="2075" spans="1:9" ht="18.75" customHeight="1" x14ac:dyDescent="0.4">
      <c r="A2075" s="14" t="s">
        <v>4484</v>
      </c>
      <c r="B2075" s="16" t="str">
        <f>TRIM("大和田福祉会館")</f>
        <v>大和田福祉会館</v>
      </c>
      <c r="C2075" s="14" t="s">
        <v>1528</v>
      </c>
      <c r="D2075" s="14" t="s">
        <v>509</v>
      </c>
      <c r="E2075" s="1"/>
      <c r="F2075" s="2"/>
      <c r="G2075" s="1">
        <v>122.31</v>
      </c>
      <c r="H2075" s="3"/>
      <c r="I2075" s="14" t="s">
        <v>2069</v>
      </c>
    </row>
    <row r="2076" spans="1:9" ht="18.75" customHeight="1" x14ac:dyDescent="0.4">
      <c r="A2076" s="14" t="s">
        <v>6494</v>
      </c>
      <c r="B2076" s="16" t="str">
        <f>TRIM("大和田第1住宅")</f>
        <v>大和田第1住宅</v>
      </c>
      <c r="C2076" s="14" t="s">
        <v>1528</v>
      </c>
      <c r="D2076" s="14" t="s">
        <v>584</v>
      </c>
      <c r="E2076" s="1">
        <v>7745.33</v>
      </c>
      <c r="F2076" s="2"/>
      <c r="G2076" s="1">
        <v>12844.1</v>
      </c>
      <c r="H2076" s="3"/>
      <c r="I2076" s="14" t="s">
        <v>6177</v>
      </c>
    </row>
    <row r="2077" spans="1:9" ht="18.75" customHeight="1" x14ac:dyDescent="0.4">
      <c r="A2077" s="14" t="s">
        <v>3009</v>
      </c>
      <c r="B2077" s="16" t="str">
        <f>TRIM("　大和田北公園")</f>
        <v>大和田北公園</v>
      </c>
      <c r="C2077" s="14" t="s">
        <v>1528</v>
      </c>
      <c r="D2077" s="14" t="s">
        <v>584</v>
      </c>
      <c r="E2077" s="1">
        <v>4616.1499999999996</v>
      </c>
      <c r="F2077" s="2"/>
      <c r="G2077" s="1"/>
      <c r="H2077" s="3"/>
      <c r="I2077" s="14" t="s">
        <v>2177</v>
      </c>
    </row>
    <row r="2078" spans="1:9" ht="18.75" customHeight="1" x14ac:dyDescent="0.4">
      <c r="A2078" s="14" t="s">
        <v>3610</v>
      </c>
      <c r="B2078" s="16" t="str">
        <f>TRIM("　大和田北公園")</f>
        <v>大和田北公園</v>
      </c>
      <c r="C2078" s="14" t="s">
        <v>1528</v>
      </c>
      <c r="D2078" s="14" t="s">
        <v>584</v>
      </c>
      <c r="E2078" s="1"/>
      <c r="F2078" s="2"/>
      <c r="G2078" s="1">
        <v>6.17</v>
      </c>
      <c r="H2078" s="3"/>
      <c r="I2078" s="14" t="s">
        <v>2177</v>
      </c>
    </row>
    <row r="2079" spans="1:9" ht="18.75" customHeight="1" x14ac:dyDescent="0.4">
      <c r="A2079" s="14" t="s">
        <v>5893</v>
      </c>
      <c r="B2079" s="16" t="str">
        <f>TRIM("キッズコート大和田保育園")</f>
        <v>キッズコート大和田保育園</v>
      </c>
      <c r="C2079" s="14" t="s">
        <v>1528</v>
      </c>
      <c r="D2079" s="14" t="s">
        <v>584</v>
      </c>
      <c r="E2079" s="1">
        <v>1010.98</v>
      </c>
      <c r="F2079" s="2"/>
      <c r="G2079" s="1"/>
      <c r="H2079" s="3"/>
      <c r="I2079" s="14" t="s">
        <v>5617</v>
      </c>
    </row>
    <row r="2080" spans="1:9" ht="18.75" customHeight="1" x14ac:dyDescent="0.4">
      <c r="A2080" s="14" t="s">
        <v>6208</v>
      </c>
      <c r="B2080" s="16" t="str">
        <f>TRIM("大和田第2住宅")</f>
        <v>大和田第2住宅</v>
      </c>
      <c r="C2080" s="14" t="s">
        <v>1528</v>
      </c>
      <c r="D2080" s="14" t="s">
        <v>655</v>
      </c>
      <c r="E2080" s="1">
        <v>1970.81</v>
      </c>
      <c r="F2080" s="2">
        <v>1082</v>
      </c>
      <c r="G2080" s="1"/>
      <c r="H2080" s="3"/>
      <c r="I2080" s="14" t="s">
        <v>6177</v>
      </c>
    </row>
    <row r="2081" spans="1:9" ht="18.75" customHeight="1" x14ac:dyDescent="0.4">
      <c r="A2081" s="14" t="s">
        <v>5140</v>
      </c>
      <c r="B2081" s="16" t="str">
        <f>TRIM("淀中学校")</f>
        <v>淀中学校</v>
      </c>
      <c r="C2081" s="14" t="s">
        <v>1528</v>
      </c>
      <c r="D2081" s="14" t="s">
        <v>655</v>
      </c>
      <c r="E2081" s="1">
        <v>12491.12</v>
      </c>
      <c r="F2081" s="2"/>
      <c r="G2081" s="1">
        <v>7730.35</v>
      </c>
      <c r="H2081" s="3"/>
      <c r="I2081" s="14" t="s">
        <v>4689</v>
      </c>
    </row>
    <row r="2082" spans="1:9" ht="18.75" customHeight="1" x14ac:dyDescent="0.4">
      <c r="A2082" s="14" t="s">
        <v>6144</v>
      </c>
      <c r="B2082" s="16" t="str">
        <f>TRIM("大和田霊園")</f>
        <v>大和田霊園</v>
      </c>
      <c r="C2082" s="14" t="s">
        <v>1528</v>
      </c>
      <c r="D2082" s="14" t="s">
        <v>655</v>
      </c>
      <c r="E2082" s="1">
        <v>456.19</v>
      </c>
      <c r="F2082" s="2"/>
      <c r="G2082" s="1"/>
      <c r="H2082" s="3"/>
      <c r="I2082" s="14" t="s">
        <v>5977</v>
      </c>
    </row>
    <row r="2083" spans="1:9" ht="18.75" customHeight="1" x14ac:dyDescent="0.4">
      <c r="A2083" s="14" t="s">
        <v>6808</v>
      </c>
      <c r="B2083" s="16" t="str">
        <f>TRIM("肩替地（大和田）")</f>
        <v>肩替地（大和田）</v>
      </c>
      <c r="C2083" s="14" t="s">
        <v>1528</v>
      </c>
      <c r="D2083" s="14" t="s">
        <v>655</v>
      </c>
      <c r="E2083" s="1">
        <v>51.79</v>
      </c>
      <c r="F2083" s="2"/>
      <c r="G2083" s="1"/>
      <c r="H2083" s="3"/>
      <c r="I2083" s="14" t="s">
        <v>6177</v>
      </c>
    </row>
    <row r="2084" spans="1:9" ht="18.75" customHeight="1" x14ac:dyDescent="0.4">
      <c r="A2084" s="14" t="s">
        <v>6848</v>
      </c>
      <c r="B2084" s="16" t="str">
        <f>TRIM("区画整理事業用地（西淀川大和田工区）")</f>
        <v>区画整理事業用地（西淀川大和田工区）</v>
      </c>
      <c r="C2084" s="14" t="s">
        <v>1528</v>
      </c>
      <c r="D2084" s="14" t="s">
        <v>655</v>
      </c>
      <c r="E2084" s="1">
        <v>211.37</v>
      </c>
      <c r="F2084" s="2"/>
      <c r="G2084" s="1"/>
      <c r="H2084" s="3"/>
      <c r="I2084" s="14" t="s">
        <v>6177</v>
      </c>
    </row>
    <row r="2085" spans="1:9" ht="18.75" customHeight="1" x14ac:dyDescent="0.4">
      <c r="A2085" s="14" t="s">
        <v>2617</v>
      </c>
      <c r="B2085" s="16" t="str">
        <f>TRIM("　花川公園")</f>
        <v>花川公園</v>
      </c>
      <c r="C2085" s="14" t="s">
        <v>1528</v>
      </c>
      <c r="D2085" s="14" t="s">
        <v>1017</v>
      </c>
      <c r="E2085" s="1">
        <v>2462.44</v>
      </c>
      <c r="F2085" s="2"/>
      <c r="G2085" s="1"/>
      <c r="H2085" s="3"/>
      <c r="I2085" s="14" t="s">
        <v>2177</v>
      </c>
    </row>
    <row r="2086" spans="1:9" ht="18.75" customHeight="1" x14ac:dyDescent="0.4">
      <c r="A2086" s="14" t="s">
        <v>3904</v>
      </c>
      <c r="B2086" s="16" t="str">
        <f>TRIM("塚本駅自転車駐車場管理ボックス")</f>
        <v>塚本駅自転車駐車場管理ボックス</v>
      </c>
      <c r="C2086" s="14" t="s">
        <v>1528</v>
      </c>
      <c r="D2086" s="14" t="s">
        <v>1017</v>
      </c>
      <c r="E2086" s="1"/>
      <c r="F2086" s="2"/>
      <c r="G2086" s="1">
        <v>1.2</v>
      </c>
      <c r="H2086" s="3"/>
      <c r="I2086" s="14" t="s">
        <v>2177</v>
      </c>
    </row>
    <row r="2087" spans="1:9" ht="18.75" customHeight="1" x14ac:dyDescent="0.4">
      <c r="A2087" s="14" t="s">
        <v>5066</v>
      </c>
      <c r="B2087" s="16" t="str">
        <f>TRIM("柏里小学校")</f>
        <v>柏里小学校</v>
      </c>
      <c r="C2087" s="14" t="s">
        <v>1528</v>
      </c>
      <c r="D2087" s="14" t="s">
        <v>963</v>
      </c>
      <c r="E2087" s="1">
        <v>8110.27</v>
      </c>
      <c r="F2087" s="2"/>
      <c r="G2087" s="1">
        <v>6051.19</v>
      </c>
      <c r="H2087" s="3"/>
      <c r="I2087" s="14" t="s">
        <v>4689</v>
      </c>
    </row>
    <row r="2088" spans="1:9" ht="18.75" customHeight="1" x14ac:dyDescent="0.4">
      <c r="A2088" s="14" t="s">
        <v>2329</v>
      </c>
      <c r="B2088" s="16" t="str">
        <f>TRIM("福町浜町線（西淀川）（管財課）")</f>
        <v>福町浜町線（西淀川）（管財課）</v>
      </c>
      <c r="C2088" s="14" t="s">
        <v>1528</v>
      </c>
      <c r="D2088" s="14" t="s">
        <v>963</v>
      </c>
      <c r="E2088" s="1">
        <v>232.19</v>
      </c>
      <c r="F2088" s="2"/>
      <c r="G2088" s="1"/>
      <c r="H2088" s="3"/>
      <c r="I2088" s="14" t="s">
        <v>2177</v>
      </c>
    </row>
    <row r="2089" spans="1:9" ht="18.75" customHeight="1" x14ac:dyDescent="0.4">
      <c r="A2089" s="14" t="s">
        <v>6625</v>
      </c>
      <c r="B2089" s="16" t="str">
        <f>TRIM("柏里住宅")</f>
        <v>柏里住宅</v>
      </c>
      <c r="C2089" s="14" t="s">
        <v>1528</v>
      </c>
      <c r="D2089" s="14" t="s">
        <v>824</v>
      </c>
      <c r="E2089" s="1">
        <v>17094.419999999998</v>
      </c>
      <c r="F2089" s="2"/>
      <c r="G2089" s="1">
        <v>2082.27</v>
      </c>
      <c r="H2089" s="3"/>
      <c r="I2089" s="14" t="s">
        <v>6177</v>
      </c>
    </row>
    <row r="2090" spans="1:9" ht="18.75" customHeight="1" x14ac:dyDescent="0.4">
      <c r="A2090" s="14" t="s">
        <v>6626</v>
      </c>
      <c r="B2090" s="16" t="str">
        <f>TRIM("柏里第2住宅")</f>
        <v>柏里第2住宅</v>
      </c>
      <c r="C2090" s="14" t="s">
        <v>1528</v>
      </c>
      <c r="D2090" s="14" t="s">
        <v>824</v>
      </c>
      <c r="E2090" s="1">
        <v>14980.15</v>
      </c>
      <c r="F2090" s="2"/>
      <c r="G2090" s="1">
        <v>21157.759999999998</v>
      </c>
      <c r="H2090" s="3"/>
      <c r="I2090" s="14" t="s">
        <v>6177</v>
      </c>
    </row>
    <row r="2091" spans="1:9" ht="18.75" customHeight="1" x14ac:dyDescent="0.4">
      <c r="A2091" s="14" t="s">
        <v>2125</v>
      </c>
      <c r="B2091" s="16" t="str">
        <f>TRIM("柏里会館")</f>
        <v>柏里会館</v>
      </c>
      <c r="C2091" s="14" t="s">
        <v>1528</v>
      </c>
      <c r="D2091" s="14" t="s">
        <v>824</v>
      </c>
      <c r="E2091" s="1">
        <v>235.9</v>
      </c>
      <c r="F2091" s="2"/>
      <c r="G2091" s="1"/>
      <c r="H2091" s="3"/>
      <c r="I2091" s="14" t="s">
        <v>2069</v>
      </c>
    </row>
    <row r="2092" spans="1:9" ht="18.75" customHeight="1" x14ac:dyDescent="0.4">
      <c r="A2092" s="14" t="s">
        <v>3234</v>
      </c>
      <c r="B2092" s="16" t="str">
        <f>TRIM("　柏里公園")</f>
        <v>柏里公園</v>
      </c>
      <c r="C2092" s="14" t="s">
        <v>1528</v>
      </c>
      <c r="D2092" s="14" t="s">
        <v>824</v>
      </c>
      <c r="E2092" s="1">
        <v>1045.99</v>
      </c>
      <c r="F2092" s="2"/>
      <c r="G2092" s="1"/>
      <c r="H2092" s="3"/>
      <c r="I2092" s="14" t="s">
        <v>2177</v>
      </c>
    </row>
    <row r="2093" spans="1:9" ht="18.75" customHeight="1" x14ac:dyDescent="0.4">
      <c r="A2093" s="14" t="s">
        <v>3235</v>
      </c>
      <c r="B2093" s="16" t="str">
        <f>TRIM("　柏里西公園")</f>
        <v>柏里西公園</v>
      </c>
      <c r="C2093" s="14" t="s">
        <v>1528</v>
      </c>
      <c r="D2093" s="14" t="s">
        <v>824</v>
      </c>
      <c r="E2093" s="1">
        <v>2500</v>
      </c>
      <c r="F2093" s="2"/>
      <c r="G2093" s="1"/>
      <c r="H2093" s="3"/>
      <c r="I2093" s="14" t="s">
        <v>2177</v>
      </c>
    </row>
    <row r="2094" spans="1:9" ht="18.75" customHeight="1" x14ac:dyDescent="0.4">
      <c r="A2094" s="14" t="s">
        <v>3760</v>
      </c>
      <c r="B2094" s="16" t="str">
        <f>TRIM("ＪＲ塚本駅自転車駐車場")</f>
        <v>ＪＲ塚本駅自転車駐車場</v>
      </c>
      <c r="C2094" s="14" t="s">
        <v>1528</v>
      </c>
      <c r="D2094" s="14" t="s">
        <v>824</v>
      </c>
      <c r="E2094" s="1"/>
      <c r="F2094" s="2"/>
      <c r="G2094" s="1">
        <v>978.74</v>
      </c>
      <c r="H2094" s="3"/>
      <c r="I2094" s="14" t="s">
        <v>2177</v>
      </c>
    </row>
    <row r="2095" spans="1:9" ht="18.75" customHeight="1" x14ac:dyDescent="0.4">
      <c r="A2095" s="14" t="s">
        <v>3960</v>
      </c>
      <c r="B2095" s="16" t="str">
        <f>TRIM("塚本駅自転車駐車場")</f>
        <v>塚本駅自転車駐車場</v>
      </c>
      <c r="C2095" s="14" t="s">
        <v>1528</v>
      </c>
      <c r="D2095" s="14" t="s">
        <v>824</v>
      </c>
      <c r="E2095" s="1">
        <v>354.67</v>
      </c>
      <c r="F2095" s="2"/>
      <c r="G2095" s="1"/>
      <c r="H2095" s="3"/>
      <c r="I2095" s="14" t="s">
        <v>2177</v>
      </c>
    </row>
    <row r="2096" spans="1:9" ht="18.75" customHeight="1" x14ac:dyDescent="0.4">
      <c r="A2096" s="14" t="s">
        <v>5675</v>
      </c>
      <c r="B2096" s="16" t="str">
        <f>TRIM("もと西淀川児童館")</f>
        <v>もと西淀川児童館</v>
      </c>
      <c r="C2096" s="14" t="s">
        <v>1528</v>
      </c>
      <c r="D2096" s="14" t="s">
        <v>824</v>
      </c>
      <c r="E2096" s="1"/>
      <c r="F2096" s="2"/>
      <c r="G2096" s="1">
        <v>126</v>
      </c>
      <c r="H2096" s="3" t="s">
        <v>7353</v>
      </c>
      <c r="I2096" s="14" t="s">
        <v>5617</v>
      </c>
    </row>
    <row r="2097" spans="1:9" ht="18.75" customHeight="1" x14ac:dyDescent="0.4">
      <c r="A2097" s="14" t="s">
        <v>5917</v>
      </c>
      <c r="B2097" s="16" t="str">
        <f>TRIM("柏里保育所")</f>
        <v>柏里保育所</v>
      </c>
      <c r="C2097" s="14" t="s">
        <v>1528</v>
      </c>
      <c r="D2097" s="14" t="s">
        <v>824</v>
      </c>
      <c r="E2097" s="1"/>
      <c r="F2097" s="2"/>
      <c r="G2097" s="1">
        <v>365.11</v>
      </c>
      <c r="H2097" s="3"/>
      <c r="I2097" s="14" t="s">
        <v>5617</v>
      </c>
    </row>
    <row r="2098" spans="1:9" ht="18.75" customHeight="1" x14ac:dyDescent="0.4">
      <c r="A2098" s="14" t="s">
        <v>5973</v>
      </c>
      <c r="B2098" s="16" t="str">
        <f>TRIM("民間移管保育所建設用地（柏里保育所）")</f>
        <v>民間移管保育所建設用地（柏里保育所）</v>
      </c>
      <c r="C2098" s="14" t="s">
        <v>1528</v>
      </c>
      <c r="D2098" s="14" t="s">
        <v>824</v>
      </c>
      <c r="E2098" s="1">
        <v>821.82</v>
      </c>
      <c r="F2098" s="2"/>
      <c r="G2098" s="1"/>
      <c r="H2098" s="3"/>
      <c r="I2098" s="14" t="s">
        <v>5617</v>
      </c>
    </row>
    <row r="2099" spans="1:9" ht="18.75" customHeight="1" x14ac:dyDescent="0.4">
      <c r="A2099" s="14" t="s">
        <v>4485</v>
      </c>
      <c r="B2099" s="16" t="str">
        <f>TRIM("竹島コミュニティ会館")</f>
        <v>竹島コミュニティ会館</v>
      </c>
      <c r="C2099" s="14" t="s">
        <v>1528</v>
      </c>
      <c r="D2099" s="14" t="s">
        <v>1364</v>
      </c>
      <c r="E2099" s="1">
        <v>270.73</v>
      </c>
      <c r="F2099" s="2"/>
      <c r="G2099" s="1"/>
      <c r="H2099" s="3"/>
      <c r="I2099" s="14" t="s">
        <v>2069</v>
      </c>
    </row>
    <row r="2100" spans="1:9" ht="18.75" customHeight="1" x14ac:dyDescent="0.4">
      <c r="A2100" s="14" t="s">
        <v>5264</v>
      </c>
      <c r="B2100" s="16" t="str">
        <f>TRIM("西淀川消防署竹島出張所")</f>
        <v>西淀川消防署竹島出張所</v>
      </c>
      <c r="C2100" s="14" t="s">
        <v>1528</v>
      </c>
      <c r="D2100" s="14" t="s">
        <v>1364</v>
      </c>
      <c r="E2100" s="1">
        <v>334.62</v>
      </c>
      <c r="F2100" s="2"/>
      <c r="G2100" s="1"/>
      <c r="H2100" s="3"/>
      <c r="I2100" s="14" t="s">
        <v>5219</v>
      </c>
    </row>
    <row r="2101" spans="1:9" ht="18.75" customHeight="1" x14ac:dyDescent="0.4">
      <c r="A2101" s="14" t="s">
        <v>5335</v>
      </c>
      <c r="B2101" s="16" t="str">
        <f>TRIM("  西淀川消防署竹島出張所")</f>
        <v>西淀川消防署竹島出張所</v>
      </c>
      <c r="C2101" s="14" t="s">
        <v>1528</v>
      </c>
      <c r="D2101" s="14" t="s">
        <v>1364</v>
      </c>
      <c r="E2101" s="1"/>
      <c r="F2101" s="2"/>
      <c r="G2101" s="1">
        <v>195.05</v>
      </c>
      <c r="H2101" s="3"/>
      <c r="I2101" s="14" t="s">
        <v>5219</v>
      </c>
    </row>
    <row r="2102" spans="1:9" ht="18.75" customHeight="1" x14ac:dyDescent="0.4">
      <c r="A2102" s="14" t="s">
        <v>3034</v>
      </c>
      <c r="B2102" s="16" t="str">
        <f>TRIM("　竹島公園")</f>
        <v>竹島公園</v>
      </c>
      <c r="C2102" s="14" t="s">
        <v>1528</v>
      </c>
      <c r="D2102" s="14" t="s">
        <v>1150</v>
      </c>
      <c r="E2102" s="1">
        <v>2013.22</v>
      </c>
      <c r="F2102" s="2"/>
      <c r="G2102" s="1"/>
      <c r="H2102" s="3"/>
      <c r="I2102" s="14" t="s">
        <v>2177</v>
      </c>
    </row>
    <row r="2103" spans="1:9" ht="18.75" customHeight="1" x14ac:dyDescent="0.4">
      <c r="A2103" s="14" t="s">
        <v>4070</v>
      </c>
      <c r="B2103" s="16" t="str">
        <f>TRIM("竹島抽水所")</f>
        <v>竹島抽水所</v>
      </c>
      <c r="C2103" s="14" t="s">
        <v>1528</v>
      </c>
      <c r="D2103" s="14" t="s">
        <v>1328</v>
      </c>
      <c r="E2103" s="1">
        <v>641.14</v>
      </c>
      <c r="F2103" s="2"/>
      <c r="G2103" s="1">
        <v>1291.75</v>
      </c>
      <c r="H2103" s="3"/>
      <c r="I2103" s="14" t="s">
        <v>2177</v>
      </c>
    </row>
    <row r="2104" spans="1:9" ht="18.75" customHeight="1" x14ac:dyDescent="0.4">
      <c r="A2104" s="14" t="s">
        <v>3035</v>
      </c>
      <c r="B2104" s="16" t="str">
        <f>TRIM("　竹島西公園")</f>
        <v>竹島西公園</v>
      </c>
      <c r="C2104" s="14" t="s">
        <v>1528</v>
      </c>
      <c r="D2104" s="14" t="s">
        <v>1151</v>
      </c>
      <c r="E2104" s="1">
        <v>7087.6</v>
      </c>
      <c r="F2104" s="2"/>
      <c r="G2104" s="1"/>
      <c r="H2104" s="3"/>
      <c r="I2104" s="14" t="s">
        <v>2177</v>
      </c>
    </row>
    <row r="2105" spans="1:9" ht="18.75" customHeight="1" x14ac:dyDescent="0.4">
      <c r="A2105" s="14" t="s">
        <v>3616</v>
      </c>
      <c r="B2105" s="16" t="str">
        <f>TRIM("　竹島西公園")</f>
        <v>竹島西公園</v>
      </c>
      <c r="C2105" s="14" t="s">
        <v>1528</v>
      </c>
      <c r="D2105" s="14" t="s">
        <v>1151</v>
      </c>
      <c r="E2105" s="1"/>
      <c r="F2105" s="2"/>
      <c r="G2105" s="1">
        <v>21.12</v>
      </c>
      <c r="H2105" s="3"/>
      <c r="I2105" s="14" t="s">
        <v>2177</v>
      </c>
    </row>
    <row r="2106" spans="1:9" ht="18.75" customHeight="1" x14ac:dyDescent="0.4">
      <c r="A2106" s="14" t="s">
        <v>1716</v>
      </c>
      <c r="B2106" s="16" t="str">
        <f>TRIM("障がい福祉サービス事業所　いきいき")</f>
        <v>障がい福祉サービス事業所　いきいき</v>
      </c>
      <c r="C2106" s="14" t="s">
        <v>1528</v>
      </c>
      <c r="D2106" s="14" t="s">
        <v>235</v>
      </c>
      <c r="E2106" s="1">
        <v>378.29</v>
      </c>
      <c r="F2106" s="2"/>
      <c r="G2106" s="1">
        <v>216.86</v>
      </c>
      <c r="H2106" s="3"/>
      <c r="I2106" s="14" t="s">
        <v>1654</v>
      </c>
    </row>
    <row r="2107" spans="1:9" ht="18.75" customHeight="1" x14ac:dyDescent="0.4">
      <c r="A2107" s="14" t="s">
        <v>1892</v>
      </c>
      <c r="B2107" s="16" t="str">
        <f>TRIM("西淀川区在宅サービスセンター")</f>
        <v>西淀川区在宅サービスセンター</v>
      </c>
      <c r="C2107" s="14" t="s">
        <v>1528</v>
      </c>
      <c r="D2107" s="14" t="s">
        <v>235</v>
      </c>
      <c r="E2107" s="1">
        <v>750.1</v>
      </c>
      <c r="F2107" s="2"/>
      <c r="G2107" s="1"/>
      <c r="H2107" s="3"/>
      <c r="I2107" s="14" t="s">
        <v>1654</v>
      </c>
    </row>
    <row r="2108" spans="1:9" ht="18.75" customHeight="1" x14ac:dyDescent="0.4">
      <c r="A2108" s="14" t="s">
        <v>1941</v>
      </c>
      <c r="B2108" s="16" t="str">
        <f>TRIM("特別養護老人ホームルーチェ千舟")</f>
        <v>特別養護老人ホームルーチェ千舟</v>
      </c>
      <c r="C2108" s="14" t="s">
        <v>1528</v>
      </c>
      <c r="D2108" s="14" t="s">
        <v>235</v>
      </c>
      <c r="E2108" s="1">
        <v>1060.3399999999999</v>
      </c>
      <c r="F2108" s="2"/>
      <c r="G2108" s="1"/>
      <c r="H2108" s="3"/>
      <c r="I2108" s="14" t="s">
        <v>1654</v>
      </c>
    </row>
    <row r="2109" spans="1:9" ht="18.75" customHeight="1" x14ac:dyDescent="0.4">
      <c r="A2109" s="14" t="s">
        <v>2951</v>
      </c>
      <c r="B2109" s="16" t="str">
        <f>TRIM("　千舟公園")</f>
        <v>千舟公園</v>
      </c>
      <c r="C2109" s="14" t="s">
        <v>1528</v>
      </c>
      <c r="D2109" s="14" t="s">
        <v>235</v>
      </c>
      <c r="E2109" s="1">
        <v>3725.61</v>
      </c>
      <c r="F2109" s="2"/>
      <c r="G2109" s="1"/>
      <c r="H2109" s="3"/>
      <c r="I2109" s="14" t="s">
        <v>2177</v>
      </c>
    </row>
    <row r="2110" spans="1:9" ht="18.75" customHeight="1" x14ac:dyDescent="0.4">
      <c r="A2110" s="14" t="s">
        <v>5500</v>
      </c>
      <c r="B2110" s="16" t="str">
        <f>TRIM("西淀川警察署")</f>
        <v>西淀川警察署</v>
      </c>
      <c r="C2110" s="14" t="s">
        <v>1528</v>
      </c>
      <c r="D2110" s="14" t="s">
        <v>235</v>
      </c>
      <c r="E2110" s="1">
        <v>1857.85</v>
      </c>
      <c r="F2110" s="2"/>
      <c r="G2110" s="1"/>
      <c r="H2110" s="3"/>
      <c r="I2110" s="14" t="s">
        <v>5349</v>
      </c>
    </row>
    <row r="2111" spans="1:9" ht="18.75" customHeight="1" x14ac:dyDescent="0.4">
      <c r="A2111" s="14" t="s">
        <v>6436</v>
      </c>
      <c r="B2111" s="16" t="str">
        <f>TRIM("神崎川住宅")</f>
        <v>神崎川住宅</v>
      </c>
      <c r="C2111" s="14" t="s">
        <v>1528</v>
      </c>
      <c r="D2111" s="14" t="s">
        <v>765</v>
      </c>
      <c r="E2111" s="1">
        <v>3123.93</v>
      </c>
      <c r="F2111" s="2"/>
      <c r="G2111" s="1">
        <v>4106.45</v>
      </c>
      <c r="H2111" s="3"/>
      <c r="I2111" s="14" t="s">
        <v>6177</v>
      </c>
    </row>
    <row r="2112" spans="1:9" ht="18.75" customHeight="1" x14ac:dyDescent="0.4">
      <c r="A2112" s="14" t="s">
        <v>2068</v>
      </c>
      <c r="B2112" s="16" t="str">
        <f>TRIM("千舟会館（もと千舟老人憩の家）")</f>
        <v>千舟会館（もと千舟老人憩の家）</v>
      </c>
      <c r="C2112" s="14" t="s">
        <v>1528</v>
      </c>
      <c r="D2112" s="14" t="s">
        <v>765</v>
      </c>
      <c r="E2112" s="1">
        <v>179.78</v>
      </c>
      <c r="F2112" s="2"/>
      <c r="G2112" s="1"/>
      <c r="H2112" s="3"/>
      <c r="I2112" s="14" t="s">
        <v>2069</v>
      </c>
    </row>
    <row r="2113" spans="1:9" ht="18.75" customHeight="1" x14ac:dyDescent="0.4">
      <c r="A2113" s="14" t="s">
        <v>4989</v>
      </c>
      <c r="B2113" s="16" t="str">
        <f>TRIM("佃小学校")</f>
        <v>佃小学校</v>
      </c>
      <c r="C2113" s="14" t="s">
        <v>1528</v>
      </c>
      <c r="D2113" s="14" t="s">
        <v>1193</v>
      </c>
      <c r="E2113" s="1">
        <v>8565.83</v>
      </c>
      <c r="F2113" s="2"/>
      <c r="G2113" s="1">
        <v>6368.34</v>
      </c>
      <c r="H2113" s="3"/>
      <c r="I2113" s="14" t="s">
        <v>4689</v>
      </c>
    </row>
    <row r="2114" spans="1:9" ht="18.75" customHeight="1" x14ac:dyDescent="0.4">
      <c r="A2114" s="14" t="s">
        <v>3148</v>
      </c>
      <c r="B2114" s="16" t="str">
        <f>TRIM("　東佃公園")</f>
        <v>東佃公園</v>
      </c>
      <c r="C2114" s="14" t="s">
        <v>1528</v>
      </c>
      <c r="D2114" s="14" t="s">
        <v>1193</v>
      </c>
      <c r="E2114" s="1">
        <v>2760.71</v>
      </c>
      <c r="F2114" s="2"/>
      <c r="G2114" s="1"/>
      <c r="H2114" s="3"/>
      <c r="I2114" s="14" t="s">
        <v>2177</v>
      </c>
    </row>
    <row r="2115" spans="1:9" ht="18.75" customHeight="1" x14ac:dyDescent="0.4">
      <c r="A2115" s="14" t="s">
        <v>1805</v>
      </c>
      <c r="B2115" s="16" t="str">
        <f>TRIM("西淀川区老人福祉センター")</f>
        <v>西淀川区老人福祉センター</v>
      </c>
      <c r="C2115" s="14" t="s">
        <v>1528</v>
      </c>
      <c r="D2115" s="14" t="s">
        <v>164</v>
      </c>
      <c r="E2115" s="1">
        <v>531.75</v>
      </c>
      <c r="F2115" s="2"/>
      <c r="G2115" s="1">
        <v>654.36</v>
      </c>
      <c r="H2115" s="3"/>
      <c r="I2115" s="14" t="s">
        <v>1654</v>
      </c>
    </row>
    <row r="2116" spans="1:9" ht="18.75" customHeight="1" x14ac:dyDescent="0.4">
      <c r="A2116" s="14" t="s">
        <v>4990</v>
      </c>
      <c r="B2116" s="16" t="str">
        <f>TRIM("佃西小学校")</f>
        <v>佃西小学校</v>
      </c>
      <c r="C2116" s="14" t="s">
        <v>1528</v>
      </c>
      <c r="D2116" s="14" t="s">
        <v>164</v>
      </c>
      <c r="E2116" s="1">
        <v>9891.6200000000008</v>
      </c>
      <c r="F2116" s="2"/>
      <c r="G2116" s="1">
        <v>6384.04</v>
      </c>
      <c r="H2116" s="3"/>
      <c r="I2116" s="14" t="s">
        <v>4689</v>
      </c>
    </row>
    <row r="2117" spans="1:9" ht="18.75" customHeight="1" x14ac:dyDescent="0.4">
      <c r="A2117" s="14" t="s">
        <v>4991</v>
      </c>
      <c r="B2117" s="16" t="str">
        <f>TRIM("佃中学校")</f>
        <v>佃中学校</v>
      </c>
      <c r="C2117" s="14" t="s">
        <v>1528</v>
      </c>
      <c r="D2117" s="14" t="s">
        <v>164</v>
      </c>
      <c r="E2117" s="1">
        <v>15911.14</v>
      </c>
      <c r="F2117" s="2"/>
      <c r="G2117" s="1">
        <v>6519.99</v>
      </c>
      <c r="H2117" s="3"/>
      <c r="I2117" s="14" t="s">
        <v>4689</v>
      </c>
    </row>
    <row r="2118" spans="1:9" ht="18.75" customHeight="1" x14ac:dyDescent="0.4">
      <c r="A2118" s="14" t="s">
        <v>5963</v>
      </c>
      <c r="B2118" s="16" t="str">
        <f>TRIM("佃保育所")</f>
        <v>佃保育所</v>
      </c>
      <c r="C2118" s="14" t="s">
        <v>1528</v>
      </c>
      <c r="D2118" s="14" t="s">
        <v>164</v>
      </c>
      <c r="E2118" s="1">
        <v>1536.12</v>
      </c>
      <c r="F2118" s="2"/>
      <c r="G2118" s="1">
        <v>794.82</v>
      </c>
      <c r="H2118" s="3"/>
      <c r="I2118" s="14" t="s">
        <v>5617</v>
      </c>
    </row>
    <row r="2119" spans="1:9" ht="18.75" customHeight="1" x14ac:dyDescent="0.4">
      <c r="A2119" s="14" t="s">
        <v>6549</v>
      </c>
      <c r="B2119" s="16" t="str">
        <f>TRIM("佃住宅")</f>
        <v>佃住宅</v>
      </c>
      <c r="C2119" s="14" t="s">
        <v>1528</v>
      </c>
      <c r="D2119" s="14" t="s">
        <v>164</v>
      </c>
      <c r="E2119" s="1">
        <v>17044.75</v>
      </c>
      <c r="F2119" s="2"/>
      <c r="G2119" s="1">
        <v>23715.67</v>
      </c>
      <c r="H2119" s="3"/>
      <c r="I2119" s="14" t="s">
        <v>6177</v>
      </c>
    </row>
    <row r="2120" spans="1:9" ht="18.75" customHeight="1" x14ac:dyDescent="0.4">
      <c r="A2120" s="14" t="s">
        <v>2099</v>
      </c>
      <c r="B2120" s="16" t="str">
        <f>TRIM("佃第2会館（もと佃第2老人憩の家）")</f>
        <v>佃第2会館（もと佃第2老人憩の家）</v>
      </c>
      <c r="C2120" s="14" t="s">
        <v>1528</v>
      </c>
      <c r="D2120" s="14" t="s">
        <v>164</v>
      </c>
      <c r="E2120" s="1">
        <v>179.72</v>
      </c>
      <c r="F2120" s="2"/>
      <c r="G2120" s="1"/>
      <c r="H2120" s="3"/>
      <c r="I2120" s="14" t="s">
        <v>2069</v>
      </c>
    </row>
    <row r="2121" spans="1:9" ht="18.75" customHeight="1" x14ac:dyDescent="0.4">
      <c r="A2121" s="14" t="s">
        <v>2100</v>
      </c>
      <c r="B2121" s="16" t="str">
        <f>TRIM("佃会館（もと佃老人憩の家）")</f>
        <v>佃会館（もと佃老人憩の家）</v>
      </c>
      <c r="C2121" s="14" t="s">
        <v>1528</v>
      </c>
      <c r="D2121" s="14" t="s">
        <v>164</v>
      </c>
      <c r="E2121" s="1">
        <v>162.07</v>
      </c>
      <c r="F2121" s="2"/>
      <c r="G2121" s="1"/>
      <c r="H2121" s="3"/>
      <c r="I2121" s="14" t="s">
        <v>2069</v>
      </c>
    </row>
    <row r="2122" spans="1:9" ht="18.75" customHeight="1" x14ac:dyDescent="0.4">
      <c r="A2122" s="14" t="s">
        <v>2858</v>
      </c>
      <c r="B2122" s="16" t="str">
        <f>TRIM("　新佃公園")</f>
        <v>新佃公園</v>
      </c>
      <c r="C2122" s="14" t="s">
        <v>1528</v>
      </c>
      <c r="D2122" s="14" t="s">
        <v>164</v>
      </c>
      <c r="E2122" s="1">
        <v>7163.57</v>
      </c>
      <c r="F2122" s="2"/>
      <c r="G2122" s="1"/>
      <c r="H2122" s="3"/>
      <c r="I2122" s="14" t="s">
        <v>2177</v>
      </c>
    </row>
    <row r="2123" spans="1:9" ht="18.75" customHeight="1" x14ac:dyDescent="0.4">
      <c r="A2123" s="14" t="s">
        <v>3480</v>
      </c>
      <c r="B2123" s="16" t="str">
        <f>TRIM("佃ふれあい公園")</f>
        <v>佃ふれあい公園</v>
      </c>
      <c r="C2123" s="14" t="s">
        <v>1528</v>
      </c>
      <c r="D2123" s="14" t="s">
        <v>164</v>
      </c>
      <c r="E2123" s="1">
        <v>7232.8</v>
      </c>
      <c r="F2123" s="2"/>
      <c r="G2123" s="1"/>
      <c r="H2123" s="3"/>
      <c r="I2123" s="14" t="s">
        <v>2177</v>
      </c>
    </row>
    <row r="2124" spans="1:9" ht="18.75" customHeight="1" x14ac:dyDescent="0.4">
      <c r="A2124" s="14" t="s">
        <v>3697</v>
      </c>
      <c r="B2124" s="16" t="str">
        <f>TRIM("佃ふれあい公園")</f>
        <v>佃ふれあい公園</v>
      </c>
      <c r="C2124" s="14" t="s">
        <v>1528</v>
      </c>
      <c r="D2124" s="14" t="s">
        <v>164</v>
      </c>
      <c r="E2124" s="1"/>
      <c r="F2124" s="2"/>
      <c r="G2124" s="1">
        <v>18.239999999999998</v>
      </c>
      <c r="H2124" s="3"/>
      <c r="I2124" s="14" t="s">
        <v>2177</v>
      </c>
    </row>
    <row r="2125" spans="1:9" ht="18.75" customHeight="1" x14ac:dyDescent="0.4">
      <c r="A2125" s="14" t="s">
        <v>3872</v>
      </c>
      <c r="B2125" s="16" t="str">
        <f>TRIM("千船駅自転車駐車場管理事務所")</f>
        <v>千船駅自転車駐車場管理事務所</v>
      </c>
      <c r="C2125" s="14" t="s">
        <v>1528</v>
      </c>
      <c r="D2125" s="14" t="s">
        <v>164</v>
      </c>
      <c r="E2125" s="1"/>
      <c r="F2125" s="2"/>
      <c r="G2125" s="1">
        <v>3.89</v>
      </c>
      <c r="H2125" s="3"/>
      <c r="I2125" s="14" t="s">
        <v>2177</v>
      </c>
    </row>
    <row r="2126" spans="1:9" ht="18.75" customHeight="1" x14ac:dyDescent="0.4">
      <c r="A2126" s="14" t="s">
        <v>5406</v>
      </c>
      <c r="B2126" s="16" t="str">
        <f>TRIM("もと疎開跡地（西淀川）")</f>
        <v>もと疎開跡地（西淀川）</v>
      </c>
      <c r="C2126" s="14" t="s">
        <v>1528</v>
      </c>
      <c r="D2126" s="14" t="s">
        <v>164</v>
      </c>
      <c r="E2126" s="1">
        <v>519.03</v>
      </c>
      <c r="F2126" s="2"/>
      <c r="G2126" s="1"/>
      <c r="H2126" s="3"/>
      <c r="I2126" s="14" t="s">
        <v>5349</v>
      </c>
    </row>
    <row r="2127" spans="1:9" ht="18.75" customHeight="1" x14ac:dyDescent="0.4">
      <c r="A2127" s="14" t="s">
        <v>5407</v>
      </c>
      <c r="B2127" s="16" t="str">
        <f>TRIM("もと疎開跡地（西淀川・コミュニティ用地等）")</f>
        <v>もと疎開跡地（西淀川・コミュニティ用地等）</v>
      </c>
      <c r="C2127" s="14" t="s">
        <v>1528</v>
      </c>
      <c r="D2127" s="14" t="s">
        <v>164</v>
      </c>
      <c r="E2127" s="1">
        <v>72.11</v>
      </c>
      <c r="F2127" s="2"/>
      <c r="G2127" s="1"/>
      <c r="H2127" s="3"/>
      <c r="I2127" s="14" t="s">
        <v>5349</v>
      </c>
    </row>
    <row r="2128" spans="1:9" ht="18.75" customHeight="1" x14ac:dyDescent="0.4">
      <c r="A2128" s="14" t="s">
        <v>3081</v>
      </c>
      <c r="B2128" s="16" t="str">
        <f>TRIM("　佃中公園")</f>
        <v>佃中公園</v>
      </c>
      <c r="C2128" s="14" t="s">
        <v>1528</v>
      </c>
      <c r="D2128" s="14" t="s">
        <v>260</v>
      </c>
      <c r="E2128" s="1">
        <v>1155.57</v>
      </c>
      <c r="F2128" s="2"/>
      <c r="G2128" s="1"/>
      <c r="H2128" s="3"/>
      <c r="I2128" s="14" t="s">
        <v>2177</v>
      </c>
    </row>
    <row r="2129" spans="1:9" ht="18.75" customHeight="1" x14ac:dyDescent="0.4">
      <c r="A2129" s="14" t="s">
        <v>5541</v>
      </c>
      <c r="B2129" s="16" t="str">
        <f>TRIM("廃道（西淀川）")</f>
        <v>廃道（西淀川）</v>
      </c>
      <c r="C2129" s="14" t="s">
        <v>1528</v>
      </c>
      <c r="D2129" s="14" t="s">
        <v>260</v>
      </c>
      <c r="E2129" s="1">
        <v>103.46</v>
      </c>
      <c r="F2129" s="2"/>
      <c r="G2129" s="1"/>
      <c r="H2129" s="3"/>
      <c r="I2129" s="14" t="s">
        <v>5349</v>
      </c>
    </row>
    <row r="2130" spans="1:9" ht="18.75" customHeight="1" x14ac:dyDescent="0.4">
      <c r="A2130" s="14" t="s">
        <v>6148</v>
      </c>
      <c r="B2130" s="16" t="str">
        <f>TRIM("佃霊園")</f>
        <v>佃霊園</v>
      </c>
      <c r="C2130" s="14" t="s">
        <v>1528</v>
      </c>
      <c r="D2130" s="14" t="s">
        <v>260</v>
      </c>
      <c r="E2130" s="1">
        <v>911.53</v>
      </c>
      <c r="F2130" s="2"/>
      <c r="G2130" s="1"/>
      <c r="H2130" s="3"/>
      <c r="I2130" s="14" t="s">
        <v>5977</v>
      </c>
    </row>
    <row r="2131" spans="1:9" ht="18.75" customHeight="1" x14ac:dyDescent="0.4">
      <c r="A2131" s="14" t="s">
        <v>4083</v>
      </c>
      <c r="B2131" s="16" t="str">
        <f>TRIM("佃第2抽水所")</f>
        <v>佃第2抽水所</v>
      </c>
      <c r="C2131" s="14" t="s">
        <v>1528</v>
      </c>
      <c r="D2131" s="14" t="s">
        <v>799</v>
      </c>
      <c r="E2131" s="1">
        <v>3479.61</v>
      </c>
      <c r="F2131" s="2"/>
      <c r="G2131" s="1">
        <v>1077.6500000000001</v>
      </c>
      <c r="H2131" s="3"/>
      <c r="I2131" s="14" t="s">
        <v>2177</v>
      </c>
    </row>
    <row r="2132" spans="1:9" ht="18.75" customHeight="1" x14ac:dyDescent="0.4">
      <c r="A2132" s="14" t="s">
        <v>5265</v>
      </c>
      <c r="B2132" s="16" t="str">
        <f>TRIM("西淀川消防署佃出張所")</f>
        <v>西淀川消防署佃出張所</v>
      </c>
      <c r="C2132" s="14" t="s">
        <v>1528</v>
      </c>
      <c r="D2132" s="14" t="s">
        <v>799</v>
      </c>
      <c r="E2132" s="1">
        <v>325.12</v>
      </c>
      <c r="F2132" s="2"/>
      <c r="G2132" s="1">
        <v>505.16</v>
      </c>
      <c r="H2132" s="3"/>
      <c r="I2132" s="14" t="s">
        <v>5219</v>
      </c>
    </row>
    <row r="2133" spans="1:9" ht="18.75" customHeight="1" x14ac:dyDescent="0.4">
      <c r="A2133" s="14" t="s">
        <v>6550</v>
      </c>
      <c r="B2133" s="16" t="str">
        <f>TRIM("佃第2住宅")</f>
        <v>佃第2住宅</v>
      </c>
      <c r="C2133" s="14" t="s">
        <v>1528</v>
      </c>
      <c r="D2133" s="14" t="s">
        <v>799</v>
      </c>
      <c r="E2133" s="1">
        <v>5712.98</v>
      </c>
      <c r="F2133" s="2"/>
      <c r="G2133" s="1">
        <v>7827.21</v>
      </c>
      <c r="H2133" s="3"/>
      <c r="I2133" s="14" t="s">
        <v>6177</v>
      </c>
    </row>
    <row r="2134" spans="1:9" ht="18.75" customHeight="1" x14ac:dyDescent="0.4">
      <c r="A2134" s="14" t="s">
        <v>3079</v>
      </c>
      <c r="B2134" s="16" t="str">
        <f>TRIM("　佃4公園")</f>
        <v>佃4公園</v>
      </c>
      <c r="C2134" s="14" t="s">
        <v>1528</v>
      </c>
      <c r="D2134" s="14" t="s">
        <v>799</v>
      </c>
      <c r="E2134" s="1">
        <v>1426.84</v>
      </c>
      <c r="F2134" s="2"/>
      <c r="G2134" s="1"/>
      <c r="H2134" s="3"/>
      <c r="I2134" s="14" t="s">
        <v>2177</v>
      </c>
    </row>
    <row r="2135" spans="1:9" ht="18.75" customHeight="1" x14ac:dyDescent="0.4">
      <c r="A2135" s="14" t="s">
        <v>4992</v>
      </c>
      <c r="B2135" s="16" t="str">
        <f>TRIM("もと佃南小学校")</f>
        <v>もと佃南小学校</v>
      </c>
      <c r="C2135" s="14" t="s">
        <v>1528</v>
      </c>
      <c r="D2135" s="14" t="s">
        <v>1167</v>
      </c>
      <c r="E2135" s="1">
        <v>9708.18</v>
      </c>
      <c r="F2135" s="2">
        <v>1897</v>
      </c>
      <c r="G2135" s="1">
        <v>6619.46</v>
      </c>
      <c r="H2135" s="3" t="s">
        <v>7353</v>
      </c>
      <c r="I2135" s="14" t="s">
        <v>4689</v>
      </c>
    </row>
    <row r="2136" spans="1:9" ht="18.75" customHeight="1" x14ac:dyDescent="0.4">
      <c r="A2136" s="14" t="s">
        <v>3080</v>
      </c>
      <c r="B2136" s="16" t="str">
        <f>TRIM("　佃公園")</f>
        <v>佃公園</v>
      </c>
      <c r="C2136" s="14" t="s">
        <v>1528</v>
      </c>
      <c r="D2136" s="14" t="s">
        <v>1167</v>
      </c>
      <c r="E2136" s="1">
        <v>6611.57</v>
      </c>
      <c r="F2136" s="2"/>
      <c r="G2136" s="1"/>
      <c r="H2136" s="3"/>
      <c r="I2136" s="14" t="s">
        <v>2177</v>
      </c>
    </row>
    <row r="2137" spans="1:9" ht="18.75" customHeight="1" x14ac:dyDescent="0.4">
      <c r="A2137" s="14" t="s">
        <v>3629</v>
      </c>
      <c r="B2137" s="16" t="str">
        <f>TRIM("　佃公園")</f>
        <v>佃公園</v>
      </c>
      <c r="C2137" s="14" t="s">
        <v>1528</v>
      </c>
      <c r="D2137" s="14" t="s">
        <v>1167</v>
      </c>
      <c r="E2137" s="1"/>
      <c r="F2137" s="2"/>
      <c r="G2137" s="1">
        <v>19.2</v>
      </c>
      <c r="H2137" s="3"/>
      <c r="I2137" s="14" t="s">
        <v>2177</v>
      </c>
    </row>
    <row r="2138" spans="1:9" ht="18.75" customHeight="1" x14ac:dyDescent="0.4">
      <c r="A2138" s="14" t="s">
        <v>5309</v>
      </c>
      <c r="B2138" s="16" t="str">
        <f>TRIM("防火水槽用地（西淀川）")</f>
        <v>防火水槽用地（西淀川）</v>
      </c>
      <c r="C2138" s="14" t="s">
        <v>1528</v>
      </c>
      <c r="D2138" s="14" t="s">
        <v>1167</v>
      </c>
      <c r="E2138" s="1">
        <v>356.45</v>
      </c>
      <c r="F2138" s="2"/>
      <c r="G2138" s="1"/>
      <c r="H2138" s="3"/>
      <c r="I2138" s="14" t="s">
        <v>5219</v>
      </c>
    </row>
    <row r="2139" spans="1:9" ht="18.75" customHeight="1" x14ac:dyDescent="0.4">
      <c r="A2139" s="14" t="s">
        <v>6147</v>
      </c>
      <c r="B2139" s="16" t="str">
        <f>TRIM("佃斎場")</f>
        <v>佃斎場</v>
      </c>
      <c r="C2139" s="14" t="s">
        <v>1528</v>
      </c>
      <c r="D2139" s="14" t="s">
        <v>658</v>
      </c>
      <c r="E2139" s="1">
        <v>3090.9</v>
      </c>
      <c r="F2139" s="2"/>
      <c r="G2139" s="1">
        <v>771.55</v>
      </c>
      <c r="H2139" s="3"/>
      <c r="I2139" s="14" t="s">
        <v>5977</v>
      </c>
    </row>
    <row r="2140" spans="1:9" ht="18.75" customHeight="1" x14ac:dyDescent="0.4">
      <c r="A2140" s="14" t="s">
        <v>4082</v>
      </c>
      <c r="B2140" s="16" t="str">
        <f>TRIM("佃第1抽水所")</f>
        <v>佃第1抽水所</v>
      </c>
      <c r="C2140" s="14" t="s">
        <v>1528</v>
      </c>
      <c r="D2140" s="14" t="s">
        <v>1329</v>
      </c>
      <c r="E2140" s="1">
        <v>412.79</v>
      </c>
      <c r="F2140" s="2"/>
      <c r="G2140" s="1">
        <v>171.79</v>
      </c>
      <c r="H2140" s="3"/>
      <c r="I2140" s="14" t="s">
        <v>2177</v>
      </c>
    </row>
    <row r="2141" spans="1:9" ht="18.75" customHeight="1" x14ac:dyDescent="0.4">
      <c r="A2141" s="14" t="s">
        <v>6729</v>
      </c>
      <c r="B2141" s="16" t="str">
        <f>TRIM("出来島第2住宅")</f>
        <v>出来島第2住宅</v>
      </c>
      <c r="C2141" s="14" t="s">
        <v>1528</v>
      </c>
      <c r="D2141" s="14" t="s">
        <v>697</v>
      </c>
      <c r="E2141" s="1">
        <v>8132.55</v>
      </c>
      <c r="F2141" s="2"/>
      <c r="G2141" s="1">
        <v>12403.77</v>
      </c>
      <c r="H2141" s="3"/>
      <c r="I2141" s="14" t="s">
        <v>6177</v>
      </c>
    </row>
    <row r="2142" spans="1:9" ht="18.75" customHeight="1" x14ac:dyDescent="0.4">
      <c r="A2142" s="14" t="s">
        <v>2790</v>
      </c>
      <c r="B2142" s="16" t="str">
        <f>TRIM("　出来島公園")</f>
        <v>出来島公園</v>
      </c>
      <c r="C2142" s="14" t="s">
        <v>1528</v>
      </c>
      <c r="D2142" s="14" t="s">
        <v>697</v>
      </c>
      <c r="E2142" s="1">
        <v>2351.9899999999998</v>
      </c>
      <c r="F2142" s="2"/>
      <c r="G2142" s="1"/>
      <c r="H2142" s="3"/>
      <c r="I2142" s="14" t="s">
        <v>2177</v>
      </c>
    </row>
    <row r="2143" spans="1:9" ht="18.75" customHeight="1" x14ac:dyDescent="0.4">
      <c r="A2143" s="14" t="s">
        <v>3519</v>
      </c>
      <c r="B2143" s="16" t="str">
        <f>TRIM("出来島第一公園")</f>
        <v>出来島第一公園</v>
      </c>
      <c r="C2143" s="14" t="s">
        <v>1528</v>
      </c>
      <c r="D2143" s="14" t="s">
        <v>697</v>
      </c>
      <c r="E2143" s="1">
        <v>2680.99</v>
      </c>
      <c r="F2143" s="2"/>
      <c r="G2143" s="1"/>
      <c r="H2143" s="3"/>
      <c r="I2143" s="14" t="s">
        <v>2177</v>
      </c>
    </row>
    <row r="2144" spans="1:9" ht="18.75" customHeight="1" x14ac:dyDescent="0.4">
      <c r="A2144" s="14" t="s">
        <v>3520</v>
      </c>
      <c r="B2144" s="16" t="str">
        <f>TRIM("出来島第二公園")</f>
        <v>出来島第二公園</v>
      </c>
      <c r="C2144" s="14" t="s">
        <v>1528</v>
      </c>
      <c r="D2144" s="14" t="s">
        <v>697</v>
      </c>
      <c r="E2144" s="1">
        <v>3386.04</v>
      </c>
      <c r="F2144" s="2"/>
      <c r="G2144" s="1"/>
      <c r="H2144" s="3"/>
      <c r="I2144" s="14" t="s">
        <v>2177</v>
      </c>
    </row>
    <row r="2145" spans="1:9" ht="18.75" customHeight="1" x14ac:dyDescent="0.4">
      <c r="A2145" s="14" t="s">
        <v>3836</v>
      </c>
      <c r="B2145" s="16" t="str">
        <f>TRIM("出来島駅自転車駐車場および保管所")</f>
        <v>出来島駅自転車駐車場および保管所</v>
      </c>
      <c r="C2145" s="14" t="s">
        <v>1528</v>
      </c>
      <c r="D2145" s="14" t="s">
        <v>697</v>
      </c>
      <c r="E2145" s="1">
        <v>1311.18</v>
      </c>
      <c r="F2145" s="2"/>
      <c r="G2145" s="1"/>
      <c r="H2145" s="3"/>
      <c r="I2145" s="14" t="s">
        <v>2177</v>
      </c>
    </row>
    <row r="2146" spans="1:9" ht="18.75" customHeight="1" x14ac:dyDescent="0.4">
      <c r="A2146" s="14" t="s">
        <v>3837</v>
      </c>
      <c r="B2146" s="16" t="str">
        <f>TRIM("出来島駅自転車駐車場管理事務所")</f>
        <v>出来島駅自転車駐車場管理事務所</v>
      </c>
      <c r="C2146" s="14" t="s">
        <v>1528</v>
      </c>
      <c r="D2146" s="14" t="s">
        <v>697</v>
      </c>
      <c r="E2146" s="1"/>
      <c r="F2146" s="2"/>
      <c r="G2146" s="1">
        <v>12.56</v>
      </c>
      <c r="H2146" s="3"/>
      <c r="I2146" s="14" t="s">
        <v>2177</v>
      </c>
    </row>
    <row r="2147" spans="1:9" ht="18.75" customHeight="1" x14ac:dyDescent="0.4">
      <c r="A2147" s="14" t="s">
        <v>4477</v>
      </c>
      <c r="B2147" s="16" t="str">
        <f>TRIM("出来島会館")</f>
        <v>出来島会館</v>
      </c>
      <c r="C2147" s="14" t="s">
        <v>1528</v>
      </c>
      <c r="D2147" s="14" t="s">
        <v>697</v>
      </c>
      <c r="E2147" s="1"/>
      <c r="F2147" s="2"/>
      <c r="G2147" s="1">
        <v>134.63999999999999</v>
      </c>
      <c r="H2147" s="3"/>
      <c r="I2147" s="14" t="s">
        <v>2069</v>
      </c>
    </row>
    <row r="2148" spans="1:9" ht="18.75" customHeight="1" x14ac:dyDescent="0.4">
      <c r="A2148" s="14" t="s">
        <v>6196</v>
      </c>
      <c r="B2148" s="16" t="str">
        <f>TRIM("出来島住宅用地")</f>
        <v>出来島住宅用地</v>
      </c>
      <c r="C2148" s="14" t="s">
        <v>1528</v>
      </c>
      <c r="D2148" s="14" t="s">
        <v>697</v>
      </c>
      <c r="E2148" s="1">
        <v>656.21</v>
      </c>
      <c r="F2148" s="2">
        <v>297</v>
      </c>
      <c r="G2148" s="1"/>
      <c r="H2148" s="3"/>
      <c r="I2148" s="14" t="s">
        <v>6177</v>
      </c>
    </row>
    <row r="2149" spans="1:9" ht="18.75" customHeight="1" x14ac:dyDescent="0.4">
      <c r="A2149" s="14" t="s">
        <v>4852</v>
      </c>
      <c r="B2149" s="16" t="str">
        <f>TRIM("出来島小学校")</f>
        <v>出来島小学校</v>
      </c>
      <c r="C2149" s="14" t="s">
        <v>1528</v>
      </c>
      <c r="D2149" s="14" t="s">
        <v>1119</v>
      </c>
      <c r="E2149" s="1">
        <v>9489</v>
      </c>
      <c r="F2149" s="2"/>
      <c r="G2149" s="1">
        <v>5146.12</v>
      </c>
      <c r="H2149" s="3"/>
      <c r="I2149" s="14" t="s">
        <v>4689</v>
      </c>
    </row>
    <row r="2150" spans="1:9" ht="18.75" customHeight="1" x14ac:dyDescent="0.4">
      <c r="A2150" s="14" t="s">
        <v>2940</v>
      </c>
      <c r="B2150" s="16" t="str">
        <f>TRIM("　西淀川開発1号公園")</f>
        <v>西淀川開発1号公園</v>
      </c>
      <c r="C2150" s="14" t="s">
        <v>1528</v>
      </c>
      <c r="D2150" s="14" t="s">
        <v>1119</v>
      </c>
      <c r="E2150" s="1">
        <v>240.23</v>
      </c>
      <c r="F2150" s="2"/>
      <c r="G2150" s="1"/>
      <c r="H2150" s="3"/>
      <c r="I2150" s="14" t="s">
        <v>2177</v>
      </c>
    </row>
    <row r="2151" spans="1:9" ht="18.75" customHeight="1" x14ac:dyDescent="0.4">
      <c r="A2151" s="14" t="s">
        <v>3007</v>
      </c>
      <c r="B2151" s="16" t="str">
        <f>TRIM("　大和田川公園")</f>
        <v>大和田川公園</v>
      </c>
      <c r="C2151" s="14" t="s">
        <v>1528</v>
      </c>
      <c r="D2151" s="14" t="s">
        <v>1119</v>
      </c>
      <c r="E2151" s="1">
        <v>5283.88</v>
      </c>
      <c r="F2151" s="2"/>
      <c r="G2151" s="1"/>
      <c r="H2151" s="3"/>
      <c r="I2151" s="14" t="s">
        <v>2177</v>
      </c>
    </row>
    <row r="2152" spans="1:9" ht="18.75" customHeight="1" x14ac:dyDescent="0.4">
      <c r="A2152" s="14" t="s">
        <v>5996</v>
      </c>
      <c r="B2152" s="16" t="str">
        <f>TRIM("大気汚染常時監視測定局（出来島小学校）")</f>
        <v>大気汚染常時監視測定局（出来島小学校）</v>
      </c>
      <c r="C2152" s="14" t="s">
        <v>1528</v>
      </c>
      <c r="D2152" s="14" t="s">
        <v>1119</v>
      </c>
      <c r="E2152" s="1"/>
      <c r="F2152" s="2"/>
      <c r="G2152" s="1">
        <v>18.72</v>
      </c>
      <c r="H2152" s="3"/>
      <c r="I2152" s="14" t="s">
        <v>5977</v>
      </c>
    </row>
    <row r="2153" spans="1:9" ht="18.75" customHeight="1" x14ac:dyDescent="0.4">
      <c r="A2153" s="14" t="s">
        <v>6408</v>
      </c>
      <c r="B2153" s="16" t="str">
        <f>TRIM("出来島住宅")</f>
        <v>出来島住宅</v>
      </c>
      <c r="C2153" s="14" t="s">
        <v>1528</v>
      </c>
      <c r="D2153" s="14" t="s">
        <v>752</v>
      </c>
      <c r="E2153" s="1">
        <v>6559.23</v>
      </c>
      <c r="F2153" s="2"/>
      <c r="G2153" s="1">
        <v>11544.53</v>
      </c>
      <c r="H2153" s="3"/>
      <c r="I2153" s="14" t="s">
        <v>6177</v>
      </c>
    </row>
    <row r="2154" spans="1:9" ht="18.75" customHeight="1" x14ac:dyDescent="0.4">
      <c r="A2154" s="14" t="s">
        <v>2791</v>
      </c>
      <c r="B2154" s="16" t="str">
        <f>TRIM("　出来島西公園")</f>
        <v>出来島西公園</v>
      </c>
      <c r="C2154" s="14" t="s">
        <v>1528</v>
      </c>
      <c r="D2154" s="14" t="s">
        <v>752</v>
      </c>
      <c r="E2154" s="1">
        <v>6579.18</v>
      </c>
      <c r="F2154" s="2"/>
      <c r="G2154" s="1"/>
      <c r="H2154" s="3"/>
      <c r="I2154" s="14" t="s">
        <v>2177</v>
      </c>
    </row>
    <row r="2155" spans="1:9" ht="18.75" customHeight="1" x14ac:dyDescent="0.4">
      <c r="A2155" s="14" t="s">
        <v>6513</v>
      </c>
      <c r="B2155" s="16" t="str">
        <f>TRIM("中島住宅")</f>
        <v>中島住宅</v>
      </c>
      <c r="C2155" s="14" t="s">
        <v>1528</v>
      </c>
      <c r="D2155" s="14" t="s">
        <v>170</v>
      </c>
      <c r="E2155" s="1">
        <v>2052.81</v>
      </c>
      <c r="F2155" s="2">
        <v>2075</v>
      </c>
      <c r="G2155" s="1"/>
      <c r="H2155" s="3"/>
      <c r="I2155" s="14" t="s">
        <v>6177</v>
      </c>
    </row>
    <row r="2156" spans="1:9" ht="18.75" customHeight="1" x14ac:dyDescent="0.4">
      <c r="A2156" s="14" t="s">
        <v>4073</v>
      </c>
      <c r="B2156" s="16" t="str">
        <f>TRIM("中島抽水所")</f>
        <v>中島抽水所</v>
      </c>
      <c r="C2156" s="14" t="s">
        <v>1528</v>
      </c>
      <c r="D2156" s="14" t="s">
        <v>170</v>
      </c>
      <c r="E2156" s="1">
        <v>3128.41</v>
      </c>
      <c r="F2156" s="2"/>
      <c r="G2156" s="1">
        <v>2934.87</v>
      </c>
      <c r="H2156" s="3"/>
      <c r="I2156" s="14" t="s">
        <v>2177</v>
      </c>
    </row>
    <row r="2157" spans="1:9" ht="18.75" customHeight="1" x14ac:dyDescent="0.4">
      <c r="A2157" s="14" t="s">
        <v>4481</v>
      </c>
      <c r="B2157" s="16" t="str">
        <f>TRIM("川北コミュニティ会館")</f>
        <v>川北コミュニティ会館</v>
      </c>
      <c r="C2157" s="14" t="s">
        <v>1528</v>
      </c>
      <c r="D2157" s="14" t="s">
        <v>170</v>
      </c>
      <c r="E2157" s="1">
        <v>309.77999999999997</v>
      </c>
      <c r="F2157" s="2"/>
      <c r="G2157" s="1">
        <v>250.92</v>
      </c>
      <c r="H2157" s="3"/>
      <c r="I2157" s="14" t="s">
        <v>2069</v>
      </c>
    </row>
    <row r="2158" spans="1:9" ht="18.75" customHeight="1" x14ac:dyDescent="0.4">
      <c r="A2158" s="14" t="s">
        <v>4921</v>
      </c>
      <c r="B2158" s="16" t="str">
        <f>TRIM("川北小学校")</f>
        <v>川北小学校</v>
      </c>
      <c r="C2158" s="14" t="s">
        <v>1528</v>
      </c>
      <c r="D2158" s="14" t="s">
        <v>170</v>
      </c>
      <c r="E2158" s="1">
        <v>11370.39</v>
      </c>
      <c r="F2158" s="2"/>
      <c r="G2158" s="1">
        <v>4396.74</v>
      </c>
      <c r="H2158" s="3"/>
      <c r="I2158" s="14" t="s">
        <v>4689</v>
      </c>
    </row>
    <row r="2159" spans="1:9" ht="18.75" customHeight="1" x14ac:dyDescent="0.4">
      <c r="A2159" s="14" t="s">
        <v>6514</v>
      </c>
      <c r="B2159" s="16" t="str">
        <f>TRIM("中島第2住宅")</f>
        <v>中島第2住宅</v>
      </c>
      <c r="C2159" s="14" t="s">
        <v>1528</v>
      </c>
      <c r="D2159" s="14" t="s">
        <v>170</v>
      </c>
      <c r="E2159" s="1">
        <v>1084.29</v>
      </c>
      <c r="F2159" s="2"/>
      <c r="G2159" s="1">
        <v>1024.3699999999999</v>
      </c>
      <c r="H2159" s="3"/>
      <c r="I2159" s="14" t="s">
        <v>6177</v>
      </c>
    </row>
    <row r="2160" spans="1:9" ht="18.75" customHeight="1" x14ac:dyDescent="0.4">
      <c r="A2160" s="14" t="s">
        <v>6515</v>
      </c>
      <c r="B2160" s="16" t="str">
        <f>TRIM("中島第3住宅")</f>
        <v>中島第3住宅</v>
      </c>
      <c r="C2160" s="14" t="s">
        <v>1528</v>
      </c>
      <c r="D2160" s="14" t="s">
        <v>170</v>
      </c>
      <c r="E2160" s="1">
        <v>1720.85</v>
      </c>
      <c r="F2160" s="2"/>
      <c r="G2160" s="1">
        <v>1424.45</v>
      </c>
      <c r="H2160" s="3"/>
      <c r="I2160" s="14" t="s">
        <v>6177</v>
      </c>
    </row>
    <row r="2161" spans="1:9" ht="18.75" customHeight="1" x14ac:dyDescent="0.4">
      <c r="A2161" s="14" t="s">
        <v>2496</v>
      </c>
      <c r="B2161" s="16" t="str">
        <f>TRIM("防潮堤（西淀川）")</f>
        <v>防潮堤（西淀川）</v>
      </c>
      <c r="C2161" s="14" t="s">
        <v>1528</v>
      </c>
      <c r="D2161" s="14" t="s">
        <v>170</v>
      </c>
      <c r="E2161" s="1">
        <v>33521.550000000003</v>
      </c>
      <c r="F2161" s="2"/>
      <c r="G2161" s="1"/>
      <c r="H2161" s="3"/>
      <c r="I2161" s="14" t="s">
        <v>2177</v>
      </c>
    </row>
    <row r="2162" spans="1:9" ht="18.75" customHeight="1" x14ac:dyDescent="0.4">
      <c r="A2162" s="14" t="s">
        <v>2941</v>
      </c>
      <c r="B2162" s="16" t="str">
        <f>TRIM("　西淀川開発2号公園")</f>
        <v>西淀川開発2号公園</v>
      </c>
      <c r="C2162" s="14" t="s">
        <v>1528</v>
      </c>
      <c r="D2162" s="14" t="s">
        <v>170</v>
      </c>
      <c r="E2162" s="1">
        <v>498.95</v>
      </c>
      <c r="F2162" s="2"/>
      <c r="G2162" s="1"/>
      <c r="H2162" s="3"/>
      <c r="I2162" s="14" t="s">
        <v>2177</v>
      </c>
    </row>
    <row r="2163" spans="1:9" ht="18.75" customHeight="1" x14ac:dyDescent="0.4">
      <c r="A2163" s="14" t="s">
        <v>2942</v>
      </c>
      <c r="B2163" s="16" t="str">
        <f>TRIM("　西淀川開発3号公園")</f>
        <v>西淀川開発3号公園</v>
      </c>
      <c r="C2163" s="14" t="s">
        <v>1528</v>
      </c>
      <c r="D2163" s="14" t="s">
        <v>170</v>
      </c>
      <c r="E2163" s="1">
        <v>431.9</v>
      </c>
      <c r="F2163" s="2"/>
      <c r="G2163" s="1"/>
      <c r="H2163" s="3"/>
      <c r="I2163" s="14" t="s">
        <v>2177</v>
      </c>
    </row>
    <row r="2164" spans="1:9" ht="18.75" customHeight="1" x14ac:dyDescent="0.4">
      <c r="A2164" s="14" t="s">
        <v>2943</v>
      </c>
      <c r="B2164" s="16" t="str">
        <f>TRIM("　西淀川開発4号公園")</f>
        <v>西淀川開発4号公園</v>
      </c>
      <c r="C2164" s="14" t="s">
        <v>1528</v>
      </c>
      <c r="D2164" s="14" t="s">
        <v>170</v>
      </c>
      <c r="E2164" s="1">
        <v>601.97</v>
      </c>
      <c r="F2164" s="2"/>
      <c r="G2164" s="1"/>
      <c r="H2164" s="3"/>
      <c r="I2164" s="14" t="s">
        <v>2177</v>
      </c>
    </row>
    <row r="2165" spans="1:9" ht="18.75" customHeight="1" x14ac:dyDescent="0.4">
      <c r="A2165" s="14" t="s">
        <v>3051</v>
      </c>
      <c r="B2165" s="16" t="str">
        <f>TRIM("　中島公園")</f>
        <v>中島公園</v>
      </c>
      <c r="C2165" s="14" t="s">
        <v>1528</v>
      </c>
      <c r="D2165" s="14" t="s">
        <v>170</v>
      </c>
      <c r="E2165" s="1">
        <v>135155.57999999999</v>
      </c>
      <c r="F2165" s="2"/>
      <c r="G2165" s="1"/>
      <c r="H2165" s="3"/>
      <c r="I2165" s="14" t="s">
        <v>2177</v>
      </c>
    </row>
    <row r="2166" spans="1:9" ht="18.75" customHeight="1" x14ac:dyDescent="0.4">
      <c r="A2166" s="14" t="s">
        <v>3052</v>
      </c>
      <c r="B2166" s="16" t="str">
        <f>TRIM("　中島東公園")</f>
        <v>中島東公園</v>
      </c>
      <c r="C2166" s="14" t="s">
        <v>1528</v>
      </c>
      <c r="D2166" s="14" t="s">
        <v>170</v>
      </c>
      <c r="E2166" s="1">
        <v>2242.9699999999998</v>
      </c>
      <c r="F2166" s="2"/>
      <c r="G2166" s="1"/>
      <c r="H2166" s="3"/>
      <c r="I2166" s="14" t="s">
        <v>2177</v>
      </c>
    </row>
    <row r="2167" spans="1:9" ht="18.75" customHeight="1" x14ac:dyDescent="0.4">
      <c r="A2167" s="14" t="s">
        <v>3456</v>
      </c>
      <c r="B2167" s="16" t="str">
        <f>TRIM("川北中央公園")</f>
        <v>川北中央公園</v>
      </c>
      <c r="C2167" s="14" t="s">
        <v>1528</v>
      </c>
      <c r="D2167" s="14" t="s">
        <v>170</v>
      </c>
      <c r="E2167" s="1">
        <v>2920</v>
      </c>
      <c r="F2167" s="2"/>
      <c r="G2167" s="1"/>
      <c r="H2167" s="3"/>
      <c r="I2167" s="14" t="s">
        <v>2177</v>
      </c>
    </row>
    <row r="2168" spans="1:9" ht="18.75" customHeight="1" x14ac:dyDescent="0.4">
      <c r="A2168" s="14" t="s">
        <v>3471</v>
      </c>
      <c r="B2168" s="16" t="str">
        <f>TRIM("中島中公園")</f>
        <v>中島中公園</v>
      </c>
      <c r="C2168" s="14" t="s">
        <v>1528</v>
      </c>
      <c r="D2168" s="14" t="s">
        <v>170</v>
      </c>
      <c r="E2168" s="1">
        <v>1194.17</v>
      </c>
      <c r="F2168" s="2"/>
      <c r="G2168" s="1"/>
      <c r="H2168" s="3"/>
      <c r="I2168" s="14" t="s">
        <v>2177</v>
      </c>
    </row>
    <row r="2169" spans="1:9" ht="18.75" customHeight="1" x14ac:dyDescent="0.4">
      <c r="A2169" s="14" t="s">
        <v>3619</v>
      </c>
      <c r="B2169" s="16" t="str">
        <f>TRIM("　中島公園")</f>
        <v>中島公園</v>
      </c>
      <c r="C2169" s="14" t="s">
        <v>1528</v>
      </c>
      <c r="D2169" s="14" t="s">
        <v>170</v>
      </c>
      <c r="E2169" s="1"/>
      <c r="F2169" s="2"/>
      <c r="G2169" s="1">
        <v>161.99</v>
      </c>
      <c r="H2169" s="3"/>
      <c r="I2169" s="14" t="s">
        <v>2177</v>
      </c>
    </row>
    <row r="2170" spans="1:9" ht="18.75" customHeight="1" x14ac:dyDescent="0.4">
      <c r="A2170" s="14" t="s">
        <v>5415</v>
      </c>
      <c r="B2170" s="16" t="str">
        <f>TRIM("もと中島応急住宅")</f>
        <v>もと中島応急住宅</v>
      </c>
      <c r="C2170" s="14" t="s">
        <v>1528</v>
      </c>
      <c r="D2170" s="14" t="s">
        <v>170</v>
      </c>
      <c r="E2170" s="1">
        <v>16.55</v>
      </c>
      <c r="F2170" s="2"/>
      <c r="G2170" s="1"/>
      <c r="H2170" s="3"/>
      <c r="I2170" s="14" t="s">
        <v>5349</v>
      </c>
    </row>
    <row r="2171" spans="1:9" ht="18.75" customHeight="1" x14ac:dyDescent="0.4">
      <c r="A2171" s="14" t="s">
        <v>5501</v>
      </c>
      <c r="B2171" s="16" t="str">
        <f>TRIM("西淀川署中島交番")</f>
        <v>西淀川署中島交番</v>
      </c>
      <c r="C2171" s="14" t="s">
        <v>1528</v>
      </c>
      <c r="D2171" s="14" t="s">
        <v>170</v>
      </c>
      <c r="E2171" s="1">
        <v>62.61</v>
      </c>
      <c r="F2171" s="2"/>
      <c r="G2171" s="1"/>
      <c r="H2171" s="3"/>
      <c r="I2171" s="14" t="s">
        <v>5349</v>
      </c>
    </row>
    <row r="2172" spans="1:9" ht="18.75" customHeight="1" x14ac:dyDescent="0.4">
      <c r="A2172" s="14" t="s">
        <v>4072</v>
      </c>
      <c r="B2172" s="16" t="str">
        <f>TRIM("中島第2抽水所")</f>
        <v>中島第2抽水所</v>
      </c>
      <c r="C2172" s="14" t="s">
        <v>1528</v>
      </c>
      <c r="D2172" s="14" t="s">
        <v>953</v>
      </c>
      <c r="E2172" s="1">
        <v>5085.28</v>
      </c>
      <c r="F2172" s="2"/>
      <c r="G2172" s="1">
        <v>1325.68</v>
      </c>
      <c r="H2172" s="3"/>
      <c r="I2172" s="14" t="s">
        <v>2177</v>
      </c>
    </row>
    <row r="2173" spans="1:9" ht="18.75" customHeight="1" x14ac:dyDescent="0.4">
      <c r="A2173" s="14" t="s">
        <v>2304</v>
      </c>
      <c r="B2173" s="16" t="str">
        <f>TRIM("道路（西淀川）（管財課）")</f>
        <v>道路（西淀川）（管財課）</v>
      </c>
      <c r="C2173" s="14" t="s">
        <v>1528</v>
      </c>
      <c r="D2173" s="14" t="s">
        <v>953</v>
      </c>
      <c r="E2173" s="1">
        <v>689796.97</v>
      </c>
      <c r="F2173" s="2"/>
      <c r="G2173" s="1"/>
      <c r="H2173" s="3"/>
      <c r="I2173" s="14" t="s">
        <v>2177</v>
      </c>
    </row>
    <row r="2174" spans="1:9" ht="18.75" customHeight="1" x14ac:dyDescent="0.4">
      <c r="A2174" s="14" t="s">
        <v>4060</v>
      </c>
      <c r="B2174" s="16" t="str">
        <f>TRIM("西島抽水所")</f>
        <v>西島抽水所</v>
      </c>
      <c r="C2174" s="14" t="s">
        <v>1528</v>
      </c>
      <c r="D2174" s="14" t="s">
        <v>1325</v>
      </c>
      <c r="E2174" s="1">
        <v>372.05</v>
      </c>
      <c r="F2174" s="2"/>
      <c r="G2174" s="1">
        <v>52.39</v>
      </c>
      <c r="H2174" s="3"/>
      <c r="I2174" s="14" t="s">
        <v>2177</v>
      </c>
    </row>
    <row r="2175" spans="1:9" ht="18.75" customHeight="1" x14ac:dyDescent="0.4">
      <c r="A2175" s="14" t="s">
        <v>3871</v>
      </c>
      <c r="B2175" s="16" t="str">
        <f>TRIM("西島自転車保管所管理事務所")</f>
        <v>西島自転車保管所管理事務所</v>
      </c>
      <c r="C2175" s="14" t="s">
        <v>1528</v>
      </c>
      <c r="D2175" s="14" t="s">
        <v>1325</v>
      </c>
      <c r="E2175" s="1"/>
      <c r="F2175" s="2"/>
      <c r="G2175" s="1">
        <v>13.17</v>
      </c>
      <c r="H2175" s="3"/>
      <c r="I2175" s="14" t="s">
        <v>2177</v>
      </c>
    </row>
    <row r="2176" spans="1:9" ht="18.75" customHeight="1" x14ac:dyDescent="0.4">
      <c r="A2176" s="14" t="s">
        <v>4068</v>
      </c>
      <c r="B2176" s="16" t="str">
        <f>TRIM("大野下水処理場")</f>
        <v>大野下水処理場</v>
      </c>
      <c r="C2176" s="14" t="s">
        <v>1528</v>
      </c>
      <c r="D2176" s="14" t="s">
        <v>1258</v>
      </c>
      <c r="E2176" s="1">
        <v>239269.8</v>
      </c>
      <c r="F2176" s="2">
        <v>298</v>
      </c>
      <c r="G2176" s="1">
        <v>22499.89</v>
      </c>
      <c r="H2176" s="3"/>
      <c r="I2176" s="14" t="s">
        <v>2177</v>
      </c>
    </row>
    <row r="2177" spans="1:9" ht="18.75" customHeight="1" x14ac:dyDescent="0.4">
      <c r="A2177" s="14" t="s">
        <v>3351</v>
      </c>
      <c r="B2177" s="16" t="str">
        <f>TRIM("　矢倉緑地")</f>
        <v>矢倉緑地</v>
      </c>
      <c r="C2177" s="14" t="s">
        <v>1528</v>
      </c>
      <c r="D2177" s="14" t="s">
        <v>1258</v>
      </c>
      <c r="E2177" s="1">
        <v>24000</v>
      </c>
      <c r="F2177" s="2"/>
      <c r="G2177" s="1"/>
      <c r="H2177" s="3"/>
      <c r="I2177" s="14" t="s">
        <v>2177</v>
      </c>
    </row>
    <row r="2178" spans="1:9" ht="18.75" customHeight="1" x14ac:dyDescent="0.4">
      <c r="A2178" s="14" t="s">
        <v>3684</v>
      </c>
      <c r="B2178" s="16" t="str">
        <f>TRIM("　矢倉緑地")</f>
        <v>矢倉緑地</v>
      </c>
      <c r="C2178" s="14" t="s">
        <v>1528</v>
      </c>
      <c r="D2178" s="14" t="s">
        <v>1258</v>
      </c>
      <c r="E2178" s="1"/>
      <c r="F2178" s="2"/>
      <c r="G2178" s="1">
        <v>46.23</v>
      </c>
      <c r="H2178" s="3"/>
      <c r="I2178" s="14" t="s">
        <v>2177</v>
      </c>
    </row>
    <row r="2179" spans="1:9" ht="18.75" customHeight="1" x14ac:dyDescent="0.4">
      <c r="A2179" s="14" t="s">
        <v>3348</v>
      </c>
      <c r="B2179" s="16" t="str">
        <f>TRIM("　野里公園")</f>
        <v>野里公園</v>
      </c>
      <c r="C2179" s="14" t="s">
        <v>1528</v>
      </c>
      <c r="D2179" s="14" t="s">
        <v>1257</v>
      </c>
      <c r="E2179" s="1">
        <v>3196.69</v>
      </c>
      <c r="F2179" s="2"/>
      <c r="G2179" s="1"/>
      <c r="H2179" s="3"/>
      <c r="I2179" s="14" t="s">
        <v>2177</v>
      </c>
    </row>
    <row r="2180" spans="1:9" ht="18.75" customHeight="1" x14ac:dyDescent="0.4">
      <c r="A2180" s="14" t="s">
        <v>3683</v>
      </c>
      <c r="B2180" s="16" t="str">
        <f>TRIM("　野里公園")</f>
        <v>野里公園</v>
      </c>
      <c r="C2180" s="14" t="s">
        <v>1528</v>
      </c>
      <c r="D2180" s="14" t="s">
        <v>1257</v>
      </c>
      <c r="E2180" s="1"/>
      <c r="F2180" s="2"/>
      <c r="G2180" s="1">
        <v>13.45</v>
      </c>
      <c r="H2180" s="3"/>
      <c r="I2180" s="14" t="s">
        <v>2177</v>
      </c>
    </row>
    <row r="2181" spans="1:9" ht="18.75" customHeight="1" x14ac:dyDescent="0.4">
      <c r="A2181" s="14" t="s">
        <v>2155</v>
      </c>
      <c r="B2181" s="16" t="str">
        <f>TRIM("野里福祉会館")</f>
        <v>野里福祉会館</v>
      </c>
      <c r="C2181" s="14" t="s">
        <v>1528</v>
      </c>
      <c r="D2181" s="14" t="s">
        <v>603</v>
      </c>
      <c r="E2181" s="1">
        <v>220.66</v>
      </c>
      <c r="F2181" s="2"/>
      <c r="G2181" s="1">
        <v>341.78</v>
      </c>
      <c r="H2181" s="3"/>
      <c r="I2181" s="14" t="s">
        <v>2069</v>
      </c>
    </row>
    <row r="2182" spans="1:9" ht="18.75" customHeight="1" x14ac:dyDescent="0.4">
      <c r="A2182" s="14" t="s">
        <v>5125</v>
      </c>
      <c r="B2182" s="16" t="str">
        <f>TRIM("野里小学校")</f>
        <v>野里小学校</v>
      </c>
      <c r="C2182" s="14" t="s">
        <v>1528</v>
      </c>
      <c r="D2182" s="14" t="s">
        <v>603</v>
      </c>
      <c r="E2182" s="1">
        <v>5965.22</v>
      </c>
      <c r="F2182" s="2"/>
      <c r="G2182" s="1">
        <v>6338.75</v>
      </c>
      <c r="H2182" s="3"/>
      <c r="I2182" s="14" t="s">
        <v>4689</v>
      </c>
    </row>
    <row r="2183" spans="1:9" ht="18.75" customHeight="1" x14ac:dyDescent="0.4">
      <c r="A2183" s="14" t="s">
        <v>7114</v>
      </c>
      <c r="B2183" s="16" t="str">
        <f>TRIM("西淀川スポーツセンター")</f>
        <v>西淀川スポーツセンター</v>
      </c>
      <c r="C2183" s="14" t="s">
        <v>1528</v>
      </c>
      <c r="D2183" s="14" t="s">
        <v>603</v>
      </c>
      <c r="E2183" s="1">
        <v>2336.9299999999998</v>
      </c>
      <c r="F2183" s="2"/>
      <c r="G2183" s="1">
        <v>1160.55</v>
      </c>
      <c r="H2183" s="3"/>
      <c r="I2183" s="14" t="s">
        <v>4115</v>
      </c>
    </row>
    <row r="2184" spans="1:9" ht="18.75" customHeight="1" x14ac:dyDescent="0.4">
      <c r="A2184" s="14" t="s">
        <v>3349</v>
      </c>
      <c r="B2184" s="16" t="str">
        <f>TRIM("　野里西公園")</f>
        <v>野里西公園</v>
      </c>
      <c r="C2184" s="14" t="s">
        <v>1528</v>
      </c>
      <c r="D2184" s="14" t="s">
        <v>603</v>
      </c>
      <c r="E2184" s="1">
        <v>770.71</v>
      </c>
      <c r="F2184" s="2"/>
      <c r="G2184" s="1"/>
      <c r="H2184" s="3"/>
      <c r="I2184" s="14" t="s">
        <v>2177</v>
      </c>
    </row>
    <row r="2185" spans="1:9" ht="18.75" customHeight="1" x14ac:dyDescent="0.4">
      <c r="A2185" s="14" t="s">
        <v>3350</v>
      </c>
      <c r="B2185" s="16" t="str">
        <f>TRIM("　野里北公園")</f>
        <v>野里北公園</v>
      </c>
      <c r="C2185" s="14" t="s">
        <v>1528</v>
      </c>
      <c r="D2185" s="14" t="s">
        <v>603</v>
      </c>
      <c r="E2185" s="1">
        <v>1019.1</v>
      </c>
      <c r="F2185" s="2"/>
      <c r="G2185" s="1"/>
      <c r="H2185" s="3"/>
      <c r="I2185" s="14" t="s">
        <v>2177</v>
      </c>
    </row>
    <row r="2186" spans="1:9" ht="18.75" customHeight="1" x14ac:dyDescent="0.4">
      <c r="A2186" s="14" t="s">
        <v>5935</v>
      </c>
      <c r="B2186" s="16" t="str">
        <f>TRIM("野里保育園")</f>
        <v>野里保育園</v>
      </c>
      <c r="C2186" s="14" t="s">
        <v>1528</v>
      </c>
      <c r="D2186" s="14" t="s">
        <v>603</v>
      </c>
      <c r="E2186" s="1">
        <v>1014.7</v>
      </c>
      <c r="F2186" s="2"/>
      <c r="G2186" s="1"/>
      <c r="H2186" s="3"/>
      <c r="I2186" s="14" t="s">
        <v>5617</v>
      </c>
    </row>
    <row r="2187" spans="1:9" ht="18.75" customHeight="1" x14ac:dyDescent="0.4">
      <c r="A2187" s="14" t="s">
        <v>5456</v>
      </c>
      <c r="B2187" s="16" t="str">
        <f>TRIM("過小地（下水道用地）")</f>
        <v>過小地（下水道用地）</v>
      </c>
      <c r="C2187" s="14" t="s">
        <v>1528</v>
      </c>
      <c r="D2187" s="14" t="s">
        <v>201</v>
      </c>
      <c r="E2187" s="1">
        <v>3232.49</v>
      </c>
      <c r="F2187" s="2"/>
      <c r="G2187" s="1"/>
      <c r="H2187" s="3"/>
      <c r="I2187" s="14" t="s">
        <v>5349</v>
      </c>
    </row>
    <row r="2188" spans="1:9" ht="18.75" customHeight="1" x14ac:dyDescent="0.4">
      <c r="A2188" s="14" t="s">
        <v>2549</v>
      </c>
      <c r="B2188" s="16" t="str">
        <f>TRIM("　愛光公園")</f>
        <v>愛光公園</v>
      </c>
      <c r="C2188" s="14" t="s">
        <v>1528</v>
      </c>
      <c r="D2188" s="14" t="s">
        <v>274</v>
      </c>
      <c r="E2188" s="1">
        <v>410.8</v>
      </c>
      <c r="F2188" s="2"/>
      <c r="G2188" s="1"/>
      <c r="H2188" s="3"/>
      <c r="I2188" s="14" t="s">
        <v>2177</v>
      </c>
    </row>
    <row r="2189" spans="1:9" ht="18.75" customHeight="1" x14ac:dyDescent="0.4">
      <c r="A2189" s="14" t="s">
        <v>2618</v>
      </c>
      <c r="B2189" s="16" t="str">
        <f>TRIM("　花川西公園")</f>
        <v>花川西公園</v>
      </c>
      <c r="C2189" s="14" t="s">
        <v>1528</v>
      </c>
      <c r="D2189" s="14" t="s">
        <v>274</v>
      </c>
      <c r="E2189" s="1">
        <v>2225.58</v>
      </c>
      <c r="F2189" s="2"/>
      <c r="G2189" s="1"/>
      <c r="H2189" s="3"/>
      <c r="I2189" s="14" t="s">
        <v>2177</v>
      </c>
    </row>
    <row r="2190" spans="1:9" ht="18.75" customHeight="1" x14ac:dyDescent="0.4">
      <c r="A2190" s="14" t="s">
        <v>4486</v>
      </c>
      <c r="B2190" s="16" t="str">
        <f>TRIM("柏花コミュニティ会館")</f>
        <v>柏花コミュニティ会館</v>
      </c>
      <c r="C2190" s="14" t="s">
        <v>1528</v>
      </c>
      <c r="D2190" s="14" t="s">
        <v>274</v>
      </c>
      <c r="E2190" s="1">
        <v>176.89</v>
      </c>
      <c r="F2190" s="2"/>
      <c r="G2190" s="1"/>
      <c r="H2190" s="3"/>
      <c r="I2190" s="14" t="s">
        <v>2069</v>
      </c>
    </row>
    <row r="2191" spans="1:9" ht="18.75" customHeight="1" x14ac:dyDescent="0.4">
      <c r="A2191" s="14" t="s">
        <v>5557</v>
      </c>
      <c r="B2191" s="16" t="str">
        <f>TRIM("もと柏里小学校代替地（児童遊園）")</f>
        <v>もと柏里小学校代替地（児童遊園）</v>
      </c>
      <c r="C2191" s="14" t="s">
        <v>1528</v>
      </c>
      <c r="D2191" s="14" t="s">
        <v>274</v>
      </c>
      <c r="E2191" s="1">
        <v>194.34</v>
      </c>
      <c r="F2191" s="2"/>
      <c r="G2191" s="1"/>
      <c r="H2191" s="3"/>
      <c r="I2191" s="14" t="s">
        <v>5349</v>
      </c>
    </row>
    <row r="2192" spans="1:9" ht="18.75" customHeight="1" x14ac:dyDescent="0.4">
      <c r="A2192" s="14" t="s">
        <v>6271</v>
      </c>
      <c r="B2192" s="16" t="str">
        <f>TRIM(" 姫里住宅")</f>
        <v>姫里住宅</v>
      </c>
      <c r="C2192" s="14" t="s">
        <v>1528</v>
      </c>
      <c r="D2192" s="14" t="s">
        <v>191</v>
      </c>
      <c r="E2192" s="1">
        <v>2064.46</v>
      </c>
      <c r="F2192" s="2"/>
      <c r="G2192" s="1">
        <v>1759.43</v>
      </c>
      <c r="H2192" s="3"/>
      <c r="I2192" s="14" t="s">
        <v>6177</v>
      </c>
    </row>
    <row r="2193" spans="1:9" ht="18.75" customHeight="1" x14ac:dyDescent="0.4">
      <c r="A2193" s="14" t="s">
        <v>2128</v>
      </c>
      <c r="B2193" s="16" t="str">
        <f>TRIM("姫里老人憩の家")</f>
        <v>姫里老人憩の家</v>
      </c>
      <c r="C2193" s="14" t="s">
        <v>1528</v>
      </c>
      <c r="D2193" s="14" t="s">
        <v>191</v>
      </c>
      <c r="E2193" s="1">
        <v>588.07000000000005</v>
      </c>
      <c r="F2193" s="2"/>
      <c r="G2193" s="1"/>
      <c r="H2193" s="3"/>
      <c r="I2193" s="14" t="s">
        <v>2069</v>
      </c>
    </row>
    <row r="2194" spans="1:9" ht="18.75" customHeight="1" x14ac:dyDescent="0.4">
      <c r="A2194" s="14" t="s">
        <v>5444</v>
      </c>
      <c r="B2194" s="16" t="str">
        <f>TRIM("もと野里東共同住宅（コミュニティ用地等）")</f>
        <v>もと野里東共同住宅（コミュニティ用地等）</v>
      </c>
      <c r="C2194" s="14" t="s">
        <v>1528</v>
      </c>
      <c r="D2194" s="14" t="s">
        <v>191</v>
      </c>
      <c r="E2194" s="1">
        <v>219.82</v>
      </c>
      <c r="F2194" s="2"/>
      <c r="G2194" s="1"/>
      <c r="H2194" s="3"/>
      <c r="I2194" s="14" t="s">
        <v>5349</v>
      </c>
    </row>
    <row r="2195" spans="1:9" ht="18.75" customHeight="1" x14ac:dyDescent="0.4">
      <c r="A2195" s="14" t="s">
        <v>5072</v>
      </c>
      <c r="B2195" s="16" t="str">
        <f>TRIM("姫里小学校")</f>
        <v>姫里小学校</v>
      </c>
      <c r="C2195" s="14" t="s">
        <v>1528</v>
      </c>
      <c r="D2195" s="14" t="s">
        <v>140</v>
      </c>
      <c r="E2195" s="1">
        <v>6403.3</v>
      </c>
      <c r="F2195" s="2"/>
      <c r="G2195" s="1">
        <v>6254.83</v>
      </c>
      <c r="H2195" s="3"/>
      <c r="I2195" s="14" t="s">
        <v>4689</v>
      </c>
    </row>
    <row r="2196" spans="1:9" ht="18.75" customHeight="1" x14ac:dyDescent="0.4">
      <c r="A2196" s="14" t="s">
        <v>5920</v>
      </c>
      <c r="B2196" s="16" t="str">
        <f>TRIM("姫里保育所")</f>
        <v>姫里保育所</v>
      </c>
      <c r="C2196" s="14" t="s">
        <v>1528</v>
      </c>
      <c r="D2196" s="14" t="s">
        <v>140</v>
      </c>
      <c r="E2196" s="1">
        <v>1198.9100000000001</v>
      </c>
      <c r="F2196" s="2"/>
      <c r="G2196" s="1">
        <v>503.76</v>
      </c>
      <c r="H2196" s="3"/>
      <c r="I2196" s="14" t="s">
        <v>5617</v>
      </c>
    </row>
    <row r="2197" spans="1:9" ht="18.75" customHeight="1" x14ac:dyDescent="0.4">
      <c r="A2197" s="14" t="s">
        <v>3242</v>
      </c>
      <c r="B2197" s="16" t="str">
        <f>TRIM("　姫之里公園")</f>
        <v>姫之里公園</v>
      </c>
      <c r="C2197" s="14" t="s">
        <v>1528</v>
      </c>
      <c r="D2197" s="14" t="s">
        <v>140</v>
      </c>
      <c r="E2197" s="1">
        <v>3553.71</v>
      </c>
      <c r="F2197" s="2"/>
      <c r="G2197" s="1"/>
      <c r="H2197" s="3"/>
      <c r="I2197" s="14" t="s">
        <v>2177</v>
      </c>
    </row>
    <row r="2198" spans="1:9" ht="18.75" customHeight="1" x14ac:dyDescent="0.4">
      <c r="A2198" s="14" t="s">
        <v>4478</v>
      </c>
      <c r="B2198" s="16" t="str">
        <f>TRIM("西淀川区コミュニティ会館")</f>
        <v>西淀川区コミュニティ会館</v>
      </c>
      <c r="C2198" s="14" t="s">
        <v>1528</v>
      </c>
      <c r="D2198" s="14" t="s">
        <v>140</v>
      </c>
      <c r="E2198" s="1">
        <v>25.52</v>
      </c>
      <c r="F2198" s="2"/>
      <c r="G2198" s="1"/>
      <c r="H2198" s="3"/>
      <c r="I2198" s="14" t="s">
        <v>2069</v>
      </c>
    </row>
    <row r="2199" spans="1:9" ht="18.75" customHeight="1" x14ac:dyDescent="0.4">
      <c r="A2199" s="14" t="s">
        <v>4488</v>
      </c>
      <c r="B2199" s="16" t="str">
        <f>TRIM("姫里コミュニティ会館")</f>
        <v>姫里コミュニティ会館</v>
      </c>
      <c r="C2199" s="14" t="s">
        <v>1528</v>
      </c>
      <c r="D2199" s="14" t="s">
        <v>140</v>
      </c>
      <c r="E2199" s="1">
        <v>306.75</v>
      </c>
      <c r="F2199" s="2"/>
      <c r="G2199" s="1"/>
      <c r="H2199" s="3"/>
      <c r="I2199" s="14" t="s">
        <v>2069</v>
      </c>
    </row>
    <row r="2200" spans="1:9" ht="18.75" customHeight="1" x14ac:dyDescent="0.4">
      <c r="A2200" s="14" t="s">
        <v>5378</v>
      </c>
      <c r="B2200" s="16" t="str">
        <f>TRIM("もと公害対策事業用地（運動場）")</f>
        <v>もと公害対策事業用地（運動場）</v>
      </c>
      <c r="C2200" s="14" t="s">
        <v>1528</v>
      </c>
      <c r="D2200" s="14" t="s">
        <v>140</v>
      </c>
      <c r="E2200" s="1">
        <v>1785.3</v>
      </c>
      <c r="F2200" s="2"/>
      <c r="G2200" s="1"/>
      <c r="H2200" s="3"/>
      <c r="I2200" s="14" t="s">
        <v>5349</v>
      </c>
    </row>
    <row r="2201" spans="1:9" ht="18.75" customHeight="1" x14ac:dyDescent="0.4">
      <c r="A2201" s="14" t="s">
        <v>5674</v>
      </c>
      <c r="B2201" s="16" t="str">
        <f>TRIM("もと西淀川勤労青少年ホーム")</f>
        <v>もと西淀川勤労青少年ホーム</v>
      </c>
      <c r="C2201" s="14" t="s">
        <v>1528</v>
      </c>
      <c r="D2201" s="14" t="s">
        <v>140</v>
      </c>
      <c r="E2201" s="1"/>
      <c r="F2201" s="2"/>
      <c r="G2201" s="1">
        <v>500.07</v>
      </c>
      <c r="H2201" s="3" t="s">
        <v>7353</v>
      </c>
      <c r="I2201" s="14" t="s">
        <v>5617</v>
      </c>
    </row>
    <row r="2202" spans="1:9" ht="18.75" customHeight="1" x14ac:dyDescent="0.4">
      <c r="A2202" s="14" t="s">
        <v>2822</v>
      </c>
      <c r="B2202" s="16" t="str">
        <f>TRIM("　上町公園")</f>
        <v>上町公園</v>
      </c>
      <c r="C2202" s="14" t="s">
        <v>1528</v>
      </c>
      <c r="D2202" s="14" t="s">
        <v>1086</v>
      </c>
      <c r="E2202" s="1">
        <v>1573.55</v>
      </c>
      <c r="F2202" s="2"/>
      <c r="G2202" s="1"/>
      <c r="H2202" s="3"/>
      <c r="I2202" s="14" t="s">
        <v>2177</v>
      </c>
    </row>
    <row r="2203" spans="1:9" ht="18.75" customHeight="1" x14ac:dyDescent="0.4">
      <c r="A2203" s="14" t="s">
        <v>4021</v>
      </c>
      <c r="B2203" s="16" t="str">
        <f>TRIM("下水道用地（西淀川）")</f>
        <v>下水道用地（西淀川）</v>
      </c>
      <c r="C2203" s="14" t="s">
        <v>1528</v>
      </c>
      <c r="D2203" s="14" t="s">
        <v>1086</v>
      </c>
      <c r="E2203" s="1">
        <v>84633.18</v>
      </c>
      <c r="F2203" s="2"/>
      <c r="G2203" s="1"/>
      <c r="H2203" s="3"/>
      <c r="I2203" s="14" t="s">
        <v>2177</v>
      </c>
    </row>
    <row r="2204" spans="1:9" ht="18.75" customHeight="1" x14ac:dyDescent="0.4">
      <c r="A2204" s="14" t="s">
        <v>5816</v>
      </c>
      <c r="B2204" s="16" t="str">
        <f>TRIM("姫島幼稚園")</f>
        <v>姫島幼稚園</v>
      </c>
      <c r="C2204" s="14" t="s">
        <v>1528</v>
      </c>
      <c r="D2204" s="14" t="s">
        <v>519</v>
      </c>
      <c r="E2204" s="1">
        <v>2015.46</v>
      </c>
      <c r="F2204" s="2"/>
      <c r="G2204" s="1">
        <v>1205.1199999999999</v>
      </c>
      <c r="H2204" s="3"/>
      <c r="I2204" s="14" t="s">
        <v>5617</v>
      </c>
    </row>
    <row r="2205" spans="1:9" ht="18.75" customHeight="1" x14ac:dyDescent="0.4">
      <c r="A2205" s="14" t="s">
        <v>3928</v>
      </c>
      <c r="B2205" s="16" t="str">
        <f>TRIM("姫島駅自転車駐車場管理事務所")</f>
        <v>姫島駅自転車駐車場管理事務所</v>
      </c>
      <c r="C2205" s="14" t="s">
        <v>1528</v>
      </c>
      <c r="D2205" s="14" t="s">
        <v>519</v>
      </c>
      <c r="E2205" s="1"/>
      <c r="F2205" s="2"/>
      <c r="G2205" s="1">
        <v>10.8</v>
      </c>
      <c r="H2205" s="3"/>
      <c r="I2205" s="14" t="s">
        <v>2177</v>
      </c>
    </row>
    <row r="2206" spans="1:9" ht="18.75" customHeight="1" x14ac:dyDescent="0.4">
      <c r="A2206" s="14" t="s">
        <v>3927</v>
      </c>
      <c r="B2206" s="16" t="str">
        <f>TRIM("姫島駅自転車駐車場管理ボックス")</f>
        <v>姫島駅自転車駐車場管理ボックス</v>
      </c>
      <c r="C2206" s="14" t="s">
        <v>1528</v>
      </c>
      <c r="D2206" s="14" t="s">
        <v>665</v>
      </c>
      <c r="E2206" s="1"/>
      <c r="F2206" s="2"/>
      <c r="G2206" s="1">
        <v>2.38</v>
      </c>
      <c r="H2206" s="3"/>
      <c r="I2206" s="14" t="s">
        <v>2177</v>
      </c>
    </row>
    <row r="2207" spans="1:9" ht="18.75" customHeight="1" x14ac:dyDescent="0.4">
      <c r="A2207" s="14" t="s">
        <v>6157</v>
      </c>
      <c r="B2207" s="16" t="str">
        <f>TRIM("稗島霊園")</f>
        <v>稗島霊園</v>
      </c>
      <c r="C2207" s="14" t="s">
        <v>1528</v>
      </c>
      <c r="D2207" s="14" t="s">
        <v>665</v>
      </c>
      <c r="E2207" s="1">
        <v>2292.65</v>
      </c>
      <c r="F2207" s="2"/>
      <c r="G2207" s="1"/>
      <c r="H2207" s="3"/>
      <c r="I2207" s="14" t="s">
        <v>5977</v>
      </c>
    </row>
    <row r="2208" spans="1:9" ht="18.75" customHeight="1" x14ac:dyDescent="0.4">
      <c r="A2208" s="14" t="s">
        <v>3205</v>
      </c>
      <c r="B2208" s="16" t="str">
        <f>TRIM("　南姫島公園")</f>
        <v>南姫島公園</v>
      </c>
      <c r="C2208" s="14" t="s">
        <v>1528</v>
      </c>
      <c r="D2208" s="14" t="s">
        <v>1210</v>
      </c>
      <c r="E2208" s="1">
        <v>6042.97</v>
      </c>
      <c r="F2208" s="2"/>
      <c r="G2208" s="1"/>
      <c r="H2208" s="3"/>
      <c r="I2208" s="14" t="s">
        <v>2177</v>
      </c>
    </row>
    <row r="2209" spans="1:9" ht="18.75" customHeight="1" x14ac:dyDescent="0.4">
      <c r="A2209" s="14" t="s">
        <v>3241</v>
      </c>
      <c r="B2209" s="16" t="str">
        <f>TRIM("　姫島浜公園")</f>
        <v>姫島浜公園</v>
      </c>
      <c r="C2209" s="14" t="s">
        <v>1528</v>
      </c>
      <c r="D2209" s="14" t="s">
        <v>1210</v>
      </c>
      <c r="E2209" s="1">
        <v>1266.1099999999999</v>
      </c>
      <c r="F2209" s="2"/>
      <c r="G2209" s="1"/>
      <c r="H2209" s="3"/>
      <c r="I2209" s="14" t="s">
        <v>2177</v>
      </c>
    </row>
    <row r="2210" spans="1:9" ht="18.75" customHeight="1" x14ac:dyDescent="0.4">
      <c r="A2210" s="14" t="s">
        <v>3493</v>
      </c>
      <c r="B2210" s="16" t="str">
        <f>TRIM("姫松公園")</f>
        <v>姫松公園</v>
      </c>
      <c r="C2210" s="14" t="s">
        <v>1528</v>
      </c>
      <c r="D2210" s="14" t="s">
        <v>1210</v>
      </c>
      <c r="E2210" s="1">
        <v>604.67999999999995</v>
      </c>
      <c r="F2210" s="2"/>
      <c r="G2210" s="1"/>
      <c r="H2210" s="3"/>
      <c r="I2210" s="14" t="s">
        <v>2177</v>
      </c>
    </row>
    <row r="2211" spans="1:9" ht="18.75" customHeight="1" x14ac:dyDescent="0.4">
      <c r="A2211" s="14" t="s">
        <v>5919</v>
      </c>
      <c r="B2211" s="16" t="str">
        <f>TRIM("姫島保育所")</f>
        <v>姫島保育所</v>
      </c>
      <c r="C2211" s="14" t="s">
        <v>1528</v>
      </c>
      <c r="D2211" s="14" t="s">
        <v>596</v>
      </c>
      <c r="E2211" s="1">
        <v>1191.03</v>
      </c>
      <c r="F2211" s="2"/>
      <c r="G2211" s="1">
        <v>468.5</v>
      </c>
      <c r="H2211" s="3"/>
      <c r="I2211" s="14" t="s">
        <v>5617</v>
      </c>
    </row>
    <row r="2212" spans="1:9" ht="18.75" customHeight="1" x14ac:dyDescent="0.4">
      <c r="A2212" s="14" t="s">
        <v>2127</v>
      </c>
      <c r="B2212" s="16" t="str">
        <f>TRIM("姫島老人憩の家")</f>
        <v>姫島老人憩の家</v>
      </c>
      <c r="C2212" s="14" t="s">
        <v>1528</v>
      </c>
      <c r="D2212" s="14" t="s">
        <v>596</v>
      </c>
      <c r="E2212" s="1">
        <v>370.43</v>
      </c>
      <c r="F2212" s="2"/>
      <c r="G2212" s="1"/>
      <c r="H2212" s="3"/>
      <c r="I2212" s="14" t="s">
        <v>2069</v>
      </c>
    </row>
    <row r="2213" spans="1:9" ht="18.75" customHeight="1" x14ac:dyDescent="0.4">
      <c r="A2213" s="14" t="s">
        <v>3154</v>
      </c>
      <c r="B2213" s="16" t="str">
        <f>TRIM("　東姫島公園")</f>
        <v>東姫島公園</v>
      </c>
      <c r="C2213" s="14" t="s">
        <v>1528</v>
      </c>
      <c r="D2213" s="14" t="s">
        <v>596</v>
      </c>
      <c r="E2213" s="1">
        <v>869.87</v>
      </c>
      <c r="F2213" s="2"/>
      <c r="G2213" s="1"/>
      <c r="H2213" s="3"/>
      <c r="I2213" s="14" t="s">
        <v>2177</v>
      </c>
    </row>
    <row r="2214" spans="1:9" ht="18.75" customHeight="1" x14ac:dyDescent="0.4">
      <c r="A2214" s="14" t="s">
        <v>3240</v>
      </c>
      <c r="B2214" s="16" t="str">
        <f>TRIM("　姫島公園")</f>
        <v>姫島公園</v>
      </c>
      <c r="C2214" s="14" t="s">
        <v>1528</v>
      </c>
      <c r="D2214" s="14" t="s">
        <v>596</v>
      </c>
      <c r="E2214" s="1">
        <v>5464.82</v>
      </c>
      <c r="F2214" s="2"/>
      <c r="G2214" s="1"/>
      <c r="H2214" s="3"/>
      <c r="I2214" s="14" t="s">
        <v>2177</v>
      </c>
    </row>
    <row r="2215" spans="1:9" ht="18.75" customHeight="1" x14ac:dyDescent="0.4">
      <c r="A2215" s="14" t="s">
        <v>3320</v>
      </c>
      <c r="B2215" s="16" t="str">
        <f>TRIM("　北姫島公園")</f>
        <v>北姫島公園</v>
      </c>
      <c r="C2215" s="14" t="s">
        <v>1528</v>
      </c>
      <c r="D2215" s="14" t="s">
        <v>596</v>
      </c>
      <c r="E2215" s="1">
        <v>583.27</v>
      </c>
      <c r="F2215" s="2"/>
      <c r="G2215" s="1"/>
      <c r="H2215" s="3"/>
      <c r="I2215" s="14" t="s">
        <v>2177</v>
      </c>
    </row>
    <row r="2216" spans="1:9" ht="18.75" customHeight="1" x14ac:dyDescent="0.4">
      <c r="A2216" s="14" t="s">
        <v>3664</v>
      </c>
      <c r="B2216" s="16" t="str">
        <f>TRIM("　姫島公園")</f>
        <v>姫島公園</v>
      </c>
      <c r="C2216" s="14" t="s">
        <v>1528</v>
      </c>
      <c r="D2216" s="14" t="s">
        <v>596</v>
      </c>
      <c r="E2216" s="1"/>
      <c r="F2216" s="2"/>
      <c r="G2216" s="1">
        <v>19.2</v>
      </c>
      <c r="H2216" s="3"/>
      <c r="I2216" s="14" t="s">
        <v>2177</v>
      </c>
    </row>
    <row r="2217" spans="1:9" ht="18.75" customHeight="1" x14ac:dyDescent="0.4">
      <c r="A2217" s="14" t="s">
        <v>4487</v>
      </c>
      <c r="B2217" s="16" t="str">
        <f>TRIM("姫島会館")</f>
        <v>姫島会館</v>
      </c>
      <c r="C2217" s="14" t="s">
        <v>1528</v>
      </c>
      <c r="D2217" s="14" t="s">
        <v>596</v>
      </c>
      <c r="E2217" s="1"/>
      <c r="F2217" s="2"/>
      <c r="G2217" s="1">
        <v>134.63999999999999</v>
      </c>
      <c r="H2217" s="3"/>
      <c r="I2217" s="14" t="s">
        <v>2069</v>
      </c>
    </row>
    <row r="2218" spans="1:9" ht="18.75" customHeight="1" x14ac:dyDescent="0.4">
      <c r="A2218" s="14" t="s">
        <v>4917</v>
      </c>
      <c r="B2218" s="16" t="str">
        <f>TRIM("西淀中学校")</f>
        <v>西淀中学校</v>
      </c>
      <c r="C2218" s="14" t="s">
        <v>1528</v>
      </c>
      <c r="D2218" s="14" t="s">
        <v>356</v>
      </c>
      <c r="E2218" s="1">
        <v>32656.7</v>
      </c>
      <c r="F2218" s="2"/>
      <c r="G2218" s="1">
        <v>7930.02</v>
      </c>
      <c r="H2218" s="3"/>
      <c r="I2218" s="14" t="s">
        <v>4689</v>
      </c>
    </row>
    <row r="2219" spans="1:9" ht="18.75" customHeight="1" x14ac:dyDescent="0.4">
      <c r="A2219" s="14" t="s">
        <v>6635</v>
      </c>
      <c r="B2219" s="16" t="str">
        <f>TRIM("姫島住宅")</f>
        <v>姫島住宅</v>
      </c>
      <c r="C2219" s="14" t="s">
        <v>1528</v>
      </c>
      <c r="D2219" s="14" t="s">
        <v>356</v>
      </c>
      <c r="E2219" s="1">
        <v>3987.45</v>
      </c>
      <c r="F2219" s="2"/>
      <c r="G2219" s="1">
        <v>7109.66</v>
      </c>
      <c r="H2219" s="3"/>
      <c r="I2219" s="14" t="s">
        <v>6177</v>
      </c>
    </row>
    <row r="2220" spans="1:9" ht="18.75" customHeight="1" x14ac:dyDescent="0.4">
      <c r="A2220" s="14" t="s">
        <v>6636</v>
      </c>
      <c r="B2220" s="16" t="str">
        <f>TRIM("姫島第1住宅")</f>
        <v>姫島第1住宅</v>
      </c>
      <c r="C2220" s="14" t="s">
        <v>1528</v>
      </c>
      <c r="D2220" s="14" t="s">
        <v>356</v>
      </c>
      <c r="E2220" s="1">
        <v>1726.72</v>
      </c>
      <c r="F2220" s="2"/>
      <c r="G2220" s="1">
        <v>2702.34</v>
      </c>
      <c r="H2220" s="3"/>
      <c r="I2220" s="14" t="s">
        <v>6177</v>
      </c>
    </row>
    <row r="2221" spans="1:9" ht="18.75" customHeight="1" x14ac:dyDescent="0.4">
      <c r="A2221" s="14" t="s">
        <v>6758</v>
      </c>
      <c r="B2221" s="16" t="str">
        <f>TRIM("姫島第3住宅")</f>
        <v>姫島第3住宅</v>
      </c>
      <c r="C2221" s="14" t="s">
        <v>1528</v>
      </c>
      <c r="D2221" s="14" t="s">
        <v>356</v>
      </c>
      <c r="E2221" s="1">
        <v>4985.2299999999996</v>
      </c>
      <c r="F2221" s="2"/>
      <c r="G2221" s="1">
        <v>6372.65</v>
      </c>
      <c r="H2221" s="3"/>
      <c r="I2221" s="14" t="s">
        <v>6177</v>
      </c>
    </row>
    <row r="2222" spans="1:9" ht="18.75" customHeight="1" x14ac:dyDescent="0.4">
      <c r="A2222" s="14" t="s">
        <v>1733</v>
      </c>
      <c r="B2222" s="16" t="str">
        <f>TRIM("障がい福祉サービス事業所　風の子そだち園")</f>
        <v>障がい福祉サービス事業所　風の子そだち園</v>
      </c>
      <c r="C2222" s="14" t="s">
        <v>1528</v>
      </c>
      <c r="D2222" s="14" t="s">
        <v>356</v>
      </c>
      <c r="E2222" s="1">
        <v>584.04999999999995</v>
      </c>
      <c r="F2222" s="2"/>
      <c r="G2222" s="1"/>
      <c r="H2222" s="3"/>
      <c r="I2222" s="14" t="s">
        <v>1654</v>
      </c>
    </row>
    <row r="2223" spans="1:9" ht="18.75" customHeight="1" x14ac:dyDescent="0.4">
      <c r="A2223" s="14" t="s">
        <v>1754</v>
      </c>
      <c r="B2223" s="16" t="str">
        <f>TRIM("姫島こども園")</f>
        <v>姫島こども園</v>
      </c>
      <c r="C2223" s="14" t="s">
        <v>1528</v>
      </c>
      <c r="D2223" s="14" t="s">
        <v>356</v>
      </c>
      <c r="E2223" s="1">
        <v>1785.91</v>
      </c>
      <c r="F2223" s="2"/>
      <c r="G2223" s="1"/>
      <c r="H2223" s="3"/>
      <c r="I2223" s="14" t="s">
        <v>1654</v>
      </c>
    </row>
    <row r="2224" spans="1:9" ht="18.75" customHeight="1" x14ac:dyDescent="0.4">
      <c r="A2224" s="14" t="s">
        <v>2937</v>
      </c>
      <c r="B2224" s="16" t="str">
        <f>TRIM("　西姫島公園")</f>
        <v>西姫島公園</v>
      </c>
      <c r="C2224" s="14" t="s">
        <v>1528</v>
      </c>
      <c r="D2224" s="14" t="s">
        <v>356</v>
      </c>
      <c r="E2224" s="1">
        <v>7574.52</v>
      </c>
      <c r="F2224" s="2"/>
      <c r="G2224" s="1"/>
      <c r="H2224" s="3"/>
      <c r="I2224" s="14" t="s">
        <v>2177</v>
      </c>
    </row>
    <row r="2225" spans="1:9" ht="18.75" customHeight="1" x14ac:dyDescent="0.4">
      <c r="A2225" s="14" t="s">
        <v>3598</v>
      </c>
      <c r="B2225" s="16" t="str">
        <f>TRIM("　西姫島公園")</f>
        <v>西姫島公園</v>
      </c>
      <c r="C2225" s="14" t="s">
        <v>1528</v>
      </c>
      <c r="D2225" s="14" t="s">
        <v>356</v>
      </c>
      <c r="E2225" s="1"/>
      <c r="F2225" s="2"/>
      <c r="G2225" s="1">
        <v>6.17</v>
      </c>
      <c r="H2225" s="3"/>
      <c r="I2225" s="14" t="s">
        <v>2177</v>
      </c>
    </row>
    <row r="2226" spans="1:9" ht="18.75" customHeight="1" x14ac:dyDescent="0.4">
      <c r="A2226" s="14" t="s">
        <v>5071</v>
      </c>
      <c r="B2226" s="16" t="str">
        <f>TRIM("姫島小学校")</f>
        <v>姫島小学校</v>
      </c>
      <c r="C2226" s="14" t="s">
        <v>1528</v>
      </c>
      <c r="D2226" s="14" t="s">
        <v>1431</v>
      </c>
      <c r="E2226" s="1">
        <v>8026.74</v>
      </c>
      <c r="F2226" s="2"/>
      <c r="G2226" s="1">
        <v>6191.65</v>
      </c>
      <c r="H2226" s="3"/>
      <c r="I2226" s="14" t="s">
        <v>4689</v>
      </c>
    </row>
    <row r="2227" spans="1:9" ht="18.75" customHeight="1" x14ac:dyDescent="0.4">
      <c r="A2227" s="14" t="s">
        <v>3244</v>
      </c>
      <c r="B2227" s="16" t="str">
        <f>TRIM("　百島公園")</f>
        <v>百島公園</v>
      </c>
      <c r="C2227" s="14" t="s">
        <v>1528</v>
      </c>
      <c r="D2227" s="14" t="s">
        <v>1221</v>
      </c>
      <c r="E2227" s="1">
        <v>433.42</v>
      </c>
      <c r="F2227" s="2"/>
      <c r="G2227" s="1"/>
      <c r="H2227" s="3"/>
      <c r="I2227" s="14" t="s">
        <v>2177</v>
      </c>
    </row>
    <row r="2228" spans="1:9" ht="18.75" customHeight="1" x14ac:dyDescent="0.4">
      <c r="A2228" s="14" t="s">
        <v>3444</v>
      </c>
      <c r="B2228" s="16" t="str">
        <f>TRIM("新淀川公園")</f>
        <v>新淀川公園</v>
      </c>
      <c r="C2228" s="14" t="s">
        <v>1528</v>
      </c>
      <c r="D2228" s="14" t="s">
        <v>1221</v>
      </c>
      <c r="E2228" s="1">
        <v>18843.830000000002</v>
      </c>
      <c r="F2228" s="2"/>
      <c r="G2228" s="1"/>
      <c r="H2228" s="3"/>
      <c r="I2228" s="14" t="s">
        <v>2177</v>
      </c>
    </row>
    <row r="2229" spans="1:9" ht="18.75" customHeight="1" x14ac:dyDescent="0.4">
      <c r="A2229" s="14" t="s">
        <v>3694</v>
      </c>
      <c r="B2229" s="16" t="str">
        <f>TRIM("新淀川公園")</f>
        <v>新淀川公園</v>
      </c>
      <c r="C2229" s="14" t="s">
        <v>1528</v>
      </c>
      <c r="D2229" s="14" t="s">
        <v>1221</v>
      </c>
      <c r="E2229" s="1"/>
      <c r="F2229" s="2"/>
      <c r="G2229" s="1">
        <v>19.2</v>
      </c>
      <c r="H2229" s="3"/>
      <c r="I2229" s="14" t="s">
        <v>2177</v>
      </c>
    </row>
    <row r="2230" spans="1:9" ht="18.75" customHeight="1" x14ac:dyDescent="0.4">
      <c r="A2230" s="14" t="s">
        <v>4069</v>
      </c>
      <c r="B2230" s="16" t="str">
        <f>TRIM("大野下水処理場（百島）")</f>
        <v>大野下水処理場（百島）</v>
      </c>
      <c r="C2230" s="14" t="s">
        <v>1528</v>
      </c>
      <c r="D2230" s="14" t="s">
        <v>1221</v>
      </c>
      <c r="E2230" s="1">
        <v>1584.2</v>
      </c>
      <c r="F2230" s="2"/>
      <c r="G2230" s="1"/>
      <c r="H2230" s="3"/>
      <c r="I2230" s="14" t="s">
        <v>2177</v>
      </c>
    </row>
    <row r="2231" spans="1:9" ht="18.75" customHeight="1" x14ac:dyDescent="0.4">
      <c r="A2231" s="14" t="s">
        <v>3255</v>
      </c>
      <c r="B2231" s="16" t="str">
        <f>TRIM("　福町東公園")</f>
        <v>福町東公園</v>
      </c>
      <c r="C2231" s="14" t="s">
        <v>1528</v>
      </c>
      <c r="D2231" s="14" t="s">
        <v>1224</v>
      </c>
      <c r="E2231" s="1">
        <v>4892.5600000000004</v>
      </c>
      <c r="F2231" s="2"/>
      <c r="G2231" s="1"/>
      <c r="H2231" s="3"/>
      <c r="I2231" s="14" t="s">
        <v>2177</v>
      </c>
    </row>
    <row r="2232" spans="1:9" ht="18.75" customHeight="1" x14ac:dyDescent="0.4">
      <c r="A2232" s="14" t="s">
        <v>3668</v>
      </c>
      <c r="B2232" s="16" t="str">
        <f>TRIM("　福町東公園")</f>
        <v>福町東公園</v>
      </c>
      <c r="C2232" s="14" t="s">
        <v>1528</v>
      </c>
      <c r="D2232" s="14" t="s">
        <v>1224</v>
      </c>
      <c r="E2232" s="1"/>
      <c r="F2232" s="2"/>
      <c r="G2232" s="1">
        <v>19.2</v>
      </c>
      <c r="H2232" s="3"/>
      <c r="I2232" s="14" t="s">
        <v>2177</v>
      </c>
    </row>
    <row r="2233" spans="1:9" ht="18.75" customHeight="1" x14ac:dyDescent="0.4">
      <c r="A2233" s="14" t="s">
        <v>5077</v>
      </c>
      <c r="B2233" s="16" t="str">
        <f>TRIM("福小学校")</f>
        <v>福小学校</v>
      </c>
      <c r="C2233" s="14" t="s">
        <v>1528</v>
      </c>
      <c r="D2233" s="14" t="s">
        <v>390</v>
      </c>
      <c r="E2233" s="1">
        <v>7657.42</v>
      </c>
      <c r="F2233" s="2"/>
      <c r="G2233" s="1">
        <v>6276.65</v>
      </c>
      <c r="H2233" s="3"/>
      <c r="I2233" s="14" t="s">
        <v>4689</v>
      </c>
    </row>
    <row r="2234" spans="1:9" ht="18.75" customHeight="1" x14ac:dyDescent="0.4">
      <c r="A2234" s="14" t="s">
        <v>6640</v>
      </c>
      <c r="B2234" s="16" t="str">
        <f>TRIM("福第2住宅")</f>
        <v>福第2住宅</v>
      </c>
      <c r="C2234" s="14" t="s">
        <v>1528</v>
      </c>
      <c r="D2234" s="14" t="s">
        <v>390</v>
      </c>
      <c r="E2234" s="1">
        <v>6673.82</v>
      </c>
      <c r="F2234" s="2"/>
      <c r="G2234" s="1">
        <v>2760.58</v>
      </c>
      <c r="H2234" s="3"/>
      <c r="I2234" s="14" t="s">
        <v>6177</v>
      </c>
    </row>
    <row r="2235" spans="1:9" ht="18.75" customHeight="1" x14ac:dyDescent="0.4">
      <c r="A2235" s="14" t="s">
        <v>1894</v>
      </c>
      <c r="B2235" s="16" t="str">
        <f>TRIM("西淀地域在宅サービスステーション")</f>
        <v>西淀地域在宅サービスステーション</v>
      </c>
      <c r="C2235" s="14" t="s">
        <v>1528</v>
      </c>
      <c r="D2235" s="14" t="s">
        <v>390</v>
      </c>
      <c r="E2235" s="1">
        <v>647.04</v>
      </c>
      <c r="F2235" s="2"/>
      <c r="G2235" s="1"/>
      <c r="H2235" s="3"/>
      <c r="I2235" s="14" t="s">
        <v>1654</v>
      </c>
    </row>
    <row r="2236" spans="1:9" ht="18.75" customHeight="1" x14ac:dyDescent="0.4">
      <c r="A2236" s="14" t="s">
        <v>2130</v>
      </c>
      <c r="B2236" s="16" t="str">
        <f>TRIM("福町会館（もと福老人憩の家）")</f>
        <v>福町会館（もと福老人憩の家）</v>
      </c>
      <c r="C2236" s="14" t="s">
        <v>1528</v>
      </c>
      <c r="D2236" s="14" t="s">
        <v>390</v>
      </c>
      <c r="E2236" s="1">
        <v>430.29</v>
      </c>
      <c r="F2236" s="2"/>
      <c r="G2236" s="1"/>
      <c r="H2236" s="3"/>
      <c r="I2236" s="14" t="s">
        <v>2069</v>
      </c>
    </row>
    <row r="2237" spans="1:9" ht="18.75" customHeight="1" x14ac:dyDescent="0.4">
      <c r="A2237" s="14" t="s">
        <v>3253</v>
      </c>
      <c r="B2237" s="16" t="str">
        <f>TRIM("　福町公園")</f>
        <v>福町公園</v>
      </c>
      <c r="C2237" s="14" t="s">
        <v>1528</v>
      </c>
      <c r="D2237" s="14" t="s">
        <v>390</v>
      </c>
      <c r="E2237" s="1">
        <v>1298.01</v>
      </c>
      <c r="F2237" s="2"/>
      <c r="G2237" s="1"/>
      <c r="H2237" s="3"/>
      <c r="I2237" s="14" t="s">
        <v>2177</v>
      </c>
    </row>
    <row r="2238" spans="1:9" ht="18.75" customHeight="1" x14ac:dyDescent="0.4">
      <c r="A2238" s="14" t="s">
        <v>3254</v>
      </c>
      <c r="B2238" s="16" t="str">
        <f>TRIM("　福町西公園")</f>
        <v>福町西公園</v>
      </c>
      <c r="C2238" s="14" t="s">
        <v>1528</v>
      </c>
      <c r="D2238" s="14" t="s">
        <v>390</v>
      </c>
      <c r="E2238" s="1">
        <v>10842.33</v>
      </c>
      <c r="F2238" s="2"/>
      <c r="G2238" s="1"/>
      <c r="H2238" s="3"/>
      <c r="I2238" s="14" t="s">
        <v>2177</v>
      </c>
    </row>
    <row r="2239" spans="1:9" ht="18.75" customHeight="1" x14ac:dyDescent="0.4">
      <c r="A2239" s="14" t="s">
        <v>3667</v>
      </c>
      <c r="B2239" s="16" t="str">
        <f>TRIM("　福町西公園")</f>
        <v>福町西公園</v>
      </c>
      <c r="C2239" s="14" t="s">
        <v>1528</v>
      </c>
      <c r="D2239" s="14" t="s">
        <v>390</v>
      </c>
      <c r="E2239" s="1"/>
      <c r="F2239" s="2"/>
      <c r="G2239" s="1">
        <v>21.12</v>
      </c>
      <c r="H2239" s="3"/>
      <c r="I2239" s="14" t="s">
        <v>2177</v>
      </c>
    </row>
    <row r="2240" spans="1:9" ht="18.75" customHeight="1" x14ac:dyDescent="0.4">
      <c r="A2240" s="14" t="s">
        <v>3737</v>
      </c>
      <c r="B2240" s="16" t="str">
        <f>TRIM(" 福町自転車保管所管理事務所")</f>
        <v>福町自転車保管所管理事務所</v>
      </c>
      <c r="C2240" s="14" t="s">
        <v>1528</v>
      </c>
      <c r="D2240" s="14" t="s">
        <v>390</v>
      </c>
      <c r="E2240" s="1"/>
      <c r="F2240" s="2"/>
      <c r="G2240" s="1">
        <v>27.2</v>
      </c>
      <c r="H2240" s="3"/>
      <c r="I2240" s="14" t="s">
        <v>2177</v>
      </c>
    </row>
    <row r="2241" spans="1:9" ht="18.75" customHeight="1" x14ac:dyDescent="0.4">
      <c r="A2241" s="14" t="s">
        <v>6159</v>
      </c>
      <c r="B2241" s="16" t="str">
        <f>TRIM("福霊園")</f>
        <v>福霊園</v>
      </c>
      <c r="C2241" s="14" t="s">
        <v>1528</v>
      </c>
      <c r="D2241" s="14" t="s">
        <v>390</v>
      </c>
      <c r="E2241" s="1">
        <v>1310</v>
      </c>
      <c r="F2241" s="2"/>
      <c r="G2241" s="1"/>
      <c r="H2241" s="3"/>
      <c r="I2241" s="14" t="s">
        <v>5977</v>
      </c>
    </row>
    <row r="2242" spans="1:9" ht="18.75" customHeight="1" x14ac:dyDescent="0.4">
      <c r="A2242" s="14" t="s">
        <v>3256</v>
      </c>
      <c r="B2242" s="16" t="str">
        <f>TRIM("　福町北公園")</f>
        <v>福町北公園</v>
      </c>
      <c r="C2242" s="14" t="s">
        <v>1528</v>
      </c>
      <c r="D2242" s="14" t="s">
        <v>1225</v>
      </c>
      <c r="E2242" s="1">
        <v>2514.06</v>
      </c>
      <c r="F2242" s="2"/>
      <c r="G2242" s="1"/>
      <c r="H2242" s="3"/>
      <c r="I2242" s="14" t="s">
        <v>2177</v>
      </c>
    </row>
    <row r="2243" spans="1:9" ht="18.75" customHeight="1" x14ac:dyDescent="0.4">
      <c r="A2243" s="14" t="s">
        <v>3929</v>
      </c>
      <c r="B2243" s="16" t="str">
        <f>TRIM("福駅自転車駐車場管理事務所")</f>
        <v>福駅自転車駐車場管理事務所</v>
      </c>
      <c r="C2243" s="14" t="s">
        <v>1528</v>
      </c>
      <c r="D2243" s="14" t="s">
        <v>1225</v>
      </c>
      <c r="E2243" s="1"/>
      <c r="F2243" s="2"/>
      <c r="G2243" s="1">
        <v>8.1</v>
      </c>
      <c r="H2243" s="3"/>
      <c r="I2243" s="14" t="s">
        <v>2177</v>
      </c>
    </row>
    <row r="2244" spans="1:9" ht="18.75" customHeight="1" x14ac:dyDescent="0.4">
      <c r="A2244" s="14" t="s">
        <v>5262</v>
      </c>
      <c r="B2244" s="16" t="str">
        <f>TRIM("西淀川消防署")</f>
        <v>西淀川消防署</v>
      </c>
      <c r="C2244" s="14" t="s">
        <v>1528</v>
      </c>
      <c r="D2244" s="14" t="s">
        <v>632</v>
      </c>
      <c r="E2244" s="1">
        <v>1335.21</v>
      </c>
      <c r="F2244" s="2"/>
      <c r="G2244" s="1">
        <v>1825.67</v>
      </c>
      <c r="H2244" s="3"/>
      <c r="I2244" s="14" t="s">
        <v>5219</v>
      </c>
    </row>
    <row r="2245" spans="1:9" ht="18.75" customHeight="1" x14ac:dyDescent="0.4">
      <c r="A2245" s="14" t="s">
        <v>3756</v>
      </c>
      <c r="B2245" s="16" t="str">
        <f>TRIM("ＪＲ御幣島駅自転車駐車場")</f>
        <v>ＪＲ御幣島駅自転車駐車場</v>
      </c>
      <c r="C2245" s="14" t="s">
        <v>1528</v>
      </c>
      <c r="D2245" s="14" t="s">
        <v>632</v>
      </c>
      <c r="E2245" s="1"/>
      <c r="F2245" s="2"/>
      <c r="G2245" s="1">
        <v>1221.8699999999999</v>
      </c>
      <c r="H2245" s="3"/>
      <c r="I2245" s="14" t="s">
        <v>2177</v>
      </c>
    </row>
    <row r="2246" spans="1:9" ht="18.75" customHeight="1" x14ac:dyDescent="0.4">
      <c r="A2246" s="14" t="s">
        <v>3807</v>
      </c>
      <c r="B2246" s="16" t="str">
        <f>TRIM("御幣島駅自転車駐車場")</f>
        <v>御幣島駅自転車駐車場</v>
      </c>
      <c r="C2246" s="14" t="s">
        <v>1528</v>
      </c>
      <c r="D2246" s="14" t="s">
        <v>632</v>
      </c>
      <c r="E2246" s="1">
        <v>86.74</v>
      </c>
      <c r="F2246" s="2"/>
      <c r="G2246" s="1"/>
      <c r="H2246" s="3"/>
      <c r="I2246" s="14" t="s">
        <v>2177</v>
      </c>
    </row>
    <row r="2247" spans="1:9" ht="18.75" customHeight="1" x14ac:dyDescent="0.4">
      <c r="A2247" s="14" t="s">
        <v>4474</v>
      </c>
      <c r="B2247" s="16" t="str">
        <f>TRIM(" 西淀川区保健福祉センター")</f>
        <v>西淀川区保健福祉センター</v>
      </c>
      <c r="C2247" s="14" t="s">
        <v>1528</v>
      </c>
      <c r="D2247" s="14" t="s">
        <v>632</v>
      </c>
      <c r="E2247" s="1"/>
      <c r="F2247" s="2"/>
      <c r="G2247" s="1">
        <v>2381.4699999999998</v>
      </c>
      <c r="H2247" s="3"/>
      <c r="I2247" s="14" t="s">
        <v>2069</v>
      </c>
    </row>
    <row r="2248" spans="1:9" ht="18.75" customHeight="1" x14ac:dyDescent="0.4">
      <c r="A2248" s="14" t="s">
        <v>4475</v>
      </c>
      <c r="B2248" s="16" t="str">
        <f>TRIM(" 西淀川区役所")</f>
        <v>西淀川区役所</v>
      </c>
      <c r="C2248" s="14" t="s">
        <v>1528</v>
      </c>
      <c r="D2248" s="14" t="s">
        <v>632</v>
      </c>
      <c r="E2248" s="1"/>
      <c r="F2248" s="2"/>
      <c r="G2248" s="1">
        <v>7777.39</v>
      </c>
      <c r="H2248" s="3"/>
      <c r="I2248" s="14" t="s">
        <v>2069</v>
      </c>
    </row>
    <row r="2249" spans="1:9" ht="18.75" customHeight="1" x14ac:dyDescent="0.4">
      <c r="A2249" s="14" t="s">
        <v>4476</v>
      </c>
      <c r="B2249" s="16" t="str">
        <f>TRIM("西淀川区役所")</f>
        <v>西淀川区役所</v>
      </c>
      <c r="C2249" s="14" t="s">
        <v>1528</v>
      </c>
      <c r="D2249" s="14" t="s">
        <v>632</v>
      </c>
      <c r="E2249" s="1">
        <v>3869.2</v>
      </c>
      <c r="F2249" s="2"/>
      <c r="G2249" s="1"/>
      <c r="H2249" s="3"/>
      <c r="I2249" s="14" t="s">
        <v>2069</v>
      </c>
    </row>
    <row r="2250" spans="1:9" ht="18.75" customHeight="1" x14ac:dyDescent="0.4">
      <c r="A2250" s="14" t="s">
        <v>5187</v>
      </c>
      <c r="B2250" s="16" t="str">
        <f>TRIM(" 西淀川図書館")</f>
        <v>西淀川図書館</v>
      </c>
      <c r="C2250" s="14" t="s">
        <v>1528</v>
      </c>
      <c r="D2250" s="14" t="s">
        <v>632</v>
      </c>
      <c r="E2250" s="1"/>
      <c r="F2250" s="2"/>
      <c r="G2250" s="1">
        <v>1792.23</v>
      </c>
      <c r="H2250" s="3"/>
      <c r="I2250" s="14" t="s">
        <v>4689</v>
      </c>
    </row>
    <row r="2251" spans="1:9" ht="18.75" customHeight="1" x14ac:dyDescent="0.4">
      <c r="A2251" s="14" t="s">
        <v>5347</v>
      </c>
      <c r="B2251" s="16" t="str">
        <f>TRIM("西淀川備蓄倉庫")</f>
        <v>西淀川備蓄倉庫</v>
      </c>
      <c r="C2251" s="14" t="s">
        <v>1528</v>
      </c>
      <c r="D2251" s="14" t="s">
        <v>632</v>
      </c>
      <c r="E2251" s="1"/>
      <c r="F2251" s="2"/>
      <c r="G2251" s="1">
        <v>723.1</v>
      </c>
      <c r="H2251" s="3"/>
      <c r="I2251" s="14" t="s">
        <v>5344</v>
      </c>
    </row>
    <row r="2252" spans="1:9" ht="18.75" customHeight="1" x14ac:dyDescent="0.4">
      <c r="A2252" s="14" t="s">
        <v>6112</v>
      </c>
      <c r="B2252" s="16" t="str">
        <f>TRIM("御幣島霊園")</f>
        <v>御幣島霊園</v>
      </c>
      <c r="C2252" s="14" t="s">
        <v>1528</v>
      </c>
      <c r="D2252" s="14" t="s">
        <v>632</v>
      </c>
      <c r="E2252" s="1">
        <v>842.97</v>
      </c>
      <c r="F2252" s="2"/>
      <c r="G2252" s="1"/>
      <c r="H2252" s="3"/>
      <c r="I2252" s="14" t="s">
        <v>5977</v>
      </c>
    </row>
    <row r="2253" spans="1:9" ht="18.75" customHeight="1" x14ac:dyDescent="0.4">
      <c r="A2253" s="14" t="s">
        <v>6169</v>
      </c>
      <c r="B2253" s="16" t="str">
        <f>TRIM("野里霊園")</f>
        <v>野里霊園</v>
      </c>
      <c r="C2253" s="14" t="s">
        <v>1528</v>
      </c>
      <c r="D2253" s="14" t="s">
        <v>632</v>
      </c>
      <c r="E2253" s="1">
        <v>793.38</v>
      </c>
      <c r="F2253" s="2"/>
      <c r="G2253" s="1"/>
      <c r="H2253" s="3"/>
      <c r="I2253" s="14" t="s">
        <v>5977</v>
      </c>
    </row>
    <row r="2254" spans="1:9" ht="18.75" customHeight="1" x14ac:dyDescent="0.4">
      <c r="A2254" s="14" t="s">
        <v>5644</v>
      </c>
      <c r="B2254" s="16" t="str">
        <f>TRIM("香蓑子どもの家")</f>
        <v>香蓑子どもの家</v>
      </c>
      <c r="C2254" s="14" t="s">
        <v>1528</v>
      </c>
      <c r="D2254" s="14" t="s">
        <v>39</v>
      </c>
      <c r="E2254" s="1">
        <v>40.14</v>
      </c>
      <c r="F2254" s="2"/>
      <c r="G2254" s="1">
        <v>97.79</v>
      </c>
      <c r="H2254" s="3" t="s">
        <v>7353</v>
      </c>
      <c r="I2254" s="14" t="s">
        <v>5617</v>
      </c>
    </row>
    <row r="2255" spans="1:9" ht="18.75" customHeight="1" x14ac:dyDescent="0.4">
      <c r="A2255" s="14" t="s">
        <v>7053</v>
      </c>
      <c r="B2255" s="16" t="str">
        <f>TRIM("西淀川小売市場民営活性化事業施設")</f>
        <v>西淀川小売市場民営活性化事業施設</v>
      </c>
      <c r="C2255" s="14" t="s">
        <v>1528</v>
      </c>
      <c r="D2255" s="14" t="s">
        <v>39</v>
      </c>
      <c r="E2255" s="1">
        <v>1363.47</v>
      </c>
      <c r="F2255" s="2"/>
      <c r="G2255" s="1">
        <v>1350.09</v>
      </c>
      <c r="H2255" s="3"/>
      <c r="I2255" s="14" t="s">
        <v>4115</v>
      </c>
    </row>
    <row r="2256" spans="1:9" ht="18.75" customHeight="1" x14ac:dyDescent="0.4">
      <c r="A2256" s="14" t="s">
        <v>3979</v>
      </c>
      <c r="B2256" s="16" t="str">
        <f>TRIM("淀川右岸水防事務組合倉庫")</f>
        <v>淀川右岸水防事務組合倉庫</v>
      </c>
      <c r="C2256" s="14" t="s">
        <v>1528</v>
      </c>
      <c r="D2256" s="14" t="s">
        <v>39</v>
      </c>
      <c r="E2256" s="1">
        <v>178.51</v>
      </c>
      <c r="F2256" s="2"/>
      <c r="G2256" s="1"/>
      <c r="H2256" s="3"/>
      <c r="I2256" s="14" t="s">
        <v>2177</v>
      </c>
    </row>
    <row r="2257" spans="1:9" ht="18.75" customHeight="1" x14ac:dyDescent="0.4">
      <c r="A2257" s="14" t="s">
        <v>5190</v>
      </c>
      <c r="B2257" s="16" t="str">
        <f>TRIM("もと西淀川図書館")</f>
        <v>もと西淀川図書館</v>
      </c>
      <c r="C2257" s="14" t="s">
        <v>1528</v>
      </c>
      <c r="D2257" s="14" t="s">
        <v>39</v>
      </c>
      <c r="E2257" s="1"/>
      <c r="F2257" s="2"/>
      <c r="G2257" s="1">
        <v>410.23</v>
      </c>
      <c r="H2257" s="3" t="s">
        <v>7353</v>
      </c>
      <c r="I2257" s="14" t="s">
        <v>4689</v>
      </c>
    </row>
    <row r="2258" spans="1:9" ht="18.75" customHeight="1" x14ac:dyDescent="0.4">
      <c r="A2258" s="14" t="s">
        <v>4479</v>
      </c>
      <c r="B2258" s="16" t="str">
        <f>TRIM("西淀川区民ホール")</f>
        <v>西淀川区民ホール</v>
      </c>
      <c r="C2258" s="14" t="s">
        <v>1528</v>
      </c>
      <c r="D2258" s="14" t="s">
        <v>742</v>
      </c>
      <c r="E2258" s="1">
        <v>2949.68</v>
      </c>
      <c r="F2258" s="2"/>
      <c r="G2258" s="1">
        <v>1148.5</v>
      </c>
      <c r="H2258" s="3"/>
      <c r="I2258" s="14" t="s">
        <v>2069</v>
      </c>
    </row>
    <row r="2259" spans="1:9" ht="18.75" customHeight="1" x14ac:dyDescent="0.4">
      <c r="A2259" s="14" t="s">
        <v>4795</v>
      </c>
      <c r="B2259" s="16" t="str">
        <f>TRIM("御幣島小学校")</f>
        <v>御幣島小学校</v>
      </c>
      <c r="C2259" s="14" t="s">
        <v>1528</v>
      </c>
      <c r="D2259" s="14" t="s">
        <v>742</v>
      </c>
      <c r="E2259" s="1">
        <v>13201.3</v>
      </c>
      <c r="F2259" s="2"/>
      <c r="G2259" s="1">
        <v>6325.79</v>
      </c>
      <c r="H2259" s="3"/>
      <c r="I2259" s="14" t="s">
        <v>4689</v>
      </c>
    </row>
    <row r="2260" spans="1:9" ht="18.75" customHeight="1" x14ac:dyDescent="0.4">
      <c r="A2260" s="14" t="s">
        <v>6362</v>
      </c>
      <c r="B2260" s="16" t="str">
        <f>TRIM("御幣島東住宅")</f>
        <v>御幣島東住宅</v>
      </c>
      <c r="C2260" s="14" t="s">
        <v>1528</v>
      </c>
      <c r="D2260" s="14" t="s">
        <v>742</v>
      </c>
      <c r="E2260" s="1">
        <v>15910.36</v>
      </c>
      <c r="F2260" s="2"/>
      <c r="G2260" s="1">
        <v>14614.42</v>
      </c>
      <c r="H2260" s="3"/>
      <c r="I2260" s="14" t="s">
        <v>6177</v>
      </c>
    </row>
    <row r="2261" spans="1:9" ht="18.75" customHeight="1" x14ac:dyDescent="0.4">
      <c r="A2261" s="14" t="s">
        <v>2689</v>
      </c>
      <c r="B2261" s="16" t="str">
        <f>TRIM("　御幣島東公園")</f>
        <v>御幣島東公園</v>
      </c>
      <c r="C2261" s="14" t="s">
        <v>1528</v>
      </c>
      <c r="D2261" s="14" t="s">
        <v>742</v>
      </c>
      <c r="E2261" s="1">
        <v>8535.2099999999991</v>
      </c>
      <c r="F2261" s="2"/>
      <c r="G2261" s="1"/>
      <c r="H2261" s="3"/>
      <c r="I2261" s="14" t="s">
        <v>2177</v>
      </c>
    </row>
    <row r="2262" spans="1:9" ht="18.75" customHeight="1" x14ac:dyDescent="0.4">
      <c r="A2262" s="14" t="s">
        <v>3550</v>
      </c>
      <c r="B2262" s="16" t="str">
        <f>TRIM("　御幣島東公園")</f>
        <v>御幣島東公園</v>
      </c>
      <c r="C2262" s="14" t="s">
        <v>1528</v>
      </c>
      <c r="D2262" s="14" t="s">
        <v>742</v>
      </c>
      <c r="E2262" s="1"/>
      <c r="F2262" s="2"/>
      <c r="G2262" s="1">
        <v>19.2</v>
      </c>
      <c r="H2262" s="3"/>
      <c r="I2262" s="14" t="s">
        <v>2177</v>
      </c>
    </row>
    <row r="2263" spans="1:9" ht="18.75" customHeight="1" x14ac:dyDescent="0.4">
      <c r="A2263" s="14" t="s">
        <v>6026</v>
      </c>
      <c r="B2263" s="16" t="str">
        <f>TRIM("西淀川区内公衆便所")</f>
        <v>西淀川区内公衆便所</v>
      </c>
      <c r="C2263" s="14" t="s">
        <v>1528</v>
      </c>
      <c r="D2263" s="14" t="s">
        <v>742</v>
      </c>
      <c r="E2263" s="1"/>
      <c r="F2263" s="2"/>
      <c r="G2263" s="1">
        <v>37.950000000000003</v>
      </c>
      <c r="H2263" s="3"/>
      <c r="I2263" s="14" t="s">
        <v>5977</v>
      </c>
    </row>
    <row r="2264" spans="1:9" ht="18.75" customHeight="1" x14ac:dyDescent="0.4">
      <c r="A2264" s="14" t="s">
        <v>2688</v>
      </c>
      <c r="B2264" s="16" t="str">
        <f>TRIM("　御幣島中央公園")</f>
        <v>御幣島中央公園</v>
      </c>
      <c r="C2264" s="14" t="s">
        <v>1528</v>
      </c>
      <c r="D2264" s="14" t="s">
        <v>741</v>
      </c>
      <c r="E2264" s="1">
        <v>23286.57</v>
      </c>
      <c r="F2264" s="2">
        <v>309</v>
      </c>
      <c r="G2264" s="1"/>
      <c r="H2264" s="3"/>
      <c r="I2264" s="14" t="s">
        <v>2177</v>
      </c>
    </row>
    <row r="2265" spans="1:9" ht="18.75" customHeight="1" x14ac:dyDescent="0.4">
      <c r="A2265" s="14" t="s">
        <v>6361</v>
      </c>
      <c r="B2265" s="16" t="str">
        <f>TRIM("御幣島西住宅")</f>
        <v>御幣島西住宅</v>
      </c>
      <c r="C2265" s="14" t="s">
        <v>1528</v>
      </c>
      <c r="D2265" s="14" t="s">
        <v>741</v>
      </c>
      <c r="E2265" s="1">
        <v>2988.89</v>
      </c>
      <c r="F2265" s="2"/>
      <c r="G2265" s="1">
        <v>2779.07</v>
      </c>
      <c r="H2265" s="3"/>
      <c r="I2265" s="14" t="s">
        <v>6177</v>
      </c>
    </row>
    <row r="2266" spans="1:9" ht="18.75" customHeight="1" x14ac:dyDescent="0.4">
      <c r="A2266" s="14" t="s">
        <v>2687</v>
      </c>
      <c r="B2266" s="16" t="str">
        <f>TRIM("　御幣島公園")</f>
        <v>御幣島公園</v>
      </c>
      <c r="C2266" s="14" t="s">
        <v>1528</v>
      </c>
      <c r="D2266" s="14" t="s">
        <v>741</v>
      </c>
      <c r="E2266" s="1">
        <v>3090.9</v>
      </c>
      <c r="F2266" s="2"/>
      <c r="G2266" s="1"/>
      <c r="H2266" s="3"/>
      <c r="I2266" s="14" t="s">
        <v>2177</v>
      </c>
    </row>
    <row r="2267" spans="1:9" ht="18.75" customHeight="1" x14ac:dyDescent="0.4">
      <c r="A2267" s="14" t="s">
        <v>2615</v>
      </c>
      <c r="B2267" s="16" t="str">
        <f>TRIM("　歌島公園")</f>
        <v>歌島公園</v>
      </c>
      <c r="C2267" s="14" t="s">
        <v>1528</v>
      </c>
      <c r="D2267" s="14" t="s">
        <v>569</v>
      </c>
      <c r="E2267" s="1">
        <v>33441.32</v>
      </c>
      <c r="F2267" s="2"/>
      <c r="G2267" s="1"/>
      <c r="H2267" s="3"/>
      <c r="I2267" s="14" t="s">
        <v>2177</v>
      </c>
    </row>
    <row r="2268" spans="1:9" ht="18.75" customHeight="1" x14ac:dyDescent="0.4">
      <c r="A2268" s="14" t="s">
        <v>3541</v>
      </c>
      <c r="B2268" s="16" t="str">
        <f>TRIM("　歌島公園")</f>
        <v>歌島公園</v>
      </c>
      <c r="C2268" s="14" t="s">
        <v>1528</v>
      </c>
      <c r="D2268" s="14" t="s">
        <v>569</v>
      </c>
      <c r="E2268" s="1"/>
      <c r="F2268" s="2"/>
      <c r="G2268" s="1">
        <v>46.15</v>
      </c>
      <c r="H2268" s="3"/>
      <c r="I2268" s="14" t="s">
        <v>2177</v>
      </c>
    </row>
    <row r="2269" spans="1:9" ht="18.75" customHeight="1" x14ac:dyDescent="0.4">
      <c r="A2269" s="14" t="s">
        <v>5855</v>
      </c>
      <c r="B2269" s="16" t="str">
        <f>TRIM("香蓑保育園")</f>
        <v>香蓑保育園</v>
      </c>
      <c r="C2269" s="14" t="s">
        <v>1528</v>
      </c>
      <c r="D2269" s="14" t="s">
        <v>569</v>
      </c>
      <c r="E2269" s="1">
        <v>972.92</v>
      </c>
      <c r="F2269" s="2"/>
      <c r="G2269" s="1"/>
      <c r="H2269" s="3"/>
      <c r="I2269" s="14" t="s">
        <v>5617</v>
      </c>
    </row>
    <row r="2270" spans="1:9" ht="18.75" customHeight="1" x14ac:dyDescent="0.4">
      <c r="A2270" s="14" t="s">
        <v>4803</v>
      </c>
      <c r="B2270" s="16" t="str">
        <f>TRIM("香簑小学校")</f>
        <v>香簑小学校</v>
      </c>
      <c r="C2270" s="14" t="s">
        <v>1528</v>
      </c>
      <c r="D2270" s="14" t="s">
        <v>740</v>
      </c>
      <c r="E2270" s="1">
        <v>9262.7999999999993</v>
      </c>
      <c r="F2270" s="2"/>
      <c r="G2270" s="1">
        <v>6011.65</v>
      </c>
      <c r="H2270" s="3"/>
      <c r="I2270" s="14" t="s">
        <v>4689</v>
      </c>
    </row>
    <row r="2271" spans="1:9" ht="18.75" customHeight="1" x14ac:dyDescent="0.4">
      <c r="A2271" s="14" t="s">
        <v>6360</v>
      </c>
      <c r="B2271" s="16" t="str">
        <f>TRIM("御幣島住宅")</f>
        <v>御幣島住宅</v>
      </c>
      <c r="C2271" s="14" t="s">
        <v>1528</v>
      </c>
      <c r="D2271" s="14" t="s">
        <v>740</v>
      </c>
      <c r="E2271" s="1">
        <v>22806.59</v>
      </c>
      <c r="F2271" s="2"/>
      <c r="G2271" s="1">
        <v>22577.4</v>
      </c>
      <c r="H2271" s="3"/>
      <c r="I2271" s="14" t="s">
        <v>6177</v>
      </c>
    </row>
    <row r="2272" spans="1:9" ht="18.75" customHeight="1" x14ac:dyDescent="0.4">
      <c r="A2272" s="14" t="s">
        <v>2944</v>
      </c>
      <c r="B2272" s="16" t="str">
        <f>TRIM("　西淀川開発5号公園")</f>
        <v>西淀川開発5号公園</v>
      </c>
      <c r="C2272" s="14" t="s">
        <v>1528</v>
      </c>
      <c r="D2272" s="14" t="s">
        <v>740</v>
      </c>
      <c r="E2272" s="1">
        <v>439.96</v>
      </c>
      <c r="F2272" s="2"/>
      <c r="G2272" s="1"/>
      <c r="H2272" s="3"/>
      <c r="I2272" s="14" t="s">
        <v>2177</v>
      </c>
    </row>
    <row r="2273" spans="1:9" ht="18.75" customHeight="1" x14ac:dyDescent="0.4">
      <c r="A2273" s="14" t="s">
        <v>3420</v>
      </c>
      <c r="B2273" s="16" t="str">
        <f>TRIM("御幣六公園")</f>
        <v>御幣六公園</v>
      </c>
      <c r="C2273" s="14" t="s">
        <v>1528</v>
      </c>
      <c r="D2273" s="14" t="s">
        <v>740</v>
      </c>
      <c r="E2273" s="1">
        <v>1928.32</v>
      </c>
      <c r="F2273" s="2"/>
      <c r="G2273" s="1"/>
      <c r="H2273" s="3"/>
      <c r="I2273" s="14" t="s">
        <v>2177</v>
      </c>
    </row>
    <row r="2274" spans="1:9" ht="18.75" customHeight="1" x14ac:dyDescent="0.4">
      <c r="A2274" s="14" t="s">
        <v>5170</v>
      </c>
      <c r="B2274" s="16" t="str">
        <f>TRIM("もと加島青少年会館")</f>
        <v>もと加島青少年会館</v>
      </c>
      <c r="C2274" s="14" t="s">
        <v>1522</v>
      </c>
      <c r="D2274" s="14" t="s">
        <v>104</v>
      </c>
      <c r="E2274" s="1">
        <v>545.23</v>
      </c>
      <c r="F2274" s="2">
        <v>312</v>
      </c>
      <c r="G2274" s="1"/>
      <c r="H2274" s="3"/>
      <c r="I2274" s="14" t="s">
        <v>4689</v>
      </c>
    </row>
    <row r="2275" spans="1:9" ht="18.75" customHeight="1" x14ac:dyDescent="0.4">
      <c r="A2275" s="14" t="s">
        <v>6312</v>
      </c>
      <c r="B2275" s="16" t="str">
        <f>TRIM("加島南住宅")</f>
        <v>加島南住宅</v>
      </c>
      <c r="C2275" s="14" t="s">
        <v>1522</v>
      </c>
      <c r="D2275" s="14" t="s">
        <v>104</v>
      </c>
      <c r="E2275" s="1">
        <v>9252.92</v>
      </c>
      <c r="F2275" s="2">
        <v>1800</v>
      </c>
      <c r="G2275" s="1"/>
      <c r="H2275" s="3"/>
      <c r="I2275" s="14" t="s">
        <v>6177</v>
      </c>
    </row>
    <row r="2276" spans="1:9" ht="18.75" customHeight="1" x14ac:dyDescent="0.4">
      <c r="A2276" s="14" t="s">
        <v>1981</v>
      </c>
      <c r="B2276" s="16" t="str">
        <f>TRIM("もと社会福祉施設用地（淀川区加島）")</f>
        <v>もと社会福祉施設用地（淀川区加島）</v>
      </c>
      <c r="C2276" s="14" t="s">
        <v>1522</v>
      </c>
      <c r="D2276" s="14" t="s">
        <v>104</v>
      </c>
      <c r="E2276" s="1">
        <v>1022.63</v>
      </c>
      <c r="F2276" s="2">
        <v>1999</v>
      </c>
      <c r="G2276" s="1"/>
      <c r="H2276" s="3"/>
      <c r="I2276" s="14" t="s">
        <v>1654</v>
      </c>
    </row>
    <row r="2277" spans="1:9" ht="18.75" customHeight="1" x14ac:dyDescent="0.4">
      <c r="A2277" s="14" t="s">
        <v>6307</v>
      </c>
      <c r="B2277" s="16" t="str">
        <f>TRIM("加島住宅")</f>
        <v>加島住宅</v>
      </c>
      <c r="C2277" s="14" t="s">
        <v>1522</v>
      </c>
      <c r="D2277" s="14" t="s">
        <v>104</v>
      </c>
      <c r="E2277" s="1">
        <v>6516.03</v>
      </c>
      <c r="F2277" s="2" t="s">
        <v>7319</v>
      </c>
      <c r="G2277" s="1">
        <v>10674.02</v>
      </c>
      <c r="H2277" s="3"/>
      <c r="I2277" s="14" t="s">
        <v>6177</v>
      </c>
    </row>
    <row r="2278" spans="1:9" ht="18.75" customHeight="1" x14ac:dyDescent="0.4">
      <c r="A2278" s="14" t="s">
        <v>4745</v>
      </c>
      <c r="B2278" s="16" t="str">
        <f>TRIM("加島小学校")</f>
        <v>加島小学校</v>
      </c>
      <c r="C2278" s="14" t="s">
        <v>1522</v>
      </c>
      <c r="D2278" s="14" t="s">
        <v>104</v>
      </c>
      <c r="E2278" s="1">
        <v>12633.65</v>
      </c>
      <c r="F2278" s="2"/>
      <c r="G2278" s="1">
        <v>10231.61</v>
      </c>
      <c r="H2278" s="3"/>
      <c r="I2278" s="14" t="s">
        <v>4689</v>
      </c>
    </row>
    <row r="2279" spans="1:9" ht="18.75" customHeight="1" x14ac:dyDescent="0.4">
      <c r="A2279" s="14" t="s">
        <v>5070</v>
      </c>
      <c r="B2279" s="16" t="str">
        <f>TRIM("美津島中学校")</f>
        <v>美津島中学校</v>
      </c>
      <c r="C2279" s="14" t="s">
        <v>1522</v>
      </c>
      <c r="D2279" s="14" t="s">
        <v>104</v>
      </c>
      <c r="E2279" s="1">
        <v>11675.37</v>
      </c>
      <c r="F2279" s="2"/>
      <c r="G2279" s="1">
        <v>15957.94</v>
      </c>
      <c r="H2279" s="3"/>
      <c r="I2279" s="14" t="s">
        <v>4689</v>
      </c>
    </row>
    <row r="2280" spans="1:9" ht="18.75" customHeight="1" x14ac:dyDescent="0.4">
      <c r="A2280" s="14" t="s">
        <v>5327</v>
      </c>
      <c r="B2280" s="16" t="str">
        <f>TRIM("淀川消防署加島出張所")</f>
        <v>淀川消防署加島出張所</v>
      </c>
      <c r="C2280" s="14" t="s">
        <v>1522</v>
      </c>
      <c r="D2280" s="14" t="s">
        <v>104</v>
      </c>
      <c r="E2280" s="1">
        <v>413.45</v>
      </c>
      <c r="F2280" s="2"/>
      <c r="G2280" s="1">
        <v>739.86</v>
      </c>
      <c r="H2280" s="3"/>
      <c r="I2280" s="14" t="s">
        <v>5219</v>
      </c>
    </row>
    <row r="2281" spans="1:9" ht="18.75" customHeight="1" x14ac:dyDescent="0.4">
      <c r="A2281" s="14" t="s">
        <v>5842</v>
      </c>
      <c r="B2281" s="16" t="str">
        <f>TRIM("加島第1保育所")</f>
        <v>加島第1保育所</v>
      </c>
      <c r="C2281" s="14" t="s">
        <v>1522</v>
      </c>
      <c r="D2281" s="14" t="s">
        <v>104</v>
      </c>
      <c r="E2281" s="1">
        <v>3589.66</v>
      </c>
      <c r="F2281" s="2"/>
      <c r="G2281" s="1">
        <v>1569.59</v>
      </c>
      <c r="H2281" s="3"/>
      <c r="I2281" s="14" t="s">
        <v>5617</v>
      </c>
    </row>
    <row r="2282" spans="1:9" ht="18.75" customHeight="1" x14ac:dyDescent="0.4">
      <c r="A2282" s="14" t="s">
        <v>6106</v>
      </c>
      <c r="B2282" s="16" t="str">
        <f>TRIM("加島東霊園")</f>
        <v>加島東霊園</v>
      </c>
      <c r="C2282" s="14" t="s">
        <v>1522</v>
      </c>
      <c r="D2282" s="14" t="s">
        <v>104</v>
      </c>
      <c r="E2282" s="1">
        <v>1420.4</v>
      </c>
      <c r="F2282" s="2"/>
      <c r="G2282" s="1">
        <v>30.42</v>
      </c>
      <c r="H2282" s="3"/>
      <c r="I2282" s="14" t="s">
        <v>5977</v>
      </c>
    </row>
    <row r="2283" spans="1:9" ht="18.75" customHeight="1" x14ac:dyDescent="0.4">
      <c r="A2283" s="14" t="s">
        <v>6308</v>
      </c>
      <c r="B2283" s="16" t="str">
        <f>TRIM("加島第2住宅")</f>
        <v>加島第2住宅</v>
      </c>
      <c r="C2283" s="14" t="s">
        <v>1522</v>
      </c>
      <c r="D2283" s="14" t="s">
        <v>104</v>
      </c>
      <c r="E2283" s="1">
        <v>1600.88</v>
      </c>
      <c r="F2283" s="2"/>
      <c r="G2283" s="1">
        <v>3123.2</v>
      </c>
      <c r="H2283" s="3"/>
      <c r="I2283" s="14" t="s">
        <v>6177</v>
      </c>
    </row>
    <row r="2284" spans="1:9" ht="18.75" customHeight="1" x14ac:dyDescent="0.4">
      <c r="A2284" s="14" t="s">
        <v>6310</v>
      </c>
      <c r="B2284" s="16" t="str">
        <f>TRIM("加島中住宅")</f>
        <v>加島中住宅</v>
      </c>
      <c r="C2284" s="14" t="s">
        <v>1522</v>
      </c>
      <c r="D2284" s="14" t="s">
        <v>104</v>
      </c>
      <c r="E2284" s="1">
        <v>13685.16</v>
      </c>
      <c r="F2284" s="2"/>
      <c r="G2284" s="1">
        <v>19054.419999999998</v>
      </c>
      <c r="H2284" s="3"/>
      <c r="I2284" s="14" t="s">
        <v>6177</v>
      </c>
    </row>
    <row r="2285" spans="1:9" ht="18.75" customHeight="1" x14ac:dyDescent="0.4">
      <c r="A2285" s="14" t="s">
        <v>6311</v>
      </c>
      <c r="B2285" s="16" t="str">
        <f>TRIM("加島東住宅")</f>
        <v>加島東住宅</v>
      </c>
      <c r="C2285" s="14" t="s">
        <v>1522</v>
      </c>
      <c r="D2285" s="14" t="s">
        <v>104</v>
      </c>
      <c r="E2285" s="1">
        <v>5234.8999999999996</v>
      </c>
      <c r="F2285" s="2"/>
      <c r="G2285" s="1">
        <v>7161.25</v>
      </c>
      <c r="H2285" s="3"/>
      <c r="I2285" s="14" t="s">
        <v>6177</v>
      </c>
    </row>
    <row r="2286" spans="1:9" ht="18.75" customHeight="1" x14ac:dyDescent="0.4">
      <c r="A2286" s="14" t="s">
        <v>6313</v>
      </c>
      <c r="B2286" s="16" t="str">
        <f>TRIM("加島南第2住宅")</f>
        <v>加島南第2住宅</v>
      </c>
      <c r="C2286" s="14" t="s">
        <v>1522</v>
      </c>
      <c r="D2286" s="14" t="s">
        <v>104</v>
      </c>
      <c r="E2286" s="1">
        <v>20813.47</v>
      </c>
      <c r="F2286" s="2"/>
      <c r="G2286" s="1">
        <v>24171.82</v>
      </c>
      <c r="H2286" s="3"/>
      <c r="I2286" s="14" t="s">
        <v>6177</v>
      </c>
    </row>
    <row r="2287" spans="1:9" ht="18.75" customHeight="1" x14ac:dyDescent="0.4">
      <c r="A2287" s="14" t="s">
        <v>6314</v>
      </c>
      <c r="B2287" s="16" t="str">
        <f>TRIM("加島南第3住宅")</f>
        <v>加島南第3住宅</v>
      </c>
      <c r="C2287" s="14" t="s">
        <v>1522</v>
      </c>
      <c r="D2287" s="14" t="s">
        <v>104</v>
      </c>
      <c r="E2287" s="1">
        <v>8971.18</v>
      </c>
      <c r="F2287" s="2"/>
      <c r="G2287" s="1">
        <v>8479.7900000000009</v>
      </c>
      <c r="H2287" s="3"/>
      <c r="I2287" s="14" t="s">
        <v>6177</v>
      </c>
    </row>
    <row r="2288" spans="1:9" ht="18.75" customHeight="1" x14ac:dyDescent="0.4">
      <c r="A2288" s="14" t="s">
        <v>6315</v>
      </c>
      <c r="B2288" s="16" t="str">
        <f>TRIM("加島南第4住宅")</f>
        <v>加島南第4住宅</v>
      </c>
      <c r="C2288" s="14" t="s">
        <v>1522</v>
      </c>
      <c r="D2288" s="14" t="s">
        <v>104</v>
      </c>
      <c r="E2288" s="1">
        <v>10792.54</v>
      </c>
      <c r="F2288" s="2"/>
      <c r="G2288" s="1">
        <v>10785.24</v>
      </c>
      <c r="H2288" s="3"/>
      <c r="I2288" s="14" t="s">
        <v>6177</v>
      </c>
    </row>
    <row r="2289" spans="1:9" ht="18.75" customHeight="1" x14ac:dyDescent="0.4">
      <c r="A2289" s="14" t="s">
        <v>1704</v>
      </c>
      <c r="B2289" s="16" t="str">
        <f>TRIM("もと加島障がい者会館")</f>
        <v>もと加島障がい者会館</v>
      </c>
      <c r="C2289" s="14" t="s">
        <v>1522</v>
      </c>
      <c r="D2289" s="14" t="s">
        <v>104</v>
      </c>
      <c r="E2289" s="1">
        <v>964.63</v>
      </c>
      <c r="F2289" s="2"/>
      <c r="G2289" s="1"/>
      <c r="H2289" s="3"/>
      <c r="I2289" s="14" t="s">
        <v>1654</v>
      </c>
    </row>
    <row r="2290" spans="1:9" ht="18.75" customHeight="1" x14ac:dyDescent="0.4">
      <c r="A2290" s="14" t="s">
        <v>1713</v>
      </c>
      <c r="B2290" s="16" t="str">
        <f>TRIM("障がい福祉サービス事業所　ＬＩＮＫ・ＣＯＣＯＬＯ")</f>
        <v>障がい福祉サービス事業所　ＬＩＮＫ・ＣＯＣＯＬＯ</v>
      </c>
      <c r="C2290" s="14" t="s">
        <v>1522</v>
      </c>
      <c r="D2290" s="14" t="s">
        <v>104</v>
      </c>
      <c r="E2290" s="1">
        <v>951.9</v>
      </c>
      <c r="F2290" s="2"/>
      <c r="G2290" s="1"/>
      <c r="H2290" s="3"/>
      <c r="I2290" s="14" t="s">
        <v>1654</v>
      </c>
    </row>
    <row r="2291" spans="1:9" ht="18.75" customHeight="1" x14ac:dyDescent="0.4">
      <c r="A2291" s="14" t="s">
        <v>1725</v>
      </c>
      <c r="B2291" s="16" t="str">
        <f>TRIM("障がい福祉サービス事業所　むつみ")</f>
        <v>障がい福祉サービス事業所　むつみ</v>
      </c>
      <c r="C2291" s="14" t="s">
        <v>1522</v>
      </c>
      <c r="D2291" s="14" t="s">
        <v>104</v>
      </c>
      <c r="E2291" s="1">
        <v>1016.47</v>
      </c>
      <c r="F2291" s="2"/>
      <c r="G2291" s="1"/>
      <c r="H2291" s="3"/>
      <c r="I2291" s="14" t="s">
        <v>1654</v>
      </c>
    </row>
    <row r="2292" spans="1:9" ht="18.75" customHeight="1" x14ac:dyDescent="0.4">
      <c r="A2292" s="14" t="s">
        <v>1727</v>
      </c>
      <c r="B2292" s="16" t="str">
        <f>TRIM("障がい福祉サービス事業所　加島希望の家")</f>
        <v>障がい福祉サービス事業所　加島希望の家</v>
      </c>
      <c r="C2292" s="14" t="s">
        <v>1522</v>
      </c>
      <c r="D2292" s="14" t="s">
        <v>104</v>
      </c>
      <c r="E2292" s="1">
        <v>848.53</v>
      </c>
      <c r="F2292" s="2"/>
      <c r="G2292" s="1"/>
      <c r="H2292" s="3"/>
      <c r="I2292" s="14" t="s">
        <v>1654</v>
      </c>
    </row>
    <row r="2293" spans="1:9" ht="18.75" customHeight="1" x14ac:dyDescent="0.4">
      <c r="A2293" s="14" t="s">
        <v>1750</v>
      </c>
      <c r="B2293" s="16" t="str">
        <f>TRIM("知的障がい者入所更生施設アンダンテ加島")</f>
        <v>知的障がい者入所更生施設アンダンテ加島</v>
      </c>
      <c r="C2293" s="14" t="s">
        <v>1522</v>
      </c>
      <c r="D2293" s="14" t="s">
        <v>104</v>
      </c>
      <c r="E2293" s="1">
        <v>1998.76</v>
      </c>
      <c r="F2293" s="2"/>
      <c r="G2293" s="1"/>
      <c r="H2293" s="3"/>
      <c r="I2293" s="14" t="s">
        <v>1654</v>
      </c>
    </row>
    <row r="2294" spans="1:9" ht="18.75" customHeight="1" x14ac:dyDescent="0.4">
      <c r="A2294" s="14" t="s">
        <v>1945</v>
      </c>
      <c r="B2294" s="16" t="str">
        <f>TRIM("特別養護老人ホーム加寿苑")</f>
        <v>特別養護老人ホーム加寿苑</v>
      </c>
      <c r="C2294" s="14" t="s">
        <v>1522</v>
      </c>
      <c r="D2294" s="14" t="s">
        <v>104</v>
      </c>
      <c r="E2294" s="1">
        <v>2772.32</v>
      </c>
      <c r="F2294" s="2"/>
      <c r="G2294" s="1"/>
      <c r="H2294" s="3"/>
      <c r="I2294" s="14" t="s">
        <v>1654</v>
      </c>
    </row>
    <row r="2295" spans="1:9" ht="18.75" customHeight="1" x14ac:dyDescent="0.4">
      <c r="A2295" s="14" t="s">
        <v>1966</v>
      </c>
      <c r="B2295" s="16" t="str">
        <f>TRIM("美津島地域在宅サービスステーション")</f>
        <v>美津島地域在宅サービスステーション</v>
      </c>
      <c r="C2295" s="14" t="s">
        <v>1522</v>
      </c>
      <c r="D2295" s="14" t="s">
        <v>104</v>
      </c>
      <c r="E2295" s="1">
        <v>492.82</v>
      </c>
      <c r="F2295" s="2"/>
      <c r="G2295" s="1"/>
      <c r="H2295" s="3"/>
      <c r="I2295" s="14" t="s">
        <v>1654</v>
      </c>
    </row>
    <row r="2296" spans="1:9" ht="18.75" customHeight="1" x14ac:dyDescent="0.4">
      <c r="A2296" s="14" t="s">
        <v>2601</v>
      </c>
      <c r="B2296" s="16" t="str">
        <f>TRIM("　加島中央公園")</f>
        <v>加島中央公園</v>
      </c>
      <c r="C2296" s="14" t="s">
        <v>1522</v>
      </c>
      <c r="D2296" s="14" t="s">
        <v>104</v>
      </c>
      <c r="E2296" s="1">
        <v>9963.5300000000007</v>
      </c>
      <c r="F2296" s="2"/>
      <c r="G2296" s="1"/>
      <c r="H2296" s="3"/>
      <c r="I2296" s="14" t="s">
        <v>2177</v>
      </c>
    </row>
    <row r="2297" spans="1:9" ht="18.75" customHeight="1" x14ac:dyDescent="0.4">
      <c r="A2297" s="14" t="s">
        <v>2603</v>
      </c>
      <c r="B2297" s="16" t="str">
        <f>TRIM("　加島中住宅前公園")</f>
        <v>加島中住宅前公園</v>
      </c>
      <c r="C2297" s="14" t="s">
        <v>1522</v>
      </c>
      <c r="D2297" s="14" t="s">
        <v>104</v>
      </c>
      <c r="E2297" s="1">
        <v>1122.95</v>
      </c>
      <c r="F2297" s="2"/>
      <c r="G2297" s="1"/>
      <c r="H2297" s="3"/>
      <c r="I2297" s="14" t="s">
        <v>2177</v>
      </c>
    </row>
    <row r="2298" spans="1:9" ht="18.75" customHeight="1" x14ac:dyDescent="0.4">
      <c r="A2298" s="14" t="s">
        <v>2604</v>
      </c>
      <c r="B2298" s="16" t="str">
        <f>TRIM("　加島南公園")</f>
        <v>加島南公園</v>
      </c>
      <c r="C2298" s="14" t="s">
        <v>1522</v>
      </c>
      <c r="D2298" s="14" t="s">
        <v>104</v>
      </c>
      <c r="E2298" s="1">
        <v>3409.55</v>
      </c>
      <c r="F2298" s="2"/>
      <c r="G2298" s="1"/>
      <c r="H2298" s="3"/>
      <c r="I2298" s="14" t="s">
        <v>2177</v>
      </c>
    </row>
    <row r="2299" spans="1:9" ht="18.75" customHeight="1" x14ac:dyDescent="0.4">
      <c r="A2299" s="14" t="s">
        <v>2837</v>
      </c>
      <c r="B2299" s="16" t="str">
        <f>TRIM("　新加島公園")</f>
        <v>新加島公園</v>
      </c>
      <c r="C2299" s="14" t="s">
        <v>1522</v>
      </c>
      <c r="D2299" s="14" t="s">
        <v>104</v>
      </c>
      <c r="E2299" s="1">
        <v>669.85</v>
      </c>
      <c r="F2299" s="2"/>
      <c r="G2299" s="1"/>
      <c r="H2299" s="3"/>
      <c r="I2299" s="14" t="s">
        <v>2177</v>
      </c>
    </row>
    <row r="2300" spans="1:9" ht="18.75" customHeight="1" x14ac:dyDescent="0.4">
      <c r="A2300" s="14" t="s">
        <v>3539</v>
      </c>
      <c r="B2300" s="16" t="str">
        <f>TRIM("　加島中央公園")</f>
        <v>加島中央公園</v>
      </c>
      <c r="C2300" s="14" t="s">
        <v>1522</v>
      </c>
      <c r="D2300" s="14" t="s">
        <v>104</v>
      </c>
      <c r="E2300" s="1"/>
      <c r="F2300" s="2"/>
      <c r="G2300" s="1">
        <v>27.28</v>
      </c>
      <c r="H2300" s="3"/>
      <c r="I2300" s="14" t="s">
        <v>2177</v>
      </c>
    </row>
    <row r="2301" spans="1:9" ht="18.75" customHeight="1" x14ac:dyDescent="0.4">
      <c r="A2301" s="14" t="s">
        <v>3540</v>
      </c>
      <c r="B2301" s="16" t="str">
        <f>TRIM("　加島南公園")</f>
        <v>加島南公園</v>
      </c>
      <c r="C2301" s="14" t="s">
        <v>1522</v>
      </c>
      <c r="D2301" s="14" t="s">
        <v>104</v>
      </c>
      <c r="E2301" s="1"/>
      <c r="F2301" s="2"/>
      <c r="G2301" s="1">
        <v>29.47</v>
      </c>
      <c r="H2301" s="3"/>
      <c r="I2301" s="14" t="s">
        <v>2177</v>
      </c>
    </row>
    <row r="2302" spans="1:9" ht="18.75" customHeight="1" x14ac:dyDescent="0.4">
      <c r="A2302" s="14" t="s">
        <v>5370</v>
      </c>
      <c r="B2302" s="16" t="str">
        <f>TRIM("もと加島小学校拡張用地")</f>
        <v>もと加島小学校拡張用地</v>
      </c>
      <c r="C2302" s="14" t="s">
        <v>1522</v>
      </c>
      <c r="D2302" s="14" t="s">
        <v>104</v>
      </c>
      <c r="E2302" s="1">
        <v>22.81</v>
      </c>
      <c r="F2302" s="2"/>
      <c r="G2302" s="1"/>
      <c r="H2302" s="3"/>
      <c r="I2302" s="14" t="s">
        <v>5349</v>
      </c>
    </row>
    <row r="2303" spans="1:9" ht="18.75" customHeight="1" x14ac:dyDescent="0.4">
      <c r="A2303" s="14" t="s">
        <v>6309</v>
      </c>
      <c r="B2303" s="16" t="str">
        <f>TRIM("加島地区改良事業用地")</f>
        <v>加島地区改良事業用地</v>
      </c>
      <c r="C2303" s="14" t="s">
        <v>1522</v>
      </c>
      <c r="D2303" s="14" t="s">
        <v>104</v>
      </c>
      <c r="E2303" s="1">
        <v>2398.39</v>
      </c>
      <c r="F2303" s="2"/>
      <c r="G2303" s="1"/>
      <c r="H2303" s="3"/>
      <c r="I2303" s="14" t="s">
        <v>6177</v>
      </c>
    </row>
    <row r="2304" spans="1:9" ht="18.75" customHeight="1" x14ac:dyDescent="0.4">
      <c r="A2304" s="14" t="s">
        <v>6886</v>
      </c>
      <c r="B2304" s="16" t="str">
        <f>TRIM("加島第2住宅地区改良事業")</f>
        <v>加島第2住宅地区改良事業</v>
      </c>
      <c r="C2304" s="14" t="s">
        <v>1522</v>
      </c>
      <c r="D2304" s="14" t="s">
        <v>104</v>
      </c>
      <c r="E2304" s="1">
        <v>351.75</v>
      </c>
      <c r="F2304" s="2"/>
      <c r="G2304" s="1"/>
      <c r="H2304" s="3"/>
      <c r="I2304" s="14" t="s">
        <v>6177</v>
      </c>
    </row>
    <row r="2305" spans="1:9" ht="18.75" customHeight="1" x14ac:dyDescent="0.4">
      <c r="A2305" s="14" t="s">
        <v>6887</v>
      </c>
      <c r="B2305" s="16" t="str">
        <f>TRIM("加島地区改良事業用地")</f>
        <v>加島地区改良事業用地</v>
      </c>
      <c r="C2305" s="14" t="s">
        <v>1522</v>
      </c>
      <c r="D2305" s="14" t="s">
        <v>104</v>
      </c>
      <c r="E2305" s="1">
        <v>1154.56</v>
      </c>
      <c r="F2305" s="2"/>
      <c r="G2305" s="1"/>
      <c r="H2305" s="3"/>
      <c r="I2305" s="14" t="s">
        <v>6177</v>
      </c>
    </row>
    <row r="2306" spans="1:9" ht="18.75" customHeight="1" x14ac:dyDescent="0.4">
      <c r="A2306" s="14" t="s">
        <v>6978</v>
      </c>
      <c r="B2306" s="16" t="str">
        <f>TRIM("かしま診療所")</f>
        <v>かしま診療所</v>
      </c>
      <c r="C2306" s="14" t="s">
        <v>1522</v>
      </c>
      <c r="D2306" s="14" t="s">
        <v>104</v>
      </c>
      <c r="E2306" s="1">
        <v>640.58000000000004</v>
      </c>
      <c r="F2306" s="2"/>
      <c r="G2306" s="1"/>
      <c r="H2306" s="3"/>
      <c r="I2306" s="14" t="s">
        <v>2402</v>
      </c>
    </row>
    <row r="2307" spans="1:9" ht="18.75" customHeight="1" x14ac:dyDescent="0.4">
      <c r="A2307" s="14" t="s">
        <v>6316</v>
      </c>
      <c r="B2307" s="16" t="str">
        <f>TRIM("加島北住宅")</f>
        <v>加島北住宅</v>
      </c>
      <c r="C2307" s="14" t="s">
        <v>1522</v>
      </c>
      <c r="D2307" s="14" t="s">
        <v>726</v>
      </c>
      <c r="E2307" s="1">
        <v>3397.55</v>
      </c>
      <c r="F2307" s="2" t="s">
        <v>7267</v>
      </c>
      <c r="G2307" s="1">
        <v>1895.91</v>
      </c>
      <c r="H2307" s="3"/>
      <c r="I2307" s="14" t="s">
        <v>6177</v>
      </c>
    </row>
    <row r="2308" spans="1:9" ht="18.75" customHeight="1" x14ac:dyDescent="0.4">
      <c r="A2308" s="14" t="s">
        <v>2599</v>
      </c>
      <c r="B2308" s="16" t="str">
        <f>TRIM("　加島今之町公園")</f>
        <v>加島今之町公園</v>
      </c>
      <c r="C2308" s="14" t="s">
        <v>1522</v>
      </c>
      <c r="D2308" s="14" t="s">
        <v>726</v>
      </c>
      <c r="E2308" s="1">
        <v>1114.83</v>
      </c>
      <c r="F2308" s="2"/>
      <c r="G2308" s="1"/>
      <c r="H2308" s="3"/>
      <c r="I2308" s="14" t="s">
        <v>2177</v>
      </c>
    </row>
    <row r="2309" spans="1:9" ht="18.75" customHeight="1" x14ac:dyDescent="0.4">
      <c r="A2309" s="14" t="s">
        <v>3368</v>
      </c>
      <c r="B2309" s="16" t="str">
        <f>TRIM("　淀川開発1公園")</f>
        <v>淀川開発1公園</v>
      </c>
      <c r="C2309" s="14" t="s">
        <v>1522</v>
      </c>
      <c r="D2309" s="14" t="s">
        <v>726</v>
      </c>
      <c r="E2309" s="1">
        <v>209.14</v>
      </c>
      <c r="F2309" s="2"/>
      <c r="G2309" s="1"/>
      <c r="H2309" s="3"/>
      <c r="I2309" s="14" t="s">
        <v>2177</v>
      </c>
    </row>
    <row r="2310" spans="1:9" ht="18.75" customHeight="1" x14ac:dyDescent="0.4">
      <c r="A2310" s="14" t="s">
        <v>3369</v>
      </c>
      <c r="B2310" s="16" t="str">
        <f>TRIM("　淀川開発2号公園")</f>
        <v>淀川開発2号公園</v>
      </c>
      <c r="C2310" s="14" t="s">
        <v>1522</v>
      </c>
      <c r="D2310" s="14" t="s">
        <v>726</v>
      </c>
      <c r="E2310" s="1">
        <v>121.14</v>
      </c>
      <c r="F2310" s="2"/>
      <c r="G2310" s="1"/>
      <c r="H2310" s="3"/>
      <c r="I2310" s="14" t="s">
        <v>2177</v>
      </c>
    </row>
    <row r="2311" spans="1:9" ht="18.75" customHeight="1" x14ac:dyDescent="0.4">
      <c r="A2311" s="14" t="s">
        <v>2602</v>
      </c>
      <c r="B2311" s="16" t="str">
        <f>TRIM("　加島中公園")</f>
        <v>加島中公園</v>
      </c>
      <c r="C2311" s="14" t="s">
        <v>1522</v>
      </c>
      <c r="D2311" s="14" t="s">
        <v>1014</v>
      </c>
      <c r="E2311" s="1">
        <v>1013.94</v>
      </c>
      <c r="F2311" s="2"/>
      <c r="G2311" s="1"/>
      <c r="H2311" s="3"/>
      <c r="I2311" s="14" t="s">
        <v>2177</v>
      </c>
    </row>
    <row r="2312" spans="1:9" ht="18.75" customHeight="1" x14ac:dyDescent="0.4">
      <c r="A2312" s="14" t="s">
        <v>3409</v>
      </c>
      <c r="B2312" s="16" t="str">
        <f>TRIM("加島駅前公園")</f>
        <v>加島駅前公園</v>
      </c>
      <c r="C2312" s="14" t="s">
        <v>1522</v>
      </c>
      <c r="D2312" s="14" t="s">
        <v>1014</v>
      </c>
      <c r="E2312" s="1">
        <v>3000.04</v>
      </c>
      <c r="F2312" s="2"/>
      <c r="G2312" s="1"/>
      <c r="H2312" s="3"/>
      <c r="I2312" s="14" t="s">
        <v>2177</v>
      </c>
    </row>
    <row r="2313" spans="1:9" ht="18.75" customHeight="1" x14ac:dyDescent="0.4">
      <c r="A2313" s="14" t="s">
        <v>3753</v>
      </c>
      <c r="B2313" s="16" t="str">
        <f>TRIM("ＪＲ加島駅自転車駐車場")</f>
        <v>ＪＲ加島駅自転車駐車場</v>
      </c>
      <c r="C2313" s="14" t="s">
        <v>1522</v>
      </c>
      <c r="D2313" s="14" t="s">
        <v>1014</v>
      </c>
      <c r="E2313" s="1"/>
      <c r="F2313" s="2"/>
      <c r="G2313" s="1">
        <v>1376.7</v>
      </c>
      <c r="H2313" s="3"/>
      <c r="I2313" s="14" t="s">
        <v>2177</v>
      </c>
    </row>
    <row r="2314" spans="1:9" ht="18.75" customHeight="1" x14ac:dyDescent="0.4">
      <c r="A2314" s="14" t="s">
        <v>3779</v>
      </c>
      <c r="B2314" s="16" t="str">
        <f>TRIM("加島駅自転車駐車場管理ボックス")</f>
        <v>加島駅自転車駐車場管理ボックス</v>
      </c>
      <c r="C2314" s="14" t="s">
        <v>1522</v>
      </c>
      <c r="D2314" s="14" t="s">
        <v>1014</v>
      </c>
      <c r="E2314" s="1"/>
      <c r="F2314" s="2"/>
      <c r="G2314" s="1">
        <v>3</v>
      </c>
      <c r="H2314" s="3"/>
      <c r="I2314" s="14" t="s">
        <v>2177</v>
      </c>
    </row>
    <row r="2315" spans="1:9" ht="18.75" customHeight="1" x14ac:dyDescent="0.4">
      <c r="A2315" s="14" t="s">
        <v>5876</v>
      </c>
      <c r="B2315" s="16" t="str">
        <f>TRIM("西加島保育所")</f>
        <v>西加島保育所</v>
      </c>
      <c r="C2315" s="14" t="s">
        <v>1522</v>
      </c>
      <c r="D2315" s="14" t="s">
        <v>579</v>
      </c>
      <c r="E2315" s="1">
        <v>893.88</v>
      </c>
      <c r="F2315" s="2"/>
      <c r="G2315" s="1">
        <v>527.9</v>
      </c>
      <c r="H2315" s="3"/>
      <c r="I2315" s="14" t="s">
        <v>5617</v>
      </c>
    </row>
    <row r="2316" spans="1:9" ht="18.75" customHeight="1" x14ac:dyDescent="0.4">
      <c r="A2316" s="14" t="s">
        <v>6435</v>
      </c>
      <c r="B2316" s="16" t="str">
        <f>TRIM("神崎橋住宅")</f>
        <v>神崎橋住宅</v>
      </c>
      <c r="C2316" s="14" t="s">
        <v>1522</v>
      </c>
      <c r="D2316" s="14" t="s">
        <v>579</v>
      </c>
      <c r="E2316" s="1">
        <v>5395.78</v>
      </c>
      <c r="F2316" s="2"/>
      <c r="G2316" s="1">
        <v>7664.24</v>
      </c>
      <c r="H2316" s="3"/>
      <c r="I2316" s="14" t="s">
        <v>6177</v>
      </c>
    </row>
    <row r="2317" spans="1:9" ht="18.75" customHeight="1" x14ac:dyDescent="0.4">
      <c r="A2317" s="14" t="s">
        <v>2244</v>
      </c>
      <c r="B2317" s="16" t="str">
        <f>TRIM("大阪伊丹線（淀川）（管財課）")</f>
        <v>大阪伊丹線（淀川）（管財課）</v>
      </c>
      <c r="C2317" s="14" t="s">
        <v>1522</v>
      </c>
      <c r="D2317" s="14" t="s">
        <v>579</v>
      </c>
      <c r="E2317" s="1">
        <v>28733.14</v>
      </c>
      <c r="F2317" s="2"/>
      <c r="G2317" s="1"/>
      <c r="H2317" s="3"/>
      <c r="I2317" s="14" t="s">
        <v>2177</v>
      </c>
    </row>
    <row r="2318" spans="1:9" ht="18.75" customHeight="1" x14ac:dyDescent="0.4">
      <c r="A2318" s="14" t="s">
        <v>2600</v>
      </c>
      <c r="B2318" s="16" t="str">
        <f>TRIM("　加島西公園")</f>
        <v>加島西公園</v>
      </c>
      <c r="C2318" s="14" t="s">
        <v>1522</v>
      </c>
      <c r="D2318" s="14" t="s">
        <v>579</v>
      </c>
      <c r="E2318" s="1">
        <v>1348.6</v>
      </c>
      <c r="F2318" s="2"/>
      <c r="G2318" s="1"/>
      <c r="H2318" s="3"/>
      <c r="I2318" s="14" t="s">
        <v>2177</v>
      </c>
    </row>
    <row r="2319" spans="1:9" ht="18.75" customHeight="1" x14ac:dyDescent="0.4">
      <c r="A2319" s="14" t="s">
        <v>2605</v>
      </c>
      <c r="B2319" s="16" t="str">
        <f>TRIM("　加島北公園")</f>
        <v>加島北公園</v>
      </c>
      <c r="C2319" s="14" t="s">
        <v>1522</v>
      </c>
      <c r="D2319" s="14" t="s">
        <v>579</v>
      </c>
      <c r="E2319" s="1">
        <v>3251.27</v>
      </c>
      <c r="F2319" s="2"/>
      <c r="G2319" s="1"/>
      <c r="H2319" s="3"/>
      <c r="I2319" s="14" t="s">
        <v>2177</v>
      </c>
    </row>
    <row r="2320" spans="1:9" ht="18.75" customHeight="1" x14ac:dyDescent="0.4">
      <c r="A2320" s="14" t="s">
        <v>4001</v>
      </c>
      <c r="B2320" s="16" t="str">
        <f>TRIM("もと下水道用地（淀川）")</f>
        <v>もと下水道用地（淀川）</v>
      </c>
      <c r="C2320" s="14" t="s">
        <v>1522</v>
      </c>
      <c r="D2320" s="14" t="s">
        <v>579</v>
      </c>
      <c r="E2320" s="1">
        <v>2250.84</v>
      </c>
      <c r="F2320" s="2"/>
      <c r="G2320" s="1"/>
      <c r="H2320" s="3"/>
      <c r="I2320" s="14" t="s">
        <v>2177</v>
      </c>
    </row>
    <row r="2321" spans="1:9" ht="18.75" customHeight="1" x14ac:dyDescent="0.4">
      <c r="A2321" s="14" t="s">
        <v>3339</v>
      </c>
      <c r="B2321" s="16" t="str">
        <f>TRIM("　木川西公園")</f>
        <v>木川西公園</v>
      </c>
      <c r="C2321" s="14" t="s">
        <v>1522</v>
      </c>
      <c r="D2321" s="14" t="s">
        <v>1253</v>
      </c>
      <c r="E2321" s="1">
        <v>983.71</v>
      </c>
      <c r="F2321" s="2"/>
      <c r="G2321" s="1"/>
      <c r="H2321" s="3"/>
      <c r="I2321" s="14" t="s">
        <v>2177</v>
      </c>
    </row>
    <row r="2322" spans="1:9" ht="18.75" customHeight="1" x14ac:dyDescent="0.4">
      <c r="A2322" s="14" t="s">
        <v>6670</v>
      </c>
      <c r="B2322" s="16" t="str">
        <f>TRIM("木川西第1住宅")</f>
        <v>木川西第1住宅</v>
      </c>
      <c r="C2322" s="14" t="s">
        <v>1522</v>
      </c>
      <c r="D2322" s="14" t="s">
        <v>844</v>
      </c>
      <c r="E2322" s="1">
        <v>4498.6099999999997</v>
      </c>
      <c r="F2322" s="2"/>
      <c r="G2322" s="1">
        <v>2820.75</v>
      </c>
      <c r="H2322" s="3"/>
      <c r="I2322" s="14" t="s">
        <v>6177</v>
      </c>
    </row>
    <row r="2323" spans="1:9" ht="18.75" customHeight="1" x14ac:dyDescent="0.4">
      <c r="A2323" s="14" t="s">
        <v>6671</v>
      </c>
      <c r="B2323" s="16" t="str">
        <f>TRIM("木川西第2住宅")</f>
        <v>木川西第2住宅</v>
      </c>
      <c r="C2323" s="14" t="s">
        <v>1522</v>
      </c>
      <c r="D2323" s="14" t="s">
        <v>844</v>
      </c>
      <c r="E2323" s="1">
        <v>1643.03</v>
      </c>
      <c r="F2323" s="2"/>
      <c r="G2323" s="1">
        <v>1444.28</v>
      </c>
      <c r="H2323" s="3"/>
      <c r="I2323" s="14" t="s">
        <v>6177</v>
      </c>
    </row>
    <row r="2324" spans="1:9" ht="18.75" customHeight="1" x14ac:dyDescent="0.4">
      <c r="A2324" s="14" t="s">
        <v>2154</v>
      </c>
      <c r="B2324" s="16" t="str">
        <f>TRIM("木川憩の家")</f>
        <v>木川憩の家</v>
      </c>
      <c r="C2324" s="14" t="s">
        <v>1522</v>
      </c>
      <c r="D2324" s="14" t="s">
        <v>844</v>
      </c>
      <c r="E2324" s="1">
        <v>256.42</v>
      </c>
      <c r="F2324" s="2"/>
      <c r="G2324" s="1"/>
      <c r="H2324" s="3"/>
      <c r="I2324" s="14" t="s">
        <v>2035</v>
      </c>
    </row>
    <row r="2325" spans="1:9" ht="18.75" customHeight="1" x14ac:dyDescent="0.4">
      <c r="A2325" s="14" t="s">
        <v>3338</v>
      </c>
      <c r="B2325" s="16" t="str">
        <f>TRIM("　木川公園")</f>
        <v>木川公園</v>
      </c>
      <c r="C2325" s="14" t="s">
        <v>1522</v>
      </c>
      <c r="D2325" s="14" t="s">
        <v>844</v>
      </c>
      <c r="E2325" s="1">
        <v>2869.42</v>
      </c>
      <c r="F2325" s="2"/>
      <c r="G2325" s="1"/>
      <c r="H2325" s="3"/>
      <c r="I2325" s="14" t="s">
        <v>2177</v>
      </c>
    </row>
    <row r="2326" spans="1:9" ht="18.75" customHeight="1" x14ac:dyDescent="0.4">
      <c r="A2326" s="14" t="s">
        <v>6675</v>
      </c>
      <c r="B2326" s="16" t="str">
        <f>TRIM("木川第4住宅")</f>
        <v>木川第4住宅</v>
      </c>
      <c r="C2326" s="14" t="s">
        <v>1522</v>
      </c>
      <c r="D2326" s="14" t="s">
        <v>428</v>
      </c>
      <c r="E2326" s="1">
        <v>12117.51</v>
      </c>
      <c r="F2326" s="2"/>
      <c r="G2326" s="1">
        <v>33432.74</v>
      </c>
      <c r="H2326" s="3"/>
      <c r="I2326" s="14" t="s">
        <v>6177</v>
      </c>
    </row>
    <row r="2327" spans="1:9" ht="18.75" customHeight="1" x14ac:dyDescent="0.4">
      <c r="A2327" s="14" t="s">
        <v>1964</v>
      </c>
      <c r="B2327" s="16" t="str">
        <f>TRIM("特別養護老人ホーム淀川暖気の苑十三地域在宅サービスステーション・障がい福祉サービス事業所淀川暖気の苑")</f>
        <v>特別養護老人ホーム淀川暖気の苑十三地域在宅サービスステーション・障がい福祉サービス事業所淀川暖気の苑</v>
      </c>
      <c r="C2327" s="14" t="s">
        <v>1522</v>
      </c>
      <c r="D2327" s="14" t="s">
        <v>428</v>
      </c>
      <c r="E2327" s="1">
        <v>2840.54</v>
      </c>
      <c r="F2327" s="2"/>
      <c r="G2327" s="1"/>
      <c r="H2327" s="3"/>
      <c r="I2327" s="14" t="s">
        <v>1654</v>
      </c>
    </row>
    <row r="2328" spans="1:9" ht="18.75" customHeight="1" x14ac:dyDescent="0.4">
      <c r="A2328" s="14" t="s">
        <v>5932</v>
      </c>
      <c r="B2328" s="16" t="str">
        <f>TRIM("木川第1保育所")</f>
        <v>木川第1保育所</v>
      </c>
      <c r="C2328" s="14" t="s">
        <v>1522</v>
      </c>
      <c r="D2328" s="14" t="s">
        <v>428</v>
      </c>
      <c r="E2328" s="1"/>
      <c r="F2328" s="2"/>
      <c r="G2328" s="1">
        <v>377.51</v>
      </c>
      <c r="H2328" s="3"/>
      <c r="I2328" s="14" t="s">
        <v>5617</v>
      </c>
    </row>
    <row r="2329" spans="1:9" ht="18.75" customHeight="1" x14ac:dyDescent="0.4">
      <c r="A2329" s="14" t="s">
        <v>5120</v>
      </c>
      <c r="B2329" s="16" t="str">
        <f>TRIM("木川南小学校")</f>
        <v>木川南小学校</v>
      </c>
      <c r="C2329" s="14" t="s">
        <v>1522</v>
      </c>
      <c r="D2329" s="14" t="s">
        <v>1254</v>
      </c>
      <c r="E2329" s="1">
        <v>5876.24</v>
      </c>
      <c r="F2329" s="2"/>
      <c r="G2329" s="1">
        <v>3451.92</v>
      </c>
      <c r="H2329" s="3"/>
      <c r="I2329" s="14" t="s">
        <v>4689</v>
      </c>
    </row>
    <row r="2330" spans="1:9" ht="18.75" customHeight="1" x14ac:dyDescent="0.4">
      <c r="A2330" s="14" t="s">
        <v>2166</v>
      </c>
      <c r="B2330" s="16" t="str">
        <f>TRIM("木川南社会福祉会館")</f>
        <v>木川南社会福祉会館</v>
      </c>
      <c r="C2330" s="14" t="s">
        <v>1522</v>
      </c>
      <c r="D2330" s="14" t="s">
        <v>1254</v>
      </c>
      <c r="E2330" s="1">
        <v>169.7</v>
      </c>
      <c r="F2330" s="2"/>
      <c r="G2330" s="1"/>
      <c r="H2330" s="3"/>
      <c r="I2330" s="14" t="s">
        <v>2035</v>
      </c>
    </row>
    <row r="2331" spans="1:9" ht="18.75" customHeight="1" x14ac:dyDescent="0.4">
      <c r="A2331" s="14" t="s">
        <v>3340</v>
      </c>
      <c r="B2331" s="16" t="str">
        <f>TRIM("　木川南公園")</f>
        <v>木川南公園</v>
      </c>
      <c r="C2331" s="14" t="s">
        <v>1522</v>
      </c>
      <c r="D2331" s="14" t="s">
        <v>1254</v>
      </c>
      <c r="E2331" s="1">
        <v>702.19</v>
      </c>
      <c r="F2331" s="2"/>
      <c r="G2331" s="1"/>
      <c r="H2331" s="3"/>
      <c r="I2331" s="14" t="s">
        <v>2177</v>
      </c>
    </row>
    <row r="2332" spans="1:9" ht="18.75" customHeight="1" x14ac:dyDescent="0.4">
      <c r="A2332" s="14" t="s">
        <v>4495</v>
      </c>
      <c r="B2332" s="16" t="str">
        <f>TRIM("木川南社会福祉会館付属倉庫")</f>
        <v>木川南社会福祉会館付属倉庫</v>
      </c>
      <c r="C2332" s="14" t="s">
        <v>1522</v>
      </c>
      <c r="D2332" s="14" t="s">
        <v>1254</v>
      </c>
      <c r="E2332" s="1">
        <v>55.7</v>
      </c>
      <c r="F2332" s="2"/>
      <c r="G2332" s="1"/>
      <c r="H2332" s="3"/>
      <c r="I2332" s="14" t="s">
        <v>2035</v>
      </c>
    </row>
    <row r="2333" spans="1:9" ht="18.75" customHeight="1" x14ac:dyDescent="0.4">
      <c r="A2333" s="14" t="s">
        <v>5119</v>
      </c>
      <c r="B2333" s="16" t="str">
        <f>TRIM("木川小学校")</f>
        <v>木川小学校</v>
      </c>
      <c r="C2333" s="14" t="s">
        <v>1522</v>
      </c>
      <c r="D2333" s="14" t="s">
        <v>845</v>
      </c>
      <c r="E2333" s="1">
        <v>10988.42</v>
      </c>
      <c r="F2333" s="2"/>
      <c r="G2333" s="1">
        <v>5563.42</v>
      </c>
      <c r="H2333" s="3"/>
      <c r="I2333" s="14" t="s">
        <v>4689</v>
      </c>
    </row>
    <row r="2334" spans="1:9" ht="18.75" customHeight="1" x14ac:dyDescent="0.4">
      <c r="A2334" s="14" t="s">
        <v>6677</v>
      </c>
      <c r="B2334" s="16" t="str">
        <f>TRIM("木川東第1住宅")</f>
        <v>木川東第1住宅</v>
      </c>
      <c r="C2334" s="14" t="s">
        <v>1522</v>
      </c>
      <c r="D2334" s="14" t="s">
        <v>845</v>
      </c>
      <c r="E2334" s="1">
        <v>2397.0300000000002</v>
      </c>
      <c r="F2334" s="2"/>
      <c r="G2334" s="1">
        <v>2106.52</v>
      </c>
      <c r="H2334" s="3"/>
      <c r="I2334" s="14" t="s">
        <v>6177</v>
      </c>
    </row>
    <row r="2335" spans="1:9" ht="18.75" customHeight="1" x14ac:dyDescent="0.4">
      <c r="A2335" s="14" t="s">
        <v>6009</v>
      </c>
      <c r="B2335" s="16" t="str">
        <f>TRIM("もと共同利用施設（木川センター）")</f>
        <v>もと共同利用施設（木川センター）</v>
      </c>
      <c r="C2335" s="14" t="s">
        <v>1522</v>
      </c>
      <c r="D2335" s="14" t="s">
        <v>616</v>
      </c>
      <c r="E2335" s="1">
        <v>212.06</v>
      </c>
      <c r="F2335" s="2">
        <v>1400</v>
      </c>
      <c r="G2335" s="1">
        <v>323.2</v>
      </c>
      <c r="H2335" s="3" t="s">
        <v>7353</v>
      </c>
      <c r="I2335" s="14" t="s">
        <v>5977</v>
      </c>
    </row>
    <row r="2336" spans="1:9" ht="18.75" customHeight="1" x14ac:dyDescent="0.4">
      <c r="A2336" s="14" t="s">
        <v>5326</v>
      </c>
      <c r="B2336" s="16" t="str">
        <f>TRIM("淀川消防署")</f>
        <v>淀川消防署</v>
      </c>
      <c r="C2336" s="14" t="s">
        <v>1522</v>
      </c>
      <c r="D2336" s="14" t="s">
        <v>616</v>
      </c>
      <c r="E2336" s="1">
        <v>1538.51</v>
      </c>
      <c r="F2336" s="2"/>
      <c r="G2336" s="1">
        <v>3634.07</v>
      </c>
      <c r="H2336" s="3"/>
      <c r="I2336" s="14" t="s">
        <v>5219</v>
      </c>
    </row>
    <row r="2337" spans="1:9" ht="18.75" customHeight="1" x14ac:dyDescent="0.4">
      <c r="A2337" s="14" t="s">
        <v>6678</v>
      </c>
      <c r="B2337" s="16" t="str">
        <f>TRIM("木川東第2住宅")</f>
        <v>木川東第2住宅</v>
      </c>
      <c r="C2337" s="14" t="s">
        <v>1522</v>
      </c>
      <c r="D2337" s="14" t="s">
        <v>616</v>
      </c>
      <c r="E2337" s="1">
        <v>3298.8</v>
      </c>
      <c r="F2337" s="2"/>
      <c r="G2337" s="1">
        <v>2029.17</v>
      </c>
      <c r="H2337" s="3"/>
      <c r="I2337" s="14" t="s">
        <v>6177</v>
      </c>
    </row>
    <row r="2338" spans="1:9" ht="18.75" customHeight="1" x14ac:dyDescent="0.4">
      <c r="A2338" s="14" t="s">
        <v>2534</v>
      </c>
      <c r="B2338" s="16" t="str">
        <f>TRIM("　　木川北公園")</f>
        <v>木川北公園</v>
      </c>
      <c r="C2338" s="14" t="s">
        <v>1522</v>
      </c>
      <c r="D2338" s="14" t="s">
        <v>616</v>
      </c>
      <c r="E2338" s="1">
        <v>534.58000000000004</v>
      </c>
      <c r="F2338" s="2"/>
      <c r="G2338" s="1"/>
      <c r="H2338" s="3"/>
      <c r="I2338" s="14" t="s">
        <v>2177</v>
      </c>
    </row>
    <row r="2339" spans="1:9" ht="18.75" customHeight="1" x14ac:dyDescent="0.4">
      <c r="A2339" s="14" t="s">
        <v>3833</v>
      </c>
      <c r="B2339" s="16" t="str">
        <f>TRIM("十三駅東自転車駐車場管理事務所")</f>
        <v>十三駅東自転車駐車場管理事務所</v>
      </c>
      <c r="C2339" s="14" t="s">
        <v>1522</v>
      </c>
      <c r="D2339" s="14" t="s">
        <v>1459</v>
      </c>
      <c r="E2339" s="1"/>
      <c r="F2339" s="2"/>
      <c r="G2339" s="1">
        <v>13.39</v>
      </c>
      <c r="H2339" s="3"/>
      <c r="I2339" s="14" t="s">
        <v>2177</v>
      </c>
    </row>
    <row r="2340" spans="1:9" ht="18.75" customHeight="1" x14ac:dyDescent="0.4">
      <c r="A2340" s="14" t="s">
        <v>4499</v>
      </c>
      <c r="B2340" s="16" t="str">
        <f>TRIM("十三東複合施設")</f>
        <v>十三東複合施設</v>
      </c>
      <c r="C2340" s="14" t="s">
        <v>1522</v>
      </c>
      <c r="D2340" s="14" t="s">
        <v>1459</v>
      </c>
      <c r="E2340" s="1">
        <v>5418.73</v>
      </c>
      <c r="F2340" s="2"/>
      <c r="G2340" s="1"/>
      <c r="H2340" s="3"/>
      <c r="I2340" s="14" t="s">
        <v>2035</v>
      </c>
    </row>
    <row r="2341" spans="1:9" ht="18.75" customHeight="1" x14ac:dyDescent="0.4">
      <c r="A2341" s="14" t="s">
        <v>4498</v>
      </c>
      <c r="B2341" s="16" t="str">
        <f>TRIM("淀川区役所")</f>
        <v>淀川区役所</v>
      </c>
      <c r="C2341" s="14" t="s">
        <v>1522</v>
      </c>
      <c r="D2341" s="14" t="s">
        <v>88</v>
      </c>
      <c r="E2341" s="1">
        <v>3896.48</v>
      </c>
      <c r="F2341" s="2"/>
      <c r="G2341" s="1">
        <v>9375.9500000000007</v>
      </c>
      <c r="H2341" s="3"/>
      <c r="I2341" s="14" t="s">
        <v>2035</v>
      </c>
    </row>
    <row r="2342" spans="1:9" ht="18.75" customHeight="1" x14ac:dyDescent="0.4">
      <c r="A2342" s="14" t="s">
        <v>7134</v>
      </c>
      <c r="B2342" s="16" t="str">
        <f>TRIM("淀川屋内プール")</f>
        <v>淀川屋内プール</v>
      </c>
      <c r="C2342" s="14" t="s">
        <v>1522</v>
      </c>
      <c r="D2342" s="14" t="s">
        <v>88</v>
      </c>
      <c r="E2342" s="1">
        <v>1244</v>
      </c>
      <c r="F2342" s="2"/>
      <c r="G2342" s="1">
        <v>3009.58</v>
      </c>
      <c r="H2342" s="3"/>
      <c r="I2342" s="14" t="s">
        <v>4115</v>
      </c>
    </row>
    <row r="2343" spans="1:9" ht="18.75" customHeight="1" x14ac:dyDescent="0.4">
      <c r="A2343" s="14" t="s">
        <v>2782</v>
      </c>
      <c r="B2343" s="16" t="str">
        <f>TRIM("　十三東公園")</f>
        <v>十三東公園</v>
      </c>
      <c r="C2343" s="14" t="s">
        <v>1522</v>
      </c>
      <c r="D2343" s="14" t="s">
        <v>88</v>
      </c>
      <c r="E2343" s="1">
        <v>1186.71</v>
      </c>
      <c r="F2343" s="2"/>
      <c r="G2343" s="1"/>
      <c r="H2343" s="3"/>
      <c r="I2343" s="14" t="s">
        <v>2177</v>
      </c>
    </row>
    <row r="2344" spans="1:9" ht="18.75" customHeight="1" x14ac:dyDescent="0.4">
      <c r="A2344" s="14" t="s">
        <v>4850</v>
      </c>
      <c r="B2344" s="16" t="str">
        <f>TRIM("十三小学校")</f>
        <v>十三小学校</v>
      </c>
      <c r="C2344" s="14" t="s">
        <v>1522</v>
      </c>
      <c r="D2344" s="14" t="s">
        <v>26</v>
      </c>
      <c r="E2344" s="1">
        <v>8549.01</v>
      </c>
      <c r="F2344" s="2"/>
      <c r="G2344" s="1">
        <v>4785.6099999999997</v>
      </c>
      <c r="H2344" s="3"/>
      <c r="I2344" s="14" t="s">
        <v>4689</v>
      </c>
    </row>
    <row r="2345" spans="1:9" ht="18.75" customHeight="1" x14ac:dyDescent="0.4">
      <c r="A2345" s="14" t="s">
        <v>5554</v>
      </c>
      <c r="B2345" s="16" t="str">
        <f>TRIM("廃道（淀川）")</f>
        <v>廃道（淀川）</v>
      </c>
      <c r="C2345" s="14" t="s">
        <v>1522</v>
      </c>
      <c r="D2345" s="14" t="s">
        <v>26</v>
      </c>
      <c r="E2345" s="1">
        <v>34.96</v>
      </c>
      <c r="F2345" s="2"/>
      <c r="G2345" s="1"/>
      <c r="H2345" s="3"/>
      <c r="I2345" s="14" t="s">
        <v>5349</v>
      </c>
    </row>
    <row r="2346" spans="1:9" ht="18.75" customHeight="1" x14ac:dyDescent="0.4">
      <c r="A2346" s="14" t="s">
        <v>7040</v>
      </c>
      <c r="B2346" s="16" t="str">
        <f>TRIM("木川小売市場民営活性化事業施設")</f>
        <v>木川小売市場民営活性化事業施設</v>
      </c>
      <c r="C2346" s="14" t="s">
        <v>1522</v>
      </c>
      <c r="D2346" s="14" t="s">
        <v>26</v>
      </c>
      <c r="E2346" s="1">
        <v>1314.18</v>
      </c>
      <c r="F2346" s="2"/>
      <c r="G2346" s="1"/>
      <c r="H2346" s="3"/>
      <c r="I2346" s="14" t="s">
        <v>4115</v>
      </c>
    </row>
    <row r="2347" spans="1:9" ht="18.75" customHeight="1" x14ac:dyDescent="0.4">
      <c r="A2347" s="14" t="s">
        <v>4851</v>
      </c>
      <c r="B2347" s="16" t="str">
        <f>TRIM("十三中学校")</f>
        <v>十三中学校</v>
      </c>
      <c r="C2347" s="14" t="s">
        <v>1522</v>
      </c>
      <c r="D2347" s="14" t="s">
        <v>1400</v>
      </c>
      <c r="E2347" s="1">
        <v>20130.3</v>
      </c>
      <c r="F2347" s="2"/>
      <c r="G2347" s="1">
        <v>9071.2099999999991</v>
      </c>
      <c r="H2347" s="3"/>
      <c r="I2347" s="14" t="s">
        <v>4689</v>
      </c>
    </row>
    <row r="2348" spans="1:9" ht="18.75" customHeight="1" x14ac:dyDescent="0.4">
      <c r="A2348" s="14" t="s">
        <v>2043</v>
      </c>
      <c r="B2348" s="16" t="str">
        <f>TRIM("十三福祉会館")</f>
        <v>十三福祉会館</v>
      </c>
      <c r="C2348" s="14" t="s">
        <v>1522</v>
      </c>
      <c r="D2348" s="14" t="s">
        <v>1400</v>
      </c>
      <c r="E2348" s="1">
        <v>104.35</v>
      </c>
      <c r="F2348" s="2"/>
      <c r="G2348" s="1"/>
      <c r="H2348" s="3"/>
      <c r="I2348" s="14" t="s">
        <v>2035</v>
      </c>
    </row>
    <row r="2349" spans="1:9" ht="18.75" customHeight="1" x14ac:dyDescent="0.4">
      <c r="A2349" s="14" t="s">
        <v>6873</v>
      </c>
      <c r="B2349" s="16" t="str">
        <f>TRIM("十三駅西地区対策特別用地")</f>
        <v>十三駅西地区対策特別用地</v>
      </c>
      <c r="C2349" s="14" t="s">
        <v>1522</v>
      </c>
      <c r="D2349" s="14" t="s">
        <v>218</v>
      </c>
      <c r="E2349" s="1">
        <v>177.59</v>
      </c>
      <c r="F2349" s="2" t="s">
        <v>7299</v>
      </c>
      <c r="G2349" s="1"/>
      <c r="H2349" s="3"/>
      <c r="I2349" s="14" t="s">
        <v>6177</v>
      </c>
    </row>
    <row r="2350" spans="1:9" ht="18.75" customHeight="1" x14ac:dyDescent="0.4">
      <c r="A2350" s="14" t="s">
        <v>5481</v>
      </c>
      <c r="B2350" s="16" t="str">
        <f>TRIM("契約管財局賃貸地（淀川・十三地区）")</f>
        <v>契約管財局賃貸地（淀川・十三地区）</v>
      </c>
      <c r="C2350" s="14" t="s">
        <v>1522</v>
      </c>
      <c r="D2350" s="14" t="s">
        <v>218</v>
      </c>
      <c r="E2350" s="1">
        <v>2883.09</v>
      </c>
      <c r="F2350" s="2"/>
      <c r="G2350" s="1"/>
      <c r="H2350" s="3"/>
      <c r="I2350" s="14" t="s">
        <v>5349</v>
      </c>
    </row>
    <row r="2351" spans="1:9" ht="18.75" customHeight="1" x14ac:dyDescent="0.4">
      <c r="A2351" s="14" t="s">
        <v>5567</v>
      </c>
      <c r="B2351" s="16" t="str">
        <f>TRIM("淀川警察署")</f>
        <v>淀川警察署</v>
      </c>
      <c r="C2351" s="14" t="s">
        <v>1522</v>
      </c>
      <c r="D2351" s="14" t="s">
        <v>284</v>
      </c>
      <c r="E2351" s="1">
        <v>2469.4</v>
      </c>
      <c r="F2351" s="2"/>
      <c r="G2351" s="1"/>
      <c r="H2351" s="3"/>
      <c r="I2351" s="14" t="s">
        <v>5349</v>
      </c>
    </row>
    <row r="2352" spans="1:9" ht="18.75" customHeight="1" x14ac:dyDescent="0.4">
      <c r="A2352" s="14" t="s">
        <v>2204</v>
      </c>
      <c r="B2352" s="16" t="str">
        <f>TRIM("道路高架下建設局事務所")</f>
        <v>道路高架下建設局事務所</v>
      </c>
      <c r="C2352" s="14" t="s">
        <v>1522</v>
      </c>
      <c r="D2352" s="14" t="s">
        <v>1074</v>
      </c>
      <c r="E2352" s="1"/>
      <c r="F2352" s="2"/>
      <c r="G2352" s="1">
        <v>179.47</v>
      </c>
      <c r="H2352" s="3"/>
      <c r="I2352" s="14" t="s">
        <v>2177</v>
      </c>
    </row>
    <row r="2353" spans="1:9" ht="18.75" customHeight="1" x14ac:dyDescent="0.4">
      <c r="A2353" s="14" t="s">
        <v>2781</v>
      </c>
      <c r="B2353" s="16" t="str">
        <f>TRIM("　十三公園")</f>
        <v>十三公園</v>
      </c>
      <c r="C2353" s="14" t="s">
        <v>1522</v>
      </c>
      <c r="D2353" s="14" t="s">
        <v>1074</v>
      </c>
      <c r="E2353" s="1">
        <v>27979.34</v>
      </c>
      <c r="F2353" s="2"/>
      <c r="G2353" s="1"/>
      <c r="H2353" s="3"/>
      <c r="I2353" s="14" t="s">
        <v>2177</v>
      </c>
    </row>
    <row r="2354" spans="1:9" ht="18.75" customHeight="1" x14ac:dyDescent="0.4">
      <c r="A2354" s="14" t="s">
        <v>3572</v>
      </c>
      <c r="B2354" s="16" t="str">
        <f>TRIM("　十三公園")</f>
        <v>十三公園</v>
      </c>
      <c r="C2354" s="14" t="s">
        <v>1522</v>
      </c>
      <c r="D2354" s="14" t="s">
        <v>1074</v>
      </c>
      <c r="E2354" s="1"/>
      <c r="F2354" s="2"/>
      <c r="G2354" s="1">
        <v>1038.92</v>
      </c>
      <c r="H2354" s="3"/>
      <c r="I2354" s="14" t="s">
        <v>2177</v>
      </c>
    </row>
    <row r="2355" spans="1:9" ht="18.75" customHeight="1" x14ac:dyDescent="0.4">
      <c r="A2355" s="14" t="s">
        <v>5995</v>
      </c>
      <c r="B2355" s="16" t="str">
        <f>TRIM("十三地盤沈下観測所")</f>
        <v>十三地盤沈下観測所</v>
      </c>
      <c r="C2355" s="14" t="s">
        <v>1522</v>
      </c>
      <c r="D2355" s="14" t="s">
        <v>1074</v>
      </c>
      <c r="E2355" s="1"/>
      <c r="F2355" s="2"/>
      <c r="G2355" s="1">
        <v>11.2</v>
      </c>
      <c r="H2355" s="3"/>
      <c r="I2355" s="14" t="s">
        <v>5977</v>
      </c>
    </row>
    <row r="2356" spans="1:9" ht="18.75" customHeight="1" x14ac:dyDescent="0.4">
      <c r="A2356" s="14" t="s">
        <v>4890</v>
      </c>
      <c r="B2356" s="16" t="str">
        <f>TRIM("神津小学校")</f>
        <v>神津小学校</v>
      </c>
      <c r="C2356" s="14" t="s">
        <v>1522</v>
      </c>
      <c r="D2356" s="14" t="s">
        <v>59</v>
      </c>
      <c r="E2356" s="1">
        <v>11826.78</v>
      </c>
      <c r="F2356" s="2"/>
      <c r="G2356" s="1">
        <v>5923.31</v>
      </c>
      <c r="H2356" s="3"/>
      <c r="I2356" s="14" t="s">
        <v>4689</v>
      </c>
    </row>
    <row r="2357" spans="1:9" ht="18.75" customHeight="1" x14ac:dyDescent="0.4">
      <c r="A2357" s="14" t="s">
        <v>2055</v>
      </c>
      <c r="B2357" s="16" t="str">
        <f>TRIM("神津会館")</f>
        <v>神津会館</v>
      </c>
      <c r="C2357" s="14" t="s">
        <v>1522</v>
      </c>
      <c r="D2357" s="14" t="s">
        <v>59</v>
      </c>
      <c r="E2357" s="1">
        <v>194.14</v>
      </c>
      <c r="F2357" s="2"/>
      <c r="G2357" s="1"/>
      <c r="H2357" s="3"/>
      <c r="I2357" s="14" t="s">
        <v>2035</v>
      </c>
    </row>
    <row r="2358" spans="1:9" ht="18.75" customHeight="1" x14ac:dyDescent="0.4">
      <c r="A2358" s="14" t="s">
        <v>4501</v>
      </c>
      <c r="B2358" s="16" t="str">
        <f>TRIM("神津児童遊園")</f>
        <v>神津児童遊園</v>
      </c>
      <c r="C2358" s="14" t="s">
        <v>1522</v>
      </c>
      <c r="D2358" s="14" t="s">
        <v>59</v>
      </c>
      <c r="E2358" s="1">
        <v>198.54</v>
      </c>
      <c r="F2358" s="2"/>
      <c r="G2358" s="1"/>
      <c r="H2358" s="3"/>
      <c r="I2358" s="14" t="s">
        <v>2035</v>
      </c>
    </row>
    <row r="2359" spans="1:9" ht="18.75" customHeight="1" x14ac:dyDescent="0.4">
      <c r="A2359" s="14" t="s">
        <v>7077</v>
      </c>
      <c r="B2359" s="16" t="str">
        <f>TRIM("十三小売市場民営活性化事業施設")</f>
        <v>十三小売市場民営活性化事業施設</v>
      </c>
      <c r="C2359" s="14" t="s">
        <v>1522</v>
      </c>
      <c r="D2359" s="14" t="s">
        <v>59</v>
      </c>
      <c r="E2359" s="1">
        <v>1237.99</v>
      </c>
      <c r="F2359" s="2"/>
      <c r="G2359" s="1"/>
      <c r="H2359" s="3"/>
      <c r="I2359" s="14" t="s">
        <v>4115</v>
      </c>
    </row>
    <row r="2360" spans="1:9" ht="18.75" customHeight="1" x14ac:dyDescent="0.4">
      <c r="A2360" s="14" t="s">
        <v>3116</v>
      </c>
      <c r="B2360" s="16" t="str">
        <f>TRIM("　田川東公園")</f>
        <v>田川東公園</v>
      </c>
      <c r="C2360" s="14" t="s">
        <v>1522</v>
      </c>
      <c r="D2360" s="14" t="s">
        <v>1178</v>
      </c>
      <c r="E2360" s="1">
        <v>2009.38</v>
      </c>
      <c r="F2360" s="2"/>
      <c r="G2360" s="1"/>
      <c r="H2360" s="3"/>
      <c r="I2360" s="14" t="s">
        <v>2177</v>
      </c>
    </row>
    <row r="2361" spans="1:9" ht="18.75" customHeight="1" x14ac:dyDescent="0.4">
      <c r="A2361" s="14" t="s">
        <v>4054</v>
      </c>
      <c r="B2361" s="16" t="str">
        <f>TRIM("十八条下水処理場")</f>
        <v>十八条下水処理場</v>
      </c>
      <c r="C2361" s="14" t="s">
        <v>1522</v>
      </c>
      <c r="D2361" s="14" t="s">
        <v>910</v>
      </c>
      <c r="E2361" s="1">
        <v>34640.28</v>
      </c>
      <c r="F2361" s="2"/>
      <c r="G2361" s="1">
        <v>31696.99</v>
      </c>
      <c r="H2361" s="3"/>
      <c r="I2361" s="14" t="s">
        <v>2177</v>
      </c>
    </row>
    <row r="2362" spans="1:9" ht="18.75" customHeight="1" x14ac:dyDescent="0.4">
      <c r="A2362" s="14" t="s">
        <v>2208</v>
      </c>
      <c r="B2362" s="16" t="str">
        <f>TRIM("熊野大阪線（淀川）（管財課）")</f>
        <v>熊野大阪線（淀川）（管財課）</v>
      </c>
      <c r="C2362" s="14" t="s">
        <v>1522</v>
      </c>
      <c r="D2362" s="14" t="s">
        <v>910</v>
      </c>
      <c r="E2362" s="1">
        <v>1074.68</v>
      </c>
      <c r="F2362" s="2"/>
      <c r="G2362" s="1"/>
      <c r="H2362" s="3"/>
      <c r="I2362" s="14" t="s">
        <v>2177</v>
      </c>
    </row>
    <row r="2363" spans="1:9" ht="18.75" customHeight="1" x14ac:dyDescent="0.4">
      <c r="A2363" s="14" t="s">
        <v>2784</v>
      </c>
      <c r="B2363" s="16" t="str">
        <f>TRIM("　十八条東公園")</f>
        <v>十八条東公園</v>
      </c>
      <c r="C2363" s="14" t="s">
        <v>1522</v>
      </c>
      <c r="D2363" s="14" t="s">
        <v>910</v>
      </c>
      <c r="E2363" s="1">
        <v>18506.25</v>
      </c>
      <c r="F2363" s="2"/>
      <c r="G2363" s="1"/>
      <c r="H2363" s="3"/>
      <c r="I2363" s="14" t="s">
        <v>2177</v>
      </c>
    </row>
    <row r="2364" spans="1:9" ht="18.75" customHeight="1" x14ac:dyDescent="0.4">
      <c r="A2364" s="14" t="s">
        <v>3442</v>
      </c>
      <c r="B2364" s="16" t="str">
        <f>TRIM("新駅13号緑地")</f>
        <v>新駅13号緑地</v>
      </c>
      <c r="C2364" s="14" t="s">
        <v>1522</v>
      </c>
      <c r="D2364" s="14" t="s">
        <v>910</v>
      </c>
      <c r="E2364" s="1">
        <v>1024.25</v>
      </c>
      <c r="F2364" s="2"/>
      <c r="G2364" s="1"/>
      <c r="H2364" s="3"/>
      <c r="I2364" s="14" t="s">
        <v>2177</v>
      </c>
    </row>
    <row r="2365" spans="1:9" ht="18.75" customHeight="1" x14ac:dyDescent="0.4">
      <c r="A2365" s="14" t="s">
        <v>3573</v>
      </c>
      <c r="B2365" s="16" t="str">
        <f>TRIM("　十八条東公園")</f>
        <v>十八条東公園</v>
      </c>
      <c r="C2365" s="14" t="s">
        <v>1522</v>
      </c>
      <c r="D2365" s="14" t="s">
        <v>910</v>
      </c>
      <c r="E2365" s="1"/>
      <c r="F2365" s="2"/>
      <c r="G2365" s="1">
        <v>19.2</v>
      </c>
      <c r="H2365" s="3"/>
      <c r="I2365" s="14" t="s">
        <v>2177</v>
      </c>
    </row>
    <row r="2366" spans="1:9" ht="18.75" customHeight="1" x14ac:dyDescent="0.4">
      <c r="A2366" s="18"/>
      <c r="B2366" s="14" t="s">
        <v>7171</v>
      </c>
      <c r="C2366" s="14" t="s">
        <v>1522</v>
      </c>
      <c r="D2366" s="1" t="s">
        <v>910</v>
      </c>
      <c r="E2366" s="2"/>
      <c r="F2366" s="11"/>
      <c r="G2366" s="1">
        <v>416.24</v>
      </c>
      <c r="H2366" s="1"/>
      <c r="I2366" s="1" t="s">
        <v>2177</v>
      </c>
    </row>
    <row r="2367" spans="1:9" ht="18.75" customHeight="1" x14ac:dyDescent="0.4">
      <c r="A2367" s="14" t="s">
        <v>6858</v>
      </c>
      <c r="B2367" s="16" t="str">
        <f>TRIM("三国地域再開発事業用地")</f>
        <v>三国地域再開発事業用地</v>
      </c>
      <c r="C2367" s="14" t="s">
        <v>1522</v>
      </c>
      <c r="D2367" s="14" t="s">
        <v>642</v>
      </c>
      <c r="E2367" s="1">
        <v>1501.37</v>
      </c>
      <c r="F2367" s="2">
        <v>904</v>
      </c>
      <c r="G2367" s="1"/>
      <c r="H2367" s="3"/>
      <c r="I2367" s="14" t="s">
        <v>6177</v>
      </c>
    </row>
    <row r="2368" spans="1:9" ht="18.75" customHeight="1" x14ac:dyDescent="0.4">
      <c r="A2368" s="14" t="s">
        <v>2518</v>
      </c>
      <c r="B2368" s="16" t="str">
        <f>TRIM("　十八条中央公園")</f>
        <v>十八条中央公園</v>
      </c>
      <c r="C2368" s="14" t="s">
        <v>1522</v>
      </c>
      <c r="D2368" s="14" t="s">
        <v>642</v>
      </c>
      <c r="E2368" s="1">
        <v>15141.03</v>
      </c>
      <c r="F2368" s="2"/>
      <c r="G2368" s="1"/>
      <c r="H2368" s="3"/>
      <c r="I2368" s="14" t="s">
        <v>2177</v>
      </c>
    </row>
    <row r="2369" spans="1:9" ht="18.75" customHeight="1" x14ac:dyDescent="0.4">
      <c r="A2369" s="14" t="s">
        <v>3711</v>
      </c>
      <c r="B2369" s="16" t="str">
        <f>TRIM("　十八条中央公園")</f>
        <v>十八条中央公園</v>
      </c>
      <c r="C2369" s="14" t="s">
        <v>1522</v>
      </c>
      <c r="D2369" s="14" t="s">
        <v>642</v>
      </c>
      <c r="E2369" s="1"/>
      <c r="F2369" s="2"/>
      <c r="G2369" s="1">
        <v>21.12</v>
      </c>
      <c r="H2369" s="3"/>
      <c r="I2369" s="14" t="s">
        <v>2177</v>
      </c>
    </row>
    <row r="2370" spans="1:9" ht="18.75" customHeight="1" x14ac:dyDescent="0.4">
      <c r="A2370" s="14" t="s">
        <v>6126</v>
      </c>
      <c r="B2370" s="16" t="str">
        <f>TRIM("十八条霊園")</f>
        <v>十八条霊園</v>
      </c>
      <c r="C2370" s="14" t="s">
        <v>1522</v>
      </c>
      <c r="D2370" s="14" t="s">
        <v>642</v>
      </c>
      <c r="E2370" s="1">
        <v>577.59</v>
      </c>
      <c r="F2370" s="2"/>
      <c r="G2370" s="1"/>
      <c r="H2370" s="3"/>
      <c r="I2370" s="14" t="s">
        <v>5977</v>
      </c>
    </row>
    <row r="2371" spans="1:9" ht="18.75" customHeight="1" x14ac:dyDescent="0.4">
      <c r="A2371" s="14" t="s">
        <v>6015</v>
      </c>
      <c r="B2371" s="16" t="str">
        <f>TRIM("共同利用施設（西三国センター）")</f>
        <v>共同利用施設（西三国センター）</v>
      </c>
      <c r="C2371" s="14" t="s">
        <v>1522</v>
      </c>
      <c r="D2371" s="14" t="s">
        <v>617</v>
      </c>
      <c r="E2371" s="1">
        <v>663.75</v>
      </c>
      <c r="F2371" s="2"/>
      <c r="G2371" s="1">
        <v>506.25</v>
      </c>
      <c r="H2371" s="3"/>
      <c r="I2371" s="14" t="s">
        <v>5977</v>
      </c>
    </row>
    <row r="2372" spans="1:9" ht="18.75" customHeight="1" x14ac:dyDescent="0.4">
      <c r="A2372" s="14" t="s">
        <v>2783</v>
      </c>
      <c r="B2372" s="16" t="str">
        <f>TRIM("　十八条西公園")</f>
        <v>十八条西公園</v>
      </c>
      <c r="C2372" s="14" t="s">
        <v>1522</v>
      </c>
      <c r="D2372" s="14" t="s">
        <v>617</v>
      </c>
      <c r="E2372" s="1">
        <v>1212.46</v>
      </c>
      <c r="F2372" s="2"/>
      <c r="G2372" s="1"/>
      <c r="H2372" s="3"/>
      <c r="I2372" s="14" t="s">
        <v>2177</v>
      </c>
    </row>
    <row r="2373" spans="1:9" ht="18.75" customHeight="1" x14ac:dyDescent="0.4">
      <c r="A2373" s="14" t="s">
        <v>5205</v>
      </c>
      <c r="B2373" s="16" t="str">
        <f>TRIM("淀川図書館")</f>
        <v>淀川図書館</v>
      </c>
      <c r="C2373" s="14" t="s">
        <v>1522</v>
      </c>
      <c r="D2373" s="14" t="s">
        <v>1445</v>
      </c>
      <c r="E2373" s="1">
        <v>560.62</v>
      </c>
      <c r="F2373" s="2"/>
      <c r="G2373" s="1">
        <v>620.86</v>
      </c>
      <c r="H2373" s="3"/>
      <c r="I2373" s="14" t="s">
        <v>4689</v>
      </c>
    </row>
    <row r="2374" spans="1:9" ht="18.75" customHeight="1" x14ac:dyDescent="0.4">
      <c r="A2374" s="14" t="s">
        <v>2380</v>
      </c>
      <c r="B2374" s="16" t="str">
        <f>TRIM("十三駐車場")</f>
        <v>十三駐車場</v>
      </c>
      <c r="C2374" s="14" t="s">
        <v>1522</v>
      </c>
      <c r="D2374" s="14" t="s">
        <v>1445</v>
      </c>
      <c r="E2374" s="1"/>
      <c r="F2374" s="2"/>
      <c r="G2374" s="1">
        <v>25</v>
      </c>
      <c r="H2374" s="3"/>
      <c r="I2374" s="14" t="s">
        <v>2177</v>
      </c>
    </row>
    <row r="2375" spans="1:9" ht="18.75" customHeight="1" x14ac:dyDescent="0.4">
      <c r="A2375" s="14" t="s">
        <v>2406</v>
      </c>
      <c r="B2375" s="16" t="str">
        <f>TRIM("十三アンダーパスポンプ場")</f>
        <v>十三アンダーパスポンプ場</v>
      </c>
      <c r="C2375" s="14" t="s">
        <v>1522</v>
      </c>
      <c r="D2375" s="14" t="s">
        <v>1445</v>
      </c>
      <c r="E2375" s="1"/>
      <c r="F2375" s="2"/>
      <c r="G2375" s="1">
        <v>87.22</v>
      </c>
      <c r="H2375" s="3"/>
      <c r="I2375" s="14" t="s">
        <v>2177</v>
      </c>
    </row>
    <row r="2376" spans="1:9" ht="18.75" customHeight="1" x14ac:dyDescent="0.4">
      <c r="A2376" s="14" t="s">
        <v>3831</v>
      </c>
      <c r="B2376" s="16" t="str">
        <f>TRIM("十三駅自転車駐車場")</f>
        <v>十三駅自転車駐車場</v>
      </c>
      <c r="C2376" s="14" t="s">
        <v>1522</v>
      </c>
      <c r="D2376" s="14" t="s">
        <v>1445</v>
      </c>
      <c r="E2376" s="1"/>
      <c r="F2376" s="2"/>
      <c r="G2376" s="1">
        <v>1485.25</v>
      </c>
      <c r="H2376" s="3"/>
      <c r="I2376" s="14" t="s">
        <v>2177</v>
      </c>
    </row>
    <row r="2377" spans="1:9" ht="18.75" customHeight="1" x14ac:dyDescent="0.4">
      <c r="A2377" s="14" t="s">
        <v>3832</v>
      </c>
      <c r="B2377" s="16" t="str">
        <f>TRIM("十三駅西自転車駐車場管理事務所")</f>
        <v>十三駅西自転車駐車場管理事務所</v>
      </c>
      <c r="C2377" s="14" t="s">
        <v>1522</v>
      </c>
      <c r="D2377" s="14" t="s">
        <v>1445</v>
      </c>
      <c r="E2377" s="1"/>
      <c r="F2377" s="2"/>
      <c r="G2377" s="1">
        <v>13.39</v>
      </c>
      <c r="H2377" s="3"/>
      <c r="I2377" s="14" t="s">
        <v>2177</v>
      </c>
    </row>
    <row r="2378" spans="1:9" ht="18.75" customHeight="1" x14ac:dyDescent="0.4">
      <c r="A2378" s="14" t="s">
        <v>4885</v>
      </c>
      <c r="B2378" s="16" t="str">
        <f>TRIM("新北野中学校")</f>
        <v>新北野中学校</v>
      </c>
      <c r="C2378" s="14" t="s">
        <v>1522</v>
      </c>
      <c r="D2378" s="14" t="s">
        <v>1265</v>
      </c>
      <c r="E2378" s="1">
        <v>19194.830000000002</v>
      </c>
      <c r="F2378" s="2"/>
      <c r="G2378" s="1">
        <v>7823.65</v>
      </c>
      <c r="H2378" s="3"/>
      <c r="I2378" s="14" t="s">
        <v>4689</v>
      </c>
    </row>
    <row r="2379" spans="1:9" ht="18.75" customHeight="1" x14ac:dyDescent="0.4">
      <c r="A2379" s="14" t="s">
        <v>3371</v>
      </c>
      <c r="B2379" s="16" t="str">
        <f>TRIM("　淀川公園")</f>
        <v>淀川公園</v>
      </c>
      <c r="C2379" s="14" t="s">
        <v>1522</v>
      </c>
      <c r="D2379" s="14" t="s">
        <v>1265</v>
      </c>
      <c r="E2379" s="1">
        <v>8483.75</v>
      </c>
      <c r="F2379" s="2"/>
      <c r="G2379" s="1"/>
      <c r="H2379" s="3"/>
      <c r="I2379" s="14" t="s">
        <v>2177</v>
      </c>
    </row>
    <row r="2380" spans="1:9" ht="18.75" customHeight="1" x14ac:dyDescent="0.4">
      <c r="A2380" s="14" t="s">
        <v>4081</v>
      </c>
      <c r="B2380" s="16" t="str">
        <f>TRIM("塚本抽水所")</f>
        <v>塚本抽水所</v>
      </c>
      <c r="C2380" s="14" t="s">
        <v>1522</v>
      </c>
      <c r="D2380" s="14" t="s">
        <v>1098</v>
      </c>
      <c r="E2380" s="1">
        <v>8398.14</v>
      </c>
      <c r="F2380" s="2"/>
      <c r="G2380" s="1">
        <v>4804.8099999999995</v>
      </c>
      <c r="H2380" s="3"/>
      <c r="I2380" s="14" t="s">
        <v>2177</v>
      </c>
    </row>
    <row r="2381" spans="1:9" ht="18.75" customHeight="1" x14ac:dyDescent="0.4">
      <c r="A2381" s="14" t="s">
        <v>2864</v>
      </c>
      <c r="B2381" s="16" t="str">
        <f>TRIM("　新北野公園")</f>
        <v>新北野公園</v>
      </c>
      <c r="C2381" s="14" t="s">
        <v>1522</v>
      </c>
      <c r="D2381" s="14" t="s">
        <v>1098</v>
      </c>
      <c r="E2381" s="1">
        <v>4889.25</v>
      </c>
      <c r="F2381" s="2"/>
      <c r="G2381" s="1"/>
      <c r="H2381" s="3"/>
      <c r="I2381" s="14" t="s">
        <v>2177</v>
      </c>
    </row>
    <row r="2382" spans="1:9" ht="18.75" customHeight="1" x14ac:dyDescent="0.4">
      <c r="A2382" s="14" t="s">
        <v>5005</v>
      </c>
      <c r="B2382" s="16" t="str">
        <f>TRIM("田川小学校")</f>
        <v>田川小学校</v>
      </c>
      <c r="C2382" s="14" t="s">
        <v>1522</v>
      </c>
      <c r="D2382" s="14" t="s">
        <v>515</v>
      </c>
      <c r="E2382" s="1">
        <v>8881.27</v>
      </c>
      <c r="F2382" s="2"/>
      <c r="G2382" s="1">
        <v>5268.62</v>
      </c>
      <c r="H2382" s="3"/>
      <c r="I2382" s="14" t="s">
        <v>4689</v>
      </c>
    </row>
    <row r="2383" spans="1:9" ht="18.75" customHeight="1" x14ac:dyDescent="0.4">
      <c r="A2383" s="14" t="s">
        <v>5810</v>
      </c>
      <c r="B2383" s="16" t="str">
        <f>TRIM("田川幼稚園")</f>
        <v>田川幼稚園</v>
      </c>
      <c r="C2383" s="14" t="s">
        <v>1522</v>
      </c>
      <c r="D2383" s="14" t="s">
        <v>515</v>
      </c>
      <c r="E2383" s="1">
        <v>2033.11</v>
      </c>
      <c r="F2383" s="2"/>
      <c r="G2383" s="1">
        <v>976.55</v>
      </c>
      <c r="H2383" s="3"/>
      <c r="I2383" s="14" t="s">
        <v>5617</v>
      </c>
    </row>
    <row r="2384" spans="1:9" ht="18.75" customHeight="1" x14ac:dyDescent="0.4">
      <c r="A2384" s="14" t="s">
        <v>3115</v>
      </c>
      <c r="B2384" s="16" t="str">
        <f>TRIM("　田川中公園")</f>
        <v>田川中公園</v>
      </c>
      <c r="C2384" s="14" t="s">
        <v>1522</v>
      </c>
      <c r="D2384" s="14" t="s">
        <v>515</v>
      </c>
      <c r="E2384" s="1">
        <v>2581.52</v>
      </c>
      <c r="F2384" s="2"/>
      <c r="G2384" s="1"/>
      <c r="H2384" s="3"/>
      <c r="I2384" s="14" t="s">
        <v>2177</v>
      </c>
    </row>
    <row r="2385" spans="1:9" ht="18.75" customHeight="1" x14ac:dyDescent="0.4">
      <c r="A2385" s="14" t="s">
        <v>6188</v>
      </c>
      <c r="B2385" s="16" t="str">
        <f>TRIM("元今里小住宅用地")</f>
        <v>元今里小住宅用地</v>
      </c>
      <c r="C2385" s="14" t="s">
        <v>1522</v>
      </c>
      <c r="D2385" s="14" t="s">
        <v>515</v>
      </c>
      <c r="E2385" s="1">
        <v>1025.27</v>
      </c>
      <c r="F2385" s="2"/>
      <c r="G2385" s="1"/>
      <c r="H2385" s="3"/>
      <c r="I2385" s="14" t="s">
        <v>6177</v>
      </c>
    </row>
    <row r="2386" spans="1:9" ht="18.75" customHeight="1" x14ac:dyDescent="0.4">
      <c r="A2386" s="14" t="s">
        <v>4034</v>
      </c>
      <c r="B2386" s="16" t="str">
        <f>TRIM("下水道用地（淀川）")</f>
        <v>下水道用地（淀川）</v>
      </c>
      <c r="C2386" s="14" t="s">
        <v>1522</v>
      </c>
      <c r="D2386" s="14" t="s">
        <v>1177</v>
      </c>
      <c r="E2386" s="1">
        <v>99454.98</v>
      </c>
      <c r="F2386" s="2"/>
      <c r="G2386" s="1"/>
      <c r="H2386" s="3"/>
      <c r="I2386" s="14" t="s">
        <v>2177</v>
      </c>
    </row>
    <row r="2387" spans="1:9" ht="18.75" customHeight="1" x14ac:dyDescent="0.4">
      <c r="A2387" s="14" t="s">
        <v>3113</v>
      </c>
      <c r="B2387" s="16" t="str">
        <f>TRIM("　田川公園")</f>
        <v>田川公園</v>
      </c>
      <c r="C2387" s="14" t="s">
        <v>1522</v>
      </c>
      <c r="D2387" s="14" t="s">
        <v>1177</v>
      </c>
      <c r="E2387" s="1">
        <v>10489.47</v>
      </c>
      <c r="F2387" s="2"/>
      <c r="G2387" s="1"/>
      <c r="H2387" s="3"/>
      <c r="I2387" s="14" t="s">
        <v>2177</v>
      </c>
    </row>
    <row r="2388" spans="1:9" ht="18.75" customHeight="1" x14ac:dyDescent="0.4">
      <c r="A2388" s="14" t="s">
        <v>3114</v>
      </c>
      <c r="B2388" s="16" t="str">
        <f>TRIM("　田川西公園")</f>
        <v>田川西公園</v>
      </c>
      <c r="C2388" s="14" t="s">
        <v>1522</v>
      </c>
      <c r="D2388" s="14" t="s">
        <v>1177</v>
      </c>
      <c r="E2388" s="1">
        <v>1208.5999999999999</v>
      </c>
      <c r="F2388" s="2"/>
      <c r="G2388" s="1"/>
      <c r="H2388" s="3"/>
      <c r="I2388" s="14" t="s">
        <v>2177</v>
      </c>
    </row>
    <row r="2389" spans="1:9" ht="18.75" customHeight="1" x14ac:dyDescent="0.4">
      <c r="A2389" s="14" t="s">
        <v>6565</v>
      </c>
      <c r="B2389" s="16" t="str">
        <f>TRIM("田川北住宅")</f>
        <v>田川北住宅</v>
      </c>
      <c r="C2389" s="14" t="s">
        <v>1522</v>
      </c>
      <c r="D2389" s="14" t="s">
        <v>801</v>
      </c>
      <c r="E2389" s="1">
        <v>3390.56</v>
      </c>
      <c r="F2389" s="2"/>
      <c r="G2389" s="1">
        <v>2471.5300000000002</v>
      </c>
      <c r="H2389" s="3"/>
      <c r="I2389" s="14" t="s">
        <v>6177</v>
      </c>
    </row>
    <row r="2390" spans="1:9" ht="18.75" customHeight="1" x14ac:dyDescent="0.4">
      <c r="A2390" s="14" t="s">
        <v>4500</v>
      </c>
      <c r="B2390" s="16" t="str">
        <f>TRIM("田川老人憩の家")</f>
        <v>田川老人憩の家</v>
      </c>
      <c r="C2390" s="14" t="s">
        <v>1522</v>
      </c>
      <c r="D2390" s="14" t="s">
        <v>801</v>
      </c>
      <c r="E2390" s="1">
        <v>50.74</v>
      </c>
      <c r="F2390" s="2"/>
      <c r="G2390" s="1"/>
      <c r="H2390" s="3"/>
      <c r="I2390" s="14" t="s">
        <v>2035</v>
      </c>
    </row>
    <row r="2391" spans="1:9" ht="18.75" customHeight="1" x14ac:dyDescent="0.4">
      <c r="A2391" s="14" t="s">
        <v>3117</v>
      </c>
      <c r="B2391" s="16" t="str">
        <f>TRIM("　田川北公園")</f>
        <v>田川北公園</v>
      </c>
      <c r="C2391" s="14" t="s">
        <v>1522</v>
      </c>
      <c r="D2391" s="14" t="s">
        <v>1179</v>
      </c>
      <c r="E2391" s="1">
        <v>2103.17</v>
      </c>
      <c r="F2391" s="2"/>
      <c r="G2391" s="1"/>
      <c r="H2391" s="3"/>
      <c r="I2391" s="14" t="s">
        <v>2177</v>
      </c>
    </row>
    <row r="2392" spans="1:9" ht="18.75" customHeight="1" x14ac:dyDescent="0.4">
      <c r="A2392" s="14" t="s">
        <v>3078</v>
      </c>
      <c r="B2392" s="16" t="str">
        <f>TRIM("　塚本南公園")</f>
        <v>塚本南公園</v>
      </c>
      <c r="C2392" s="14" t="s">
        <v>1522</v>
      </c>
      <c r="D2392" s="14" t="s">
        <v>1166</v>
      </c>
      <c r="E2392" s="1">
        <v>582.69000000000005</v>
      </c>
      <c r="F2392" s="2"/>
      <c r="G2392" s="1"/>
      <c r="H2392" s="3"/>
      <c r="I2392" s="14" t="s">
        <v>2177</v>
      </c>
    </row>
    <row r="2393" spans="1:9" ht="18.75" customHeight="1" x14ac:dyDescent="0.4">
      <c r="A2393" s="14" t="s">
        <v>3479</v>
      </c>
      <c r="B2393" s="16" t="str">
        <f>TRIM("塚本駅前公園")</f>
        <v>塚本駅前公園</v>
      </c>
      <c r="C2393" s="14" t="s">
        <v>1522</v>
      </c>
      <c r="D2393" s="14" t="s">
        <v>1293</v>
      </c>
      <c r="E2393" s="1">
        <v>700.06</v>
      </c>
      <c r="F2393" s="2"/>
      <c r="G2393" s="1"/>
      <c r="H2393" s="3"/>
      <c r="I2393" s="14" t="s">
        <v>2177</v>
      </c>
    </row>
    <row r="2394" spans="1:9" ht="18.75" customHeight="1" x14ac:dyDescent="0.4">
      <c r="A2394" s="14" t="s">
        <v>3735</v>
      </c>
      <c r="B2394" s="16" t="str">
        <f>TRIM(" 塚本駅自転車駐車場トイレ")</f>
        <v>塚本駅自転車駐車場トイレ</v>
      </c>
      <c r="C2394" s="14" t="s">
        <v>1522</v>
      </c>
      <c r="D2394" s="14" t="s">
        <v>1293</v>
      </c>
      <c r="E2394" s="1"/>
      <c r="F2394" s="2"/>
      <c r="G2394" s="1">
        <v>1.44</v>
      </c>
      <c r="H2394" s="3"/>
      <c r="I2394" s="14" t="s">
        <v>2177</v>
      </c>
    </row>
    <row r="2395" spans="1:9" ht="18.75" customHeight="1" x14ac:dyDescent="0.4">
      <c r="A2395" s="14" t="s">
        <v>4988</v>
      </c>
      <c r="B2395" s="16" t="str">
        <f>TRIM("塚本小学校")</f>
        <v>塚本小学校</v>
      </c>
      <c r="C2395" s="14" t="s">
        <v>1522</v>
      </c>
      <c r="D2395" s="14" t="s">
        <v>1418</v>
      </c>
      <c r="E2395" s="1">
        <v>11016.2</v>
      </c>
      <c r="F2395" s="2"/>
      <c r="G2395" s="1">
        <v>6750.31</v>
      </c>
      <c r="H2395" s="3"/>
      <c r="I2395" s="14" t="s">
        <v>4689</v>
      </c>
    </row>
    <row r="2396" spans="1:9" ht="18.75" customHeight="1" x14ac:dyDescent="0.4">
      <c r="A2396" s="14" t="s">
        <v>4497</v>
      </c>
      <c r="B2396" s="16" t="str">
        <f>TRIM("塚本福祉会館")</f>
        <v>塚本福祉会館</v>
      </c>
      <c r="C2396" s="14" t="s">
        <v>1522</v>
      </c>
      <c r="D2396" s="14" t="s">
        <v>1418</v>
      </c>
      <c r="E2396" s="1">
        <v>211.03</v>
      </c>
      <c r="F2396" s="2"/>
      <c r="G2396" s="1"/>
      <c r="H2396" s="3"/>
      <c r="I2396" s="14" t="s">
        <v>2035</v>
      </c>
    </row>
    <row r="2397" spans="1:9" ht="18.75" customHeight="1" x14ac:dyDescent="0.4">
      <c r="A2397" s="14" t="s">
        <v>3077</v>
      </c>
      <c r="B2397" s="16" t="str">
        <f>TRIM("　塚本公園")</f>
        <v>塚本公園</v>
      </c>
      <c r="C2397" s="14" t="s">
        <v>1522</v>
      </c>
      <c r="D2397" s="14" t="s">
        <v>1165</v>
      </c>
      <c r="E2397" s="1">
        <v>3545.81</v>
      </c>
      <c r="F2397" s="2"/>
      <c r="G2397" s="1"/>
      <c r="H2397" s="3"/>
      <c r="I2397" s="14" t="s">
        <v>2177</v>
      </c>
    </row>
    <row r="2398" spans="1:9" ht="18.75" customHeight="1" x14ac:dyDescent="0.4">
      <c r="A2398" s="14" t="s">
        <v>3628</v>
      </c>
      <c r="B2398" s="16" t="str">
        <f>TRIM("　塚本公園")</f>
        <v>塚本公園</v>
      </c>
      <c r="C2398" s="14" t="s">
        <v>1522</v>
      </c>
      <c r="D2398" s="14" t="s">
        <v>1165</v>
      </c>
      <c r="E2398" s="1"/>
      <c r="F2398" s="2"/>
      <c r="G2398" s="1">
        <v>19.2</v>
      </c>
      <c r="H2398" s="3"/>
      <c r="I2398" s="14" t="s">
        <v>2177</v>
      </c>
    </row>
    <row r="2399" spans="1:9" ht="18.75" customHeight="1" x14ac:dyDescent="0.4">
      <c r="A2399" s="14" t="s">
        <v>5903</v>
      </c>
      <c r="B2399" s="16" t="str">
        <f>TRIM("塚本くすのき保育園")</f>
        <v>塚本くすのき保育園</v>
      </c>
      <c r="C2399" s="14" t="s">
        <v>1522</v>
      </c>
      <c r="D2399" s="14" t="s">
        <v>588</v>
      </c>
      <c r="E2399" s="1">
        <v>1000.69</v>
      </c>
      <c r="F2399" s="2"/>
      <c r="G2399" s="1"/>
      <c r="H2399" s="3"/>
      <c r="I2399" s="14" t="s">
        <v>5617</v>
      </c>
    </row>
    <row r="2400" spans="1:9" ht="18.75" customHeight="1" x14ac:dyDescent="0.4">
      <c r="A2400" s="14" t="s">
        <v>4873</v>
      </c>
      <c r="B2400" s="16" t="str">
        <f>TRIM("新高小学校")</f>
        <v>新高小学校</v>
      </c>
      <c r="C2400" s="14" t="s">
        <v>1522</v>
      </c>
      <c r="D2400" s="14" t="s">
        <v>491</v>
      </c>
      <c r="E2400" s="1">
        <v>9075.67</v>
      </c>
      <c r="F2400" s="2"/>
      <c r="G2400" s="1">
        <v>6886.57</v>
      </c>
      <c r="H2400" s="3"/>
      <c r="I2400" s="14" t="s">
        <v>4689</v>
      </c>
    </row>
    <row r="2401" spans="1:9" ht="18.75" customHeight="1" x14ac:dyDescent="0.4">
      <c r="A2401" s="14" t="s">
        <v>5688</v>
      </c>
      <c r="B2401" s="16" t="str">
        <f>TRIM("もと淀川勤労青少年ホーム")</f>
        <v>もと淀川勤労青少年ホーム</v>
      </c>
      <c r="C2401" s="14" t="s">
        <v>1522</v>
      </c>
      <c r="D2401" s="14" t="s">
        <v>491</v>
      </c>
      <c r="E2401" s="1">
        <v>797.59</v>
      </c>
      <c r="F2401" s="2"/>
      <c r="G2401" s="1">
        <v>603.1</v>
      </c>
      <c r="H2401" s="3" t="s">
        <v>7353</v>
      </c>
      <c r="I2401" s="14" t="s">
        <v>5617</v>
      </c>
    </row>
    <row r="2402" spans="1:9" ht="18.75" customHeight="1" x14ac:dyDescent="0.4">
      <c r="A2402" s="14" t="s">
        <v>5793</v>
      </c>
      <c r="B2402" s="16" t="str">
        <f>TRIM("新高幼稚園")</f>
        <v>新高幼稚園</v>
      </c>
      <c r="C2402" s="14" t="s">
        <v>1522</v>
      </c>
      <c r="D2402" s="14" t="s">
        <v>491</v>
      </c>
      <c r="E2402" s="1">
        <v>1540</v>
      </c>
      <c r="F2402" s="2"/>
      <c r="G2402" s="1">
        <v>768.95</v>
      </c>
      <c r="H2402" s="3"/>
      <c r="I2402" s="14" t="s">
        <v>5617</v>
      </c>
    </row>
    <row r="2403" spans="1:9" ht="18.75" customHeight="1" x14ac:dyDescent="0.4">
      <c r="A2403" s="14" t="s">
        <v>2844</v>
      </c>
      <c r="B2403" s="16" t="str">
        <f>TRIM("　新高堀上公園")</f>
        <v>新高堀上公園</v>
      </c>
      <c r="C2403" s="14" t="s">
        <v>1522</v>
      </c>
      <c r="D2403" s="14" t="s">
        <v>491</v>
      </c>
      <c r="E2403" s="1">
        <v>621.98</v>
      </c>
      <c r="F2403" s="2"/>
      <c r="G2403" s="1"/>
      <c r="H2403" s="3"/>
      <c r="I2403" s="14" t="s">
        <v>2177</v>
      </c>
    </row>
    <row r="2404" spans="1:9" ht="18.75" customHeight="1" x14ac:dyDescent="0.4">
      <c r="A2404" s="14" t="s">
        <v>5776</v>
      </c>
      <c r="B2404" s="16" t="str">
        <f>TRIM("ほっぺるランドにいたかみなみ")</f>
        <v>ほっぺるランドにいたかみなみ</v>
      </c>
      <c r="C2404" s="14" t="s">
        <v>1522</v>
      </c>
      <c r="D2404" s="14" t="s">
        <v>491</v>
      </c>
      <c r="E2404" s="1">
        <v>714.82</v>
      </c>
      <c r="F2404" s="2"/>
      <c r="G2404" s="1"/>
      <c r="H2404" s="3"/>
      <c r="I2404" s="14" t="s">
        <v>5617</v>
      </c>
    </row>
    <row r="2405" spans="1:9" ht="18.75" customHeight="1" x14ac:dyDescent="0.4">
      <c r="A2405" s="14" t="s">
        <v>3443</v>
      </c>
      <c r="B2405" s="16" t="str">
        <f>TRIM("新高東公園")</f>
        <v>新高東公園</v>
      </c>
      <c r="C2405" s="14" t="s">
        <v>1522</v>
      </c>
      <c r="D2405" s="14" t="s">
        <v>1282</v>
      </c>
      <c r="E2405" s="1">
        <v>1000.73</v>
      </c>
      <c r="F2405" s="2"/>
      <c r="G2405" s="1"/>
      <c r="H2405" s="3"/>
      <c r="I2405" s="14" t="s">
        <v>2177</v>
      </c>
    </row>
    <row r="2406" spans="1:9" ht="18.75" customHeight="1" x14ac:dyDescent="0.4">
      <c r="A2406" s="14" t="s">
        <v>6426</v>
      </c>
      <c r="B2406" s="16" t="str">
        <f>TRIM("新高住宅")</f>
        <v>新高住宅</v>
      </c>
      <c r="C2406" s="14" t="s">
        <v>1522</v>
      </c>
      <c r="D2406" s="14" t="s">
        <v>361</v>
      </c>
      <c r="E2406" s="1">
        <v>6616.28</v>
      </c>
      <c r="F2406" s="2"/>
      <c r="G2406" s="1">
        <v>4851.8900000000003</v>
      </c>
      <c r="H2406" s="3"/>
      <c r="I2406" s="14" t="s">
        <v>6177</v>
      </c>
    </row>
    <row r="2407" spans="1:9" ht="18.75" customHeight="1" x14ac:dyDescent="0.4">
      <c r="A2407" s="14" t="s">
        <v>6427</v>
      </c>
      <c r="B2407" s="16" t="str">
        <f>TRIM("新高南住宅")</f>
        <v>新高南住宅</v>
      </c>
      <c r="C2407" s="14" t="s">
        <v>1522</v>
      </c>
      <c r="D2407" s="14" t="s">
        <v>361</v>
      </c>
      <c r="E2407" s="1">
        <v>3703.55</v>
      </c>
      <c r="F2407" s="2"/>
      <c r="G2407" s="1">
        <v>7544.4</v>
      </c>
      <c r="H2407" s="3"/>
      <c r="I2407" s="14" t="s">
        <v>6177</v>
      </c>
    </row>
    <row r="2408" spans="1:9" ht="18.75" customHeight="1" x14ac:dyDescent="0.4">
      <c r="A2408" s="14" t="s">
        <v>1749</v>
      </c>
      <c r="B2408" s="16" t="str">
        <f>TRIM("知的障がい者授産施設（通所）「にいたかの里」及び知的障がい者通勤寮「ほほえみ」")</f>
        <v>知的障がい者授産施設（通所）「にいたかの里」及び知的障がい者通勤寮「ほほえみ」</v>
      </c>
      <c r="C2408" s="14" t="s">
        <v>1522</v>
      </c>
      <c r="D2408" s="14" t="s">
        <v>361</v>
      </c>
      <c r="E2408" s="1">
        <v>750.11</v>
      </c>
      <c r="F2408" s="2"/>
      <c r="G2408" s="1"/>
      <c r="H2408" s="3"/>
      <c r="I2408" s="14" t="s">
        <v>1654</v>
      </c>
    </row>
    <row r="2409" spans="1:9" ht="18.75" customHeight="1" x14ac:dyDescent="0.4">
      <c r="A2409" s="14" t="s">
        <v>1961</v>
      </c>
      <c r="B2409" s="16" t="str">
        <f>TRIM("特別養護老人ホーム平成新高苑・新高地域在宅サービスステーション")</f>
        <v>特別養護老人ホーム平成新高苑・新高地域在宅サービスステーション</v>
      </c>
      <c r="C2409" s="14" t="s">
        <v>1522</v>
      </c>
      <c r="D2409" s="14" t="s">
        <v>361</v>
      </c>
      <c r="E2409" s="1">
        <v>2249.89</v>
      </c>
      <c r="F2409" s="2"/>
      <c r="G2409" s="1"/>
      <c r="H2409" s="3"/>
      <c r="I2409" s="14" t="s">
        <v>1654</v>
      </c>
    </row>
    <row r="2410" spans="1:9" ht="18.75" customHeight="1" x14ac:dyDescent="0.4">
      <c r="A2410" s="14" t="s">
        <v>2052</v>
      </c>
      <c r="B2410" s="16" t="str">
        <f>TRIM("新高社会福祉会館")</f>
        <v>新高社会福祉会館</v>
      </c>
      <c r="C2410" s="14" t="s">
        <v>1522</v>
      </c>
      <c r="D2410" s="14" t="s">
        <v>361</v>
      </c>
      <c r="E2410" s="1">
        <v>303.02</v>
      </c>
      <c r="F2410" s="2"/>
      <c r="G2410" s="1"/>
      <c r="H2410" s="3"/>
      <c r="I2410" s="14" t="s">
        <v>2035</v>
      </c>
    </row>
    <row r="2411" spans="1:9" ht="18.75" customHeight="1" x14ac:dyDescent="0.4">
      <c r="A2411" s="14" t="s">
        <v>2842</v>
      </c>
      <c r="B2411" s="16" t="str">
        <f>TRIM("　新高公園")</f>
        <v>新高公園</v>
      </c>
      <c r="C2411" s="14" t="s">
        <v>1522</v>
      </c>
      <c r="D2411" s="14" t="s">
        <v>361</v>
      </c>
      <c r="E2411" s="1">
        <v>2340.4899999999998</v>
      </c>
      <c r="F2411" s="2"/>
      <c r="G2411" s="1"/>
      <c r="H2411" s="3"/>
      <c r="I2411" s="14" t="s">
        <v>2177</v>
      </c>
    </row>
    <row r="2412" spans="1:9" ht="18.75" customHeight="1" x14ac:dyDescent="0.4">
      <c r="A2412" s="14" t="s">
        <v>2843</v>
      </c>
      <c r="B2412" s="16" t="str">
        <f>TRIM("　新高中央公園")</f>
        <v>新高中央公園</v>
      </c>
      <c r="C2412" s="14" t="s">
        <v>1522</v>
      </c>
      <c r="D2412" s="14" t="s">
        <v>361</v>
      </c>
      <c r="E2412" s="1">
        <v>17000.34</v>
      </c>
      <c r="F2412" s="2"/>
      <c r="G2412" s="1"/>
      <c r="H2412" s="3"/>
      <c r="I2412" s="14" t="s">
        <v>2177</v>
      </c>
    </row>
    <row r="2413" spans="1:9" ht="18.75" customHeight="1" x14ac:dyDescent="0.4">
      <c r="A2413" s="14" t="s">
        <v>3581</v>
      </c>
      <c r="B2413" s="16" t="str">
        <f>TRIM("　新高中央公園")</f>
        <v>新高中央公園</v>
      </c>
      <c r="C2413" s="14" t="s">
        <v>1522</v>
      </c>
      <c r="D2413" s="14" t="s">
        <v>361</v>
      </c>
      <c r="E2413" s="1"/>
      <c r="F2413" s="2"/>
      <c r="G2413" s="1">
        <v>19.2</v>
      </c>
      <c r="H2413" s="3"/>
      <c r="I2413" s="14" t="s">
        <v>2177</v>
      </c>
    </row>
    <row r="2414" spans="1:9" ht="18.75" customHeight="1" x14ac:dyDescent="0.4">
      <c r="A2414" s="14" t="s">
        <v>6742</v>
      </c>
      <c r="B2414" s="16" t="str">
        <f>TRIM("西中島第2住宅")</f>
        <v>西中島第2住宅</v>
      </c>
      <c r="C2414" s="14" t="s">
        <v>1522</v>
      </c>
      <c r="D2414" s="14" t="s">
        <v>861</v>
      </c>
      <c r="E2414" s="1">
        <v>3233.67</v>
      </c>
      <c r="F2414" s="2"/>
      <c r="G2414" s="1">
        <v>339.07</v>
      </c>
      <c r="H2414" s="3"/>
      <c r="I2414" s="14" t="s">
        <v>6177</v>
      </c>
    </row>
    <row r="2415" spans="1:9" ht="18.75" customHeight="1" x14ac:dyDescent="0.4">
      <c r="A2415" s="14" t="s">
        <v>6016</v>
      </c>
      <c r="B2415" s="16" t="str">
        <f>TRIM("共同利用施設（西中島センター）")</f>
        <v>共同利用施設（西中島センター）</v>
      </c>
      <c r="C2415" s="14" t="s">
        <v>1522</v>
      </c>
      <c r="D2415" s="14" t="s">
        <v>618</v>
      </c>
      <c r="E2415" s="1">
        <v>236.22</v>
      </c>
      <c r="F2415" s="2"/>
      <c r="G2415" s="1">
        <v>508.94</v>
      </c>
      <c r="H2415" s="3"/>
      <c r="I2415" s="14" t="s">
        <v>5977</v>
      </c>
    </row>
    <row r="2416" spans="1:9" ht="18.75" customHeight="1" x14ac:dyDescent="0.4">
      <c r="A2416" s="14" t="s">
        <v>6459</v>
      </c>
      <c r="B2416" s="16" t="str">
        <f>TRIM("西中島住宅")</f>
        <v>西中島住宅</v>
      </c>
      <c r="C2416" s="14" t="s">
        <v>1522</v>
      </c>
      <c r="D2416" s="14" t="s">
        <v>618</v>
      </c>
      <c r="E2416" s="1">
        <v>2073.5300000000002</v>
      </c>
      <c r="F2416" s="2"/>
      <c r="G2416" s="1">
        <v>4861.5600000000004</v>
      </c>
      <c r="H2416" s="3"/>
      <c r="I2416" s="14" t="s">
        <v>6177</v>
      </c>
    </row>
    <row r="2417" spans="1:9" ht="18.75" customHeight="1" x14ac:dyDescent="0.4">
      <c r="A2417" s="14" t="s">
        <v>2931</v>
      </c>
      <c r="B2417" s="16" t="str">
        <f>TRIM("　西中島東公園")</f>
        <v>西中島東公園</v>
      </c>
      <c r="C2417" s="14" t="s">
        <v>1522</v>
      </c>
      <c r="D2417" s="14" t="s">
        <v>618</v>
      </c>
      <c r="E2417" s="1">
        <v>1689.76</v>
      </c>
      <c r="F2417" s="2"/>
      <c r="G2417" s="1"/>
      <c r="H2417" s="3"/>
      <c r="I2417" s="14" t="s">
        <v>2177</v>
      </c>
    </row>
    <row r="2418" spans="1:9" ht="18.75" customHeight="1" x14ac:dyDescent="0.4">
      <c r="A2418" s="14" t="s">
        <v>3728</v>
      </c>
      <c r="B2418" s="16" t="str">
        <f>TRIM(" 西中島駅自転車駐車場トイレ")</f>
        <v>西中島駅自転車駐車場トイレ</v>
      </c>
      <c r="C2418" s="14" t="s">
        <v>1522</v>
      </c>
      <c r="D2418" s="14" t="s">
        <v>618</v>
      </c>
      <c r="E2418" s="1"/>
      <c r="F2418" s="2"/>
      <c r="G2418" s="1">
        <v>1.44</v>
      </c>
      <c r="H2418" s="3"/>
      <c r="I2418" s="14" t="s">
        <v>2177</v>
      </c>
    </row>
    <row r="2419" spans="1:9" ht="18.75" customHeight="1" x14ac:dyDescent="0.4">
      <c r="A2419" s="14" t="s">
        <v>3865</v>
      </c>
      <c r="B2419" s="16" t="str">
        <f>TRIM("西中島南方駅自転車駐車場管理ボックス")</f>
        <v>西中島南方駅自転車駐車場管理ボックス</v>
      </c>
      <c r="C2419" s="14" t="s">
        <v>1522</v>
      </c>
      <c r="D2419" s="14" t="s">
        <v>618</v>
      </c>
      <c r="E2419" s="1"/>
      <c r="F2419" s="2"/>
      <c r="G2419" s="1">
        <v>9.7200000000000006</v>
      </c>
      <c r="H2419" s="3"/>
      <c r="I2419" s="14" t="s">
        <v>2177</v>
      </c>
    </row>
    <row r="2420" spans="1:9" ht="18.75" customHeight="1" x14ac:dyDescent="0.4">
      <c r="A2420" s="14" t="s">
        <v>3866</v>
      </c>
      <c r="B2420" s="16" t="str">
        <f>TRIM("西中島南方駅自転車駐車場管理事務所")</f>
        <v>西中島南方駅自転車駐車場管理事務所</v>
      </c>
      <c r="C2420" s="14" t="s">
        <v>1522</v>
      </c>
      <c r="D2420" s="14" t="s">
        <v>618</v>
      </c>
      <c r="E2420" s="1"/>
      <c r="F2420" s="2"/>
      <c r="G2420" s="1">
        <v>12.56</v>
      </c>
      <c r="H2420" s="3"/>
      <c r="I2420" s="14" t="s">
        <v>2177</v>
      </c>
    </row>
    <row r="2421" spans="1:9" ht="18.75" customHeight="1" x14ac:dyDescent="0.4">
      <c r="A2421" s="14" t="s">
        <v>2065</v>
      </c>
      <c r="B2421" s="16" t="str">
        <f>TRIM("西中島社会福祉会館")</f>
        <v>西中島社会福祉会館</v>
      </c>
      <c r="C2421" s="14" t="s">
        <v>1522</v>
      </c>
      <c r="D2421" s="14" t="s">
        <v>1457</v>
      </c>
      <c r="E2421" s="1">
        <v>261.44</v>
      </c>
      <c r="F2421" s="2"/>
      <c r="G2421" s="1"/>
      <c r="H2421" s="3"/>
      <c r="I2421" s="14" t="s">
        <v>2035</v>
      </c>
    </row>
    <row r="2422" spans="1:9" ht="18.75" customHeight="1" x14ac:dyDescent="0.4">
      <c r="A2422" s="14" t="s">
        <v>2316</v>
      </c>
      <c r="B2422" s="16" t="str">
        <f>TRIM("道路（淀川）（管財課）")</f>
        <v>道路（淀川）（管財課）</v>
      </c>
      <c r="C2422" s="14" t="s">
        <v>1522</v>
      </c>
      <c r="D2422" s="14" t="s">
        <v>960</v>
      </c>
      <c r="E2422" s="1">
        <v>1323574.31</v>
      </c>
      <c r="F2422" s="2"/>
      <c r="G2422" s="1"/>
      <c r="H2422" s="3"/>
      <c r="I2422" s="14" t="s">
        <v>2177</v>
      </c>
    </row>
    <row r="2423" spans="1:9" ht="18.75" customHeight="1" x14ac:dyDescent="0.4">
      <c r="A2423" s="14" t="s">
        <v>2382</v>
      </c>
      <c r="B2423" s="16" t="str">
        <f>TRIM("新大阪駅南第2駐車場")</f>
        <v>新大阪駅南第2駐車場</v>
      </c>
      <c r="C2423" s="14" t="s">
        <v>1522</v>
      </c>
      <c r="D2423" s="14" t="s">
        <v>960</v>
      </c>
      <c r="E2423" s="1"/>
      <c r="F2423" s="2"/>
      <c r="G2423" s="1">
        <v>35.89</v>
      </c>
      <c r="H2423" s="3"/>
      <c r="I2423" s="14" t="s">
        <v>2177</v>
      </c>
    </row>
    <row r="2424" spans="1:9" ht="18.75" customHeight="1" x14ac:dyDescent="0.4">
      <c r="A2424" s="14" t="s">
        <v>2383</v>
      </c>
      <c r="B2424" s="16" t="str">
        <f>TRIM("新大阪駅南駐車場")</f>
        <v>新大阪駅南駐車場</v>
      </c>
      <c r="C2424" s="14" t="s">
        <v>1522</v>
      </c>
      <c r="D2424" s="14" t="s">
        <v>960</v>
      </c>
      <c r="E2424" s="1"/>
      <c r="F2424" s="2"/>
      <c r="G2424" s="1">
        <v>28.81</v>
      </c>
      <c r="H2424" s="3"/>
      <c r="I2424" s="14" t="s">
        <v>2177</v>
      </c>
    </row>
    <row r="2425" spans="1:9" ht="18.75" customHeight="1" x14ac:dyDescent="0.4">
      <c r="A2425" s="14" t="s">
        <v>3726</v>
      </c>
      <c r="B2425" s="16" t="str">
        <f>TRIM(" 新大阪駅南口自転車駐車場トイレ")</f>
        <v>新大阪駅南口自転車駐車場トイレ</v>
      </c>
      <c r="C2425" s="14" t="s">
        <v>1522</v>
      </c>
      <c r="D2425" s="14" t="s">
        <v>960</v>
      </c>
      <c r="E2425" s="1"/>
      <c r="F2425" s="2"/>
      <c r="G2425" s="1">
        <v>1.44</v>
      </c>
      <c r="H2425" s="3"/>
      <c r="I2425" s="14" t="s">
        <v>2177</v>
      </c>
    </row>
    <row r="2426" spans="1:9" ht="18.75" customHeight="1" x14ac:dyDescent="0.4">
      <c r="A2426" s="14" t="s">
        <v>3850</v>
      </c>
      <c r="B2426" s="16" t="str">
        <f>TRIM("新大阪駅南口自転車駐車場管理ボックス")</f>
        <v>新大阪駅南口自転車駐車場管理ボックス</v>
      </c>
      <c r="C2426" s="14" t="s">
        <v>1522</v>
      </c>
      <c r="D2426" s="14" t="s">
        <v>960</v>
      </c>
      <c r="E2426" s="1"/>
      <c r="F2426" s="2"/>
      <c r="G2426" s="1">
        <v>1.44</v>
      </c>
      <c r="H2426" s="3"/>
      <c r="I2426" s="14" t="s">
        <v>2177</v>
      </c>
    </row>
    <row r="2427" spans="1:9" ht="18.75" customHeight="1" x14ac:dyDescent="0.4">
      <c r="A2427" s="14" t="s">
        <v>3851</v>
      </c>
      <c r="B2427" s="16" t="str">
        <f>TRIM("新大阪駅南口自転車駐車場管理事務所")</f>
        <v>新大阪駅南口自転車駐車場管理事務所</v>
      </c>
      <c r="C2427" s="14" t="s">
        <v>1522</v>
      </c>
      <c r="D2427" s="14" t="s">
        <v>960</v>
      </c>
      <c r="E2427" s="1"/>
      <c r="F2427" s="2"/>
      <c r="G2427" s="1">
        <v>3.89</v>
      </c>
      <c r="H2427" s="3"/>
      <c r="I2427" s="14" t="s">
        <v>2177</v>
      </c>
    </row>
    <row r="2428" spans="1:9" ht="18.75" customHeight="1" x14ac:dyDescent="0.4">
      <c r="A2428" s="14" t="s">
        <v>6828</v>
      </c>
      <c r="B2428" s="16" t="str">
        <f>TRIM("もと区画整理事業用地（新大阪駅周辺）")</f>
        <v>もと区画整理事業用地（新大阪駅周辺）</v>
      </c>
      <c r="C2428" s="14" t="s">
        <v>1522</v>
      </c>
      <c r="D2428" s="14" t="s">
        <v>881</v>
      </c>
      <c r="E2428" s="1">
        <v>1100.6300000000001</v>
      </c>
      <c r="F2428" s="2">
        <v>329</v>
      </c>
      <c r="G2428" s="1"/>
      <c r="H2428" s="3"/>
      <c r="I2428" s="14" t="s">
        <v>6177</v>
      </c>
    </row>
    <row r="2429" spans="1:9" ht="18.75" customHeight="1" x14ac:dyDescent="0.4">
      <c r="A2429" s="14" t="s">
        <v>4915</v>
      </c>
      <c r="B2429" s="16" t="str">
        <f>TRIM("西中島小学校")</f>
        <v>西中島小学校</v>
      </c>
      <c r="C2429" s="14" t="s">
        <v>1522</v>
      </c>
      <c r="D2429" s="14" t="s">
        <v>508</v>
      </c>
      <c r="E2429" s="1">
        <v>9429.16</v>
      </c>
      <c r="F2429" s="2"/>
      <c r="G2429" s="1">
        <v>4905.8999999999996</v>
      </c>
      <c r="H2429" s="3"/>
      <c r="I2429" s="14" t="s">
        <v>4689</v>
      </c>
    </row>
    <row r="2430" spans="1:9" ht="18.75" customHeight="1" x14ac:dyDescent="0.4">
      <c r="A2430" s="14" t="s">
        <v>5798</v>
      </c>
      <c r="B2430" s="16" t="str">
        <f>TRIM("西中島幼稚園")</f>
        <v>西中島幼稚園</v>
      </c>
      <c r="C2430" s="14" t="s">
        <v>1522</v>
      </c>
      <c r="D2430" s="14" t="s">
        <v>508</v>
      </c>
      <c r="E2430" s="1">
        <v>2479</v>
      </c>
      <c r="F2430" s="2"/>
      <c r="G2430" s="1">
        <v>1207.3399999999999</v>
      </c>
      <c r="H2430" s="3"/>
      <c r="I2430" s="14" t="s">
        <v>5617</v>
      </c>
    </row>
    <row r="2431" spans="1:9" ht="18.75" customHeight="1" x14ac:dyDescent="0.4">
      <c r="A2431" s="14" t="s">
        <v>2932</v>
      </c>
      <c r="B2431" s="16" t="str">
        <f>TRIM("　西町公園")</f>
        <v>西町公園</v>
      </c>
      <c r="C2431" s="14" t="s">
        <v>1522</v>
      </c>
      <c r="D2431" s="14" t="s">
        <v>508</v>
      </c>
      <c r="E2431" s="1">
        <v>5544.73</v>
      </c>
      <c r="F2431" s="2"/>
      <c r="G2431" s="1"/>
      <c r="H2431" s="3"/>
      <c r="I2431" s="14" t="s">
        <v>2177</v>
      </c>
    </row>
    <row r="2432" spans="1:9" ht="18.75" customHeight="1" x14ac:dyDescent="0.4">
      <c r="A2432" s="14" t="s">
        <v>5164</v>
      </c>
      <c r="B2432" s="16" t="str">
        <f>TRIM("もと西中島学校業務サービスセンター")</f>
        <v>もと西中島学校業務サービスセンター</v>
      </c>
      <c r="C2432" s="14" t="s">
        <v>1522</v>
      </c>
      <c r="D2432" s="14" t="s">
        <v>508</v>
      </c>
      <c r="E2432" s="1"/>
      <c r="F2432" s="2"/>
      <c r="G2432" s="1">
        <v>30.86</v>
      </c>
      <c r="H2432" s="3" t="s">
        <v>7353</v>
      </c>
      <c r="I2432" s="14" t="s">
        <v>4689</v>
      </c>
    </row>
    <row r="2433" spans="1:9" ht="18.75" customHeight="1" x14ac:dyDescent="0.4">
      <c r="A2433" s="14" t="s">
        <v>4491</v>
      </c>
      <c r="B2433" s="16" t="str">
        <f>TRIM("西三国社会福祉会館")</f>
        <v>西三国社会福祉会館</v>
      </c>
      <c r="C2433" s="14" t="s">
        <v>1522</v>
      </c>
      <c r="D2433" s="14" t="s">
        <v>772</v>
      </c>
      <c r="E2433" s="1">
        <v>200.17</v>
      </c>
      <c r="F2433" s="2"/>
      <c r="G2433" s="1">
        <v>273.93</v>
      </c>
      <c r="H2433" s="3"/>
      <c r="I2433" s="14" t="s">
        <v>2035</v>
      </c>
    </row>
    <row r="2434" spans="1:9" ht="18.75" customHeight="1" x14ac:dyDescent="0.4">
      <c r="A2434" s="14" t="s">
        <v>4911</v>
      </c>
      <c r="B2434" s="16" t="str">
        <f>TRIM("西三国小学校")</f>
        <v>西三国小学校</v>
      </c>
      <c r="C2434" s="14" t="s">
        <v>1522</v>
      </c>
      <c r="D2434" s="14" t="s">
        <v>772</v>
      </c>
      <c r="E2434" s="1">
        <v>10706.44</v>
      </c>
      <c r="F2434" s="2"/>
      <c r="G2434" s="1">
        <v>7242.6</v>
      </c>
      <c r="H2434" s="3"/>
      <c r="I2434" s="14" t="s">
        <v>4689</v>
      </c>
    </row>
    <row r="2435" spans="1:9" ht="18.75" customHeight="1" x14ac:dyDescent="0.4">
      <c r="A2435" s="14" t="s">
        <v>6455</v>
      </c>
      <c r="B2435" s="16" t="str">
        <f>TRIM("西三国住宅")</f>
        <v>西三国住宅</v>
      </c>
      <c r="C2435" s="14" t="s">
        <v>1522</v>
      </c>
      <c r="D2435" s="14" t="s">
        <v>772</v>
      </c>
      <c r="E2435" s="1">
        <v>3717.37</v>
      </c>
      <c r="F2435" s="2"/>
      <c r="G2435" s="1">
        <v>8927.33</v>
      </c>
      <c r="H2435" s="3"/>
      <c r="I2435" s="14" t="s">
        <v>6177</v>
      </c>
    </row>
    <row r="2436" spans="1:9" ht="18.75" customHeight="1" x14ac:dyDescent="0.4">
      <c r="A2436" s="14" t="s">
        <v>6740</v>
      </c>
      <c r="B2436" s="16" t="str">
        <f>TRIM("西三国第2住宅")</f>
        <v>西三国第2住宅</v>
      </c>
      <c r="C2436" s="14" t="s">
        <v>1522</v>
      </c>
      <c r="D2436" s="14" t="s">
        <v>772</v>
      </c>
      <c r="E2436" s="1">
        <v>7074.91</v>
      </c>
      <c r="F2436" s="2"/>
      <c r="G2436" s="1"/>
      <c r="H2436" s="3"/>
      <c r="I2436" s="14" t="s">
        <v>6177</v>
      </c>
    </row>
    <row r="2437" spans="1:9" ht="18.75" customHeight="1" x14ac:dyDescent="0.4">
      <c r="A2437" s="14" t="s">
        <v>6923</v>
      </c>
      <c r="B2437" s="16" t="str">
        <f>TRIM("三国東地区土地区画整理事業　管理建物F")</f>
        <v>三国東地区土地区画整理事業　管理建物F</v>
      </c>
      <c r="C2437" s="14" t="s">
        <v>1522</v>
      </c>
      <c r="D2437" s="14" t="s">
        <v>772</v>
      </c>
      <c r="E2437" s="1"/>
      <c r="F2437" s="2"/>
      <c r="G2437" s="1">
        <v>70.260000000000005</v>
      </c>
      <c r="H2437" s="3"/>
      <c r="I2437" s="14" t="s">
        <v>6177</v>
      </c>
    </row>
    <row r="2438" spans="1:9" ht="18.75" customHeight="1" x14ac:dyDescent="0.4">
      <c r="A2438" s="14" t="s">
        <v>6933</v>
      </c>
      <c r="B2438" s="16" t="str">
        <f>TRIM("三国東地区土地区画整理事業　管理建物２００１")</f>
        <v>三国東地区土地区画整理事業　管理建物２００１</v>
      </c>
      <c r="C2438" s="14" t="s">
        <v>1522</v>
      </c>
      <c r="D2438" s="14" t="s">
        <v>772</v>
      </c>
      <c r="E2438" s="1"/>
      <c r="F2438" s="2"/>
      <c r="G2438" s="1">
        <v>69.260000000000005</v>
      </c>
      <c r="H2438" s="3"/>
      <c r="I2438" s="14" t="s">
        <v>6177</v>
      </c>
    </row>
    <row r="2439" spans="1:9" ht="18.75" customHeight="1" x14ac:dyDescent="0.4">
      <c r="A2439" s="14" t="s">
        <v>4831</v>
      </c>
      <c r="B2439" s="16" t="str">
        <f>TRIM("三国中学校")</f>
        <v>三国中学校</v>
      </c>
      <c r="C2439" s="14" t="s">
        <v>1522</v>
      </c>
      <c r="D2439" s="14" t="s">
        <v>897</v>
      </c>
      <c r="E2439" s="1">
        <v>14447</v>
      </c>
      <c r="F2439" s="2"/>
      <c r="G2439" s="1">
        <v>10214.56</v>
      </c>
      <c r="H2439" s="3"/>
      <c r="I2439" s="14" t="s">
        <v>4689</v>
      </c>
    </row>
    <row r="2440" spans="1:9" ht="18.75" customHeight="1" x14ac:dyDescent="0.4">
      <c r="A2440" s="14" t="s">
        <v>6919</v>
      </c>
      <c r="B2440" s="16" t="str">
        <f>TRIM("公共施設充当用地（三国東地区）")</f>
        <v>公共施設充当用地（三国東地区）</v>
      </c>
      <c r="C2440" s="14" t="s">
        <v>1522</v>
      </c>
      <c r="D2440" s="14" t="s">
        <v>897</v>
      </c>
      <c r="E2440" s="1">
        <v>42180.91</v>
      </c>
      <c r="F2440" s="2"/>
      <c r="G2440" s="1"/>
      <c r="H2440" s="3"/>
      <c r="I2440" s="14" t="s">
        <v>6177</v>
      </c>
    </row>
    <row r="2441" spans="1:9" ht="18.75" customHeight="1" x14ac:dyDescent="0.4">
      <c r="A2441" s="14" t="s">
        <v>6922</v>
      </c>
      <c r="B2441" s="16" t="str">
        <f>TRIM(" 三国東地区土地区画整理事業　管理建物E")</f>
        <v>三国東地区土地区画整理事業　管理建物E</v>
      </c>
      <c r="C2441" s="14" t="s">
        <v>1522</v>
      </c>
      <c r="D2441" s="14" t="s">
        <v>897</v>
      </c>
      <c r="E2441" s="1"/>
      <c r="F2441" s="2"/>
      <c r="G2441" s="1">
        <v>198.49</v>
      </c>
      <c r="H2441" s="3"/>
      <c r="I2441" s="14" t="s">
        <v>6177</v>
      </c>
    </row>
    <row r="2442" spans="1:9" ht="18.75" customHeight="1" x14ac:dyDescent="0.4">
      <c r="A2442" s="14" t="s">
        <v>6926</v>
      </c>
      <c r="B2442" s="16" t="str">
        <f>TRIM("三国東地区土地区画整理事業　管理建物I")</f>
        <v>三国東地区土地区画整理事業　管理建物I</v>
      </c>
      <c r="C2442" s="14" t="s">
        <v>1522</v>
      </c>
      <c r="D2442" s="14" t="s">
        <v>897</v>
      </c>
      <c r="E2442" s="1"/>
      <c r="F2442" s="2"/>
      <c r="G2442" s="1">
        <v>193.8</v>
      </c>
      <c r="H2442" s="3"/>
      <c r="I2442" s="14" t="s">
        <v>6177</v>
      </c>
    </row>
    <row r="2443" spans="1:9" ht="18.75" customHeight="1" x14ac:dyDescent="0.4">
      <c r="A2443" s="14" t="s">
        <v>6927</v>
      </c>
      <c r="B2443" s="16" t="str">
        <f>TRIM("三国東地区土地区画整理事業　管理建物Ｋ１棟")</f>
        <v>三国東地区土地区画整理事業　管理建物Ｋ１棟</v>
      </c>
      <c r="C2443" s="14" t="s">
        <v>1522</v>
      </c>
      <c r="D2443" s="14" t="s">
        <v>897</v>
      </c>
      <c r="E2443" s="1"/>
      <c r="F2443" s="2"/>
      <c r="G2443" s="1">
        <v>224.99</v>
      </c>
      <c r="H2443" s="3"/>
      <c r="I2443" s="14" t="s">
        <v>6177</v>
      </c>
    </row>
    <row r="2444" spans="1:9" ht="18.75" customHeight="1" x14ac:dyDescent="0.4">
      <c r="A2444" s="14" t="s">
        <v>6928</v>
      </c>
      <c r="B2444" s="16" t="str">
        <f>TRIM("三国東地区土地区画整理事業　管理建物Ｋ３棟")</f>
        <v>三国東地区土地区画整理事業　管理建物Ｋ３棟</v>
      </c>
      <c r="C2444" s="14" t="s">
        <v>1522</v>
      </c>
      <c r="D2444" s="14" t="s">
        <v>897</v>
      </c>
      <c r="E2444" s="1"/>
      <c r="F2444" s="2"/>
      <c r="G2444" s="1">
        <v>181.29</v>
      </c>
      <c r="H2444" s="3"/>
      <c r="I2444" s="14" t="s">
        <v>6177</v>
      </c>
    </row>
    <row r="2445" spans="1:9" ht="18.75" customHeight="1" x14ac:dyDescent="0.4">
      <c r="A2445" s="14" t="s">
        <v>6929</v>
      </c>
      <c r="B2445" s="16" t="str">
        <f>TRIM("三国東地区土地区画整理事業　管理建物Ｋ４棟")</f>
        <v>三国東地区土地区画整理事業　管理建物Ｋ４棟</v>
      </c>
      <c r="C2445" s="14" t="s">
        <v>1522</v>
      </c>
      <c r="D2445" s="14" t="s">
        <v>897</v>
      </c>
      <c r="E2445" s="1"/>
      <c r="F2445" s="2"/>
      <c r="G2445" s="1">
        <v>224.35</v>
      </c>
      <c r="H2445" s="3"/>
      <c r="I2445" s="14" t="s">
        <v>6177</v>
      </c>
    </row>
    <row r="2446" spans="1:9" ht="18.75" customHeight="1" x14ac:dyDescent="0.4">
      <c r="A2446" s="14" t="s">
        <v>6930</v>
      </c>
      <c r="B2446" s="16" t="str">
        <f>TRIM("三国東地区土地区画整理事業　管理建物Ｋ７棟")</f>
        <v>三国東地区土地区画整理事業　管理建物Ｋ７棟</v>
      </c>
      <c r="C2446" s="14" t="s">
        <v>1522</v>
      </c>
      <c r="D2446" s="14" t="s">
        <v>897</v>
      </c>
      <c r="E2446" s="1"/>
      <c r="F2446" s="2"/>
      <c r="G2446" s="1">
        <v>251.63</v>
      </c>
      <c r="H2446" s="3"/>
      <c r="I2446" s="14" t="s">
        <v>6177</v>
      </c>
    </row>
    <row r="2447" spans="1:9" ht="18.75" customHeight="1" x14ac:dyDescent="0.4">
      <c r="A2447" s="14" t="s">
        <v>6931</v>
      </c>
      <c r="B2447" s="16" t="str">
        <f>TRIM("三国東地区土地区画整理事業　管理建物Ｋ６棟")</f>
        <v>三国東地区土地区画整理事業　管理建物Ｋ６棟</v>
      </c>
      <c r="C2447" s="14" t="s">
        <v>1522</v>
      </c>
      <c r="D2447" s="14" t="s">
        <v>897</v>
      </c>
      <c r="E2447" s="1"/>
      <c r="F2447" s="2"/>
      <c r="G2447" s="1">
        <v>194.65</v>
      </c>
      <c r="H2447" s="3"/>
      <c r="I2447" s="14" t="s">
        <v>6177</v>
      </c>
    </row>
    <row r="2448" spans="1:9" ht="18.75" customHeight="1" x14ac:dyDescent="0.4">
      <c r="A2448" s="14" t="s">
        <v>6932</v>
      </c>
      <c r="B2448" s="16" t="str">
        <f>TRIM("三国東地区土地区画整理事業　管理建物Ｌ")</f>
        <v>三国東地区土地区画整理事業　管理建物Ｌ</v>
      </c>
      <c r="C2448" s="14" t="s">
        <v>1522</v>
      </c>
      <c r="D2448" s="14" t="s">
        <v>897</v>
      </c>
      <c r="E2448" s="1"/>
      <c r="F2448" s="2"/>
      <c r="G2448" s="1">
        <v>244.62</v>
      </c>
      <c r="H2448" s="3"/>
      <c r="I2448" s="14" t="s">
        <v>6177</v>
      </c>
    </row>
    <row r="2449" spans="1:9" ht="18.75" customHeight="1" x14ac:dyDescent="0.4">
      <c r="A2449" s="14" t="s">
        <v>6935</v>
      </c>
      <c r="B2449" s="16" t="str">
        <f>TRIM("三国東地区土地区画整理事業　管理建物２００３")</f>
        <v>三国東地区土地区画整理事業　管理建物２００３</v>
      </c>
      <c r="C2449" s="14" t="s">
        <v>1522</v>
      </c>
      <c r="D2449" s="14" t="s">
        <v>897</v>
      </c>
      <c r="E2449" s="1"/>
      <c r="F2449" s="2"/>
      <c r="G2449" s="1">
        <v>92.15</v>
      </c>
      <c r="H2449" s="3"/>
      <c r="I2449" s="14" t="s">
        <v>6177</v>
      </c>
    </row>
    <row r="2450" spans="1:9" ht="18.75" customHeight="1" x14ac:dyDescent="0.4">
      <c r="A2450" s="14" t="s">
        <v>6936</v>
      </c>
      <c r="B2450" s="16" t="str">
        <f>TRIM("三国東地区土地区画整理事業　管理建物２１０４")</f>
        <v>三国東地区土地区画整理事業　管理建物２１０４</v>
      </c>
      <c r="C2450" s="14" t="s">
        <v>1522</v>
      </c>
      <c r="D2450" s="14" t="s">
        <v>897</v>
      </c>
      <c r="E2450" s="1"/>
      <c r="F2450" s="2"/>
      <c r="G2450" s="1">
        <v>90.52</v>
      </c>
      <c r="H2450" s="3"/>
      <c r="I2450" s="14" t="s">
        <v>6177</v>
      </c>
    </row>
    <row r="2451" spans="1:9" ht="18.75" customHeight="1" x14ac:dyDescent="0.4">
      <c r="A2451" s="14" t="s">
        <v>6937</v>
      </c>
      <c r="B2451" s="16" t="str">
        <f>TRIM("三国東地区土地区画整理事業　管理建物２１０５")</f>
        <v>三国東地区土地区画整理事業　管理建物２１０５</v>
      </c>
      <c r="C2451" s="14" t="s">
        <v>1522</v>
      </c>
      <c r="D2451" s="14" t="s">
        <v>897</v>
      </c>
      <c r="E2451" s="1"/>
      <c r="F2451" s="2"/>
      <c r="G2451" s="1">
        <v>78.36</v>
      </c>
      <c r="H2451" s="3"/>
      <c r="I2451" s="14" t="s">
        <v>6177</v>
      </c>
    </row>
    <row r="2452" spans="1:9" ht="18.75" customHeight="1" x14ac:dyDescent="0.4">
      <c r="A2452" s="14" t="s">
        <v>6938</v>
      </c>
      <c r="B2452" s="16" t="str">
        <f>TRIM("三国東地区土地区画整理事業　管理建物２１０１")</f>
        <v>三国東地区土地区画整理事業　管理建物２１０１</v>
      </c>
      <c r="C2452" s="14" t="s">
        <v>1522</v>
      </c>
      <c r="D2452" s="14" t="s">
        <v>897</v>
      </c>
      <c r="E2452" s="1"/>
      <c r="F2452" s="2"/>
      <c r="G2452" s="1">
        <v>66.8</v>
      </c>
      <c r="H2452" s="3"/>
      <c r="I2452" s="14" t="s">
        <v>6177</v>
      </c>
    </row>
    <row r="2453" spans="1:9" ht="18.75" customHeight="1" x14ac:dyDescent="0.4">
      <c r="A2453" s="14" t="s">
        <v>6939</v>
      </c>
      <c r="B2453" s="16" t="str">
        <f>TRIM("三国東地区土地区画整理事業　管理建物２１０２")</f>
        <v>三国東地区土地区画整理事業　管理建物２１０２</v>
      </c>
      <c r="C2453" s="14" t="s">
        <v>1522</v>
      </c>
      <c r="D2453" s="14" t="s">
        <v>897</v>
      </c>
      <c r="E2453" s="1"/>
      <c r="F2453" s="2"/>
      <c r="G2453" s="1">
        <v>174</v>
      </c>
      <c r="H2453" s="3"/>
      <c r="I2453" s="14" t="s">
        <v>6177</v>
      </c>
    </row>
    <row r="2454" spans="1:9" ht="18.75" customHeight="1" x14ac:dyDescent="0.4">
      <c r="A2454" s="14" t="s">
        <v>6940</v>
      </c>
      <c r="B2454" s="16" t="str">
        <f>TRIM("三国東地区土地区画整理事業　管理建物２１０６")</f>
        <v>三国東地区土地区画整理事業　管理建物２１０６</v>
      </c>
      <c r="C2454" s="14" t="s">
        <v>1522</v>
      </c>
      <c r="D2454" s="14" t="s">
        <v>897</v>
      </c>
      <c r="E2454" s="1"/>
      <c r="F2454" s="2"/>
      <c r="G2454" s="1">
        <v>83.6</v>
      </c>
      <c r="H2454" s="3"/>
      <c r="I2454" s="14" t="s">
        <v>6177</v>
      </c>
    </row>
    <row r="2455" spans="1:9" ht="18.75" customHeight="1" x14ac:dyDescent="0.4">
      <c r="A2455" s="14" t="s">
        <v>6941</v>
      </c>
      <c r="B2455" s="16" t="str">
        <f>TRIM("三国東地区土地区画整理事業　管理建物２１０３")</f>
        <v>三国東地区土地区画整理事業　管理建物２１０３</v>
      </c>
      <c r="C2455" s="14" t="s">
        <v>1522</v>
      </c>
      <c r="D2455" s="14" t="s">
        <v>897</v>
      </c>
      <c r="E2455" s="1"/>
      <c r="F2455" s="2"/>
      <c r="G2455" s="1">
        <v>47.74</v>
      </c>
      <c r="H2455" s="3"/>
      <c r="I2455" s="14" t="s">
        <v>6177</v>
      </c>
    </row>
    <row r="2456" spans="1:9" ht="18.75" customHeight="1" x14ac:dyDescent="0.4">
      <c r="A2456" s="14" t="s">
        <v>6942</v>
      </c>
      <c r="B2456" s="16" t="str">
        <f>TRIM("三国東地区土地区画整理事業　管理建物２１０７")</f>
        <v>三国東地区土地区画整理事業　管理建物２１０７</v>
      </c>
      <c r="C2456" s="14" t="s">
        <v>1522</v>
      </c>
      <c r="D2456" s="14" t="s">
        <v>897</v>
      </c>
      <c r="E2456" s="1"/>
      <c r="F2456" s="2"/>
      <c r="G2456" s="1">
        <v>250.68</v>
      </c>
      <c r="H2456" s="3"/>
      <c r="I2456" s="14" t="s">
        <v>6177</v>
      </c>
    </row>
    <row r="2457" spans="1:9" ht="18.75" customHeight="1" x14ac:dyDescent="0.4">
      <c r="A2457" s="14" t="s">
        <v>6948</v>
      </c>
      <c r="B2457" s="16" t="str">
        <f>TRIM("三国東地区土地区画整理事業　管理建物２３０１－１")</f>
        <v>三国東地区土地区画整理事業　管理建物２３０１－１</v>
      </c>
      <c r="C2457" s="14" t="s">
        <v>1522</v>
      </c>
      <c r="D2457" s="14" t="s">
        <v>897</v>
      </c>
      <c r="E2457" s="1"/>
      <c r="F2457" s="2"/>
      <c r="G2457" s="1">
        <v>69.2</v>
      </c>
      <c r="H2457" s="3"/>
      <c r="I2457" s="14" t="s">
        <v>6177</v>
      </c>
    </row>
    <row r="2458" spans="1:9" ht="18.75" customHeight="1" x14ac:dyDescent="0.4">
      <c r="A2458" s="14" t="s">
        <v>6950</v>
      </c>
      <c r="B2458" s="16" t="str">
        <f>TRIM("三国東地区土地区画整理事業　管理建物２３０２")</f>
        <v>三国東地区土地区画整理事業　管理建物２３０２</v>
      </c>
      <c r="C2458" s="14" t="s">
        <v>1522</v>
      </c>
      <c r="D2458" s="14" t="s">
        <v>897</v>
      </c>
      <c r="E2458" s="1"/>
      <c r="F2458" s="2"/>
      <c r="G2458" s="1">
        <v>91.5</v>
      </c>
      <c r="H2458" s="3"/>
      <c r="I2458" s="14" t="s">
        <v>6177</v>
      </c>
    </row>
    <row r="2459" spans="1:9" ht="18.75" customHeight="1" x14ac:dyDescent="0.4">
      <c r="A2459" s="14" t="s">
        <v>6013</v>
      </c>
      <c r="B2459" s="16" t="str">
        <f>TRIM("共同利用施設（三国センター）")</f>
        <v>共同利用施設（三国センター）</v>
      </c>
      <c r="C2459" s="14" t="s">
        <v>1522</v>
      </c>
      <c r="D2459" s="14" t="s">
        <v>130</v>
      </c>
      <c r="E2459" s="1">
        <v>789.98</v>
      </c>
      <c r="F2459" s="2"/>
      <c r="G2459" s="1">
        <v>506.25</v>
      </c>
      <c r="H2459" s="3"/>
      <c r="I2459" s="14" t="s">
        <v>5977</v>
      </c>
    </row>
    <row r="2460" spans="1:9" ht="18.75" customHeight="1" x14ac:dyDescent="0.4">
      <c r="A2460" s="14" t="s">
        <v>2747</v>
      </c>
      <c r="B2460" s="16" t="str">
        <f>TRIM("　三国公園")</f>
        <v>三国公園</v>
      </c>
      <c r="C2460" s="14" t="s">
        <v>1522</v>
      </c>
      <c r="D2460" s="14" t="s">
        <v>130</v>
      </c>
      <c r="E2460" s="1">
        <v>1798.21</v>
      </c>
      <c r="F2460" s="2"/>
      <c r="G2460" s="1"/>
      <c r="H2460" s="3"/>
      <c r="I2460" s="14" t="s">
        <v>2177</v>
      </c>
    </row>
    <row r="2461" spans="1:9" ht="18.75" customHeight="1" x14ac:dyDescent="0.4">
      <c r="A2461" s="14" t="s">
        <v>5366</v>
      </c>
      <c r="B2461" s="16" t="str">
        <f>TRIM("もと下水道用地（淀川）")</f>
        <v>もと下水道用地（淀川）</v>
      </c>
      <c r="C2461" s="14" t="s">
        <v>1522</v>
      </c>
      <c r="D2461" s="14" t="s">
        <v>130</v>
      </c>
      <c r="E2461" s="1">
        <v>697.51</v>
      </c>
      <c r="F2461" s="2"/>
      <c r="G2461" s="1"/>
      <c r="H2461" s="3"/>
      <c r="I2461" s="14" t="s">
        <v>5349</v>
      </c>
    </row>
    <row r="2462" spans="1:9" ht="18.75" customHeight="1" x14ac:dyDescent="0.4">
      <c r="A2462" s="14" t="s">
        <v>6925</v>
      </c>
      <c r="B2462" s="16" t="str">
        <f>TRIM("沿道整備街路推進モデル事業用地（三国東地区）")</f>
        <v>沿道整備街路推進モデル事業用地（三国東地区）</v>
      </c>
      <c r="C2462" s="14" t="s">
        <v>1522</v>
      </c>
      <c r="D2462" s="14" t="s">
        <v>130</v>
      </c>
      <c r="E2462" s="1">
        <v>3070.87</v>
      </c>
      <c r="F2462" s="2"/>
      <c r="G2462" s="1"/>
      <c r="H2462" s="3"/>
      <c r="I2462" s="14" t="s">
        <v>6177</v>
      </c>
    </row>
    <row r="2463" spans="1:9" ht="18.75" customHeight="1" x14ac:dyDescent="0.4">
      <c r="A2463" s="14" t="s">
        <v>6934</v>
      </c>
      <c r="B2463" s="16" t="str">
        <f>TRIM("三国東地区土地区画整理事業　管理建物２００２")</f>
        <v>三国東地区土地区画整理事業　管理建物２００２</v>
      </c>
      <c r="C2463" s="14" t="s">
        <v>1522</v>
      </c>
      <c r="D2463" s="14" t="s">
        <v>130</v>
      </c>
      <c r="E2463" s="1"/>
      <c r="F2463" s="2"/>
      <c r="G2463" s="1">
        <v>36.159999999999997</v>
      </c>
      <c r="H2463" s="3"/>
      <c r="I2463" s="14" t="s">
        <v>6177</v>
      </c>
    </row>
    <row r="2464" spans="1:9" ht="18.75" customHeight="1" x14ac:dyDescent="0.4">
      <c r="A2464" s="14" t="s">
        <v>6949</v>
      </c>
      <c r="B2464" s="16" t="str">
        <f>TRIM("三国東地区土地区画整理事業　管理建物２３０３")</f>
        <v>三国東地区土地区画整理事業　管理建物２３０３</v>
      </c>
      <c r="C2464" s="14" t="s">
        <v>1522</v>
      </c>
      <c r="D2464" s="14" t="s">
        <v>130</v>
      </c>
      <c r="E2464" s="1"/>
      <c r="F2464" s="2"/>
      <c r="G2464" s="1">
        <v>86.15</v>
      </c>
      <c r="H2464" s="3"/>
      <c r="I2464" s="14" t="s">
        <v>6177</v>
      </c>
    </row>
    <row r="2465" spans="1:9" ht="18.75" customHeight="1" x14ac:dyDescent="0.4">
      <c r="A2465" s="14" t="s">
        <v>3370</v>
      </c>
      <c r="B2465" s="16" t="str">
        <f>TRIM("　淀川開発3号公園")</f>
        <v>淀川開発3号公園</v>
      </c>
      <c r="C2465" s="14" t="s">
        <v>1522</v>
      </c>
      <c r="D2465" s="14" t="s">
        <v>203</v>
      </c>
      <c r="E2465" s="1">
        <v>156.77000000000001</v>
      </c>
      <c r="F2465" s="2"/>
      <c r="G2465" s="1"/>
      <c r="H2465" s="3"/>
      <c r="I2465" s="14" t="s">
        <v>2177</v>
      </c>
    </row>
    <row r="2466" spans="1:9" ht="18.75" customHeight="1" x14ac:dyDescent="0.4">
      <c r="A2466" s="14" t="s">
        <v>3434</v>
      </c>
      <c r="B2466" s="16" t="str">
        <f>TRIM("三国駅前公園")</f>
        <v>三国駅前公園</v>
      </c>
      <c r="C2466" s="14" t="s">
        <v>1522</v>
      </c>
      <c r="D2466" s="14" t="s">
        <v>203</v>
      </c>
      <c r="E2466" s="1">
        <v>975.25</v>
      </c>
      <c r="F2466" s="2"/>
      <c r="G2466" s="1"/>
      <c r="H2466" s="3"/>
      <c r="I2466" s="14" t="s">
        <v>2177</v>
      </c>
    </row>
    <row r="2467" spans="1:9" ht="18.75" customHeight="1" x14ac:dyDescent="0.4">
      <c r="A2467" s="14" t="s">
        <v>5458</v>
      </c>
      <c r="B2467" s="16" t="str">
        <f>TRIM("過小地（旧国有道路敷）")</f>
        <v>過小地（旧国有道路敷）</v>
      </c>
      <c r="C2467" s="14" t="s">
        <v>1522</v>
      </c>
      <c r="D2467" s="14" t="s">
        <v>203</v>
      </c>
      <c r="E2467" s="1">
        <v>778.94</v>
      </c>
      <c r="F2467" s="2"/>
      <c r="G2467" s="1"/>
      <c r="H2467" s="3"/>
      <c r="I2467" s="14" t="s">
        <v>5349</v>
      </c>
    </row>
    <row r="2468" spans="1:9" ht="18.75" customHeight="1" x14ac:dyDescent="0.4">
      <c r="A2468" s="14" t="s">
        <v>6011</v>
      </c>
      <c r="B2468" s="16" t="str">
        <f>TRIM("共同利用施設（宮原センター）")</f>
        <v>共同利用施設（宮原センター）</v>
      </c>
      <c r="C2468" s="14" t="s">
        <v>1522</v>
      </c>
      <c r="D2468" s="14" t="s">
        <v>376</v>
      </c>
      <c r="E2468" s="1">
        <v>500.06</v>
      </c>
      <c r="F2468" s="2"/>
      <c r="G2468" s="1">
        <v>511.31</v>
      </c>
      <c r="H2468" s="3"/>
      <c r="I2468" s="14" t="s">
        <v>5977</v>
      </c>
    </row>
    <row r="2469" spans="1:9" ht="18.75" customHeight="1" x14ac:dyDescent="0.4">
      <c r="A2469" s="14" t="s">
        <v>6452</v>
      </c>
      <c r="B2469" s="16" t="str">
        <f>TRIM("西宮原住宅")</f>
        <v>西宮原住宅</v>
      </c>
      <c r="C2469" s="14" t="s">
        <v>1522</v>
      </c>
      <c r="D2469" s="14" t="s">
        <v>376</v>
      </c>
      <c r="E2469" s="1">
        <v>3180.62</v>
      </c>
      <c r="F2469" s="2"/>
      <c r="G2469" s="1">
        <v>8228.81</v>
      </c>
      <c r="H2469" s="3"/>
      <c r="I2469" s="14" t="s">
        <v>6177</v>
      </c>
    </row>
    <row r="2470" spans="1:9" ht="18.75" customHeight="1" x14ac:dyDescent="0.4">
      <c r="A2470" s="14" t="s">
        <v>6673</v>
      </c>
      <c r="B2470" s="16" t="str">
        <f>TRIM("木川第2住宅")</f>
        <v>木川第2住宅</v>
      </c>
      <c r="C2470" s="14" t="s">
        <v>1522</v>
      </c>
      <c r="D2470" s="14" t="s">
        <v>376</v>
      </c>
      <c r="E2470" s="1">
        <v>3018.37</v>
      </c>
      <c r="F2470" s="2"/>
      <c r="G2470" s="1">
        <v>6317.3</v>
      </c>
      <c r="H2470" s="3"/>
      <c r="I2470" s="14" t="s">
        <v>6177</v>
      </c>
    </row>
    <row r="2471" spans="1:9" ht="18.75" customHeight="1" x14ac:dyDescent="0.4">
      <c r="A2471" s="14" t="s">
        <v>6674</v>
      </c>
      <c r="B2471" s="16" t="str">
        <f>TRIM("木川第3住宅")</f>
        <v>木川第3住宅</v>
      </c>
      <c r="C2471" s="14" t="s">
        <v>1522</v>
      </c>
      <c r="D2471" s="14" t="s">
        <v>376</v>
      </c>
      <c r="E2471" s="1">
        <v>4417.67</v>
      </c>
      <c r="F2471" s="2"/>
      <c r="G2471" s="1">
        <v>10073.99</v>
      </c>
      <c r="H2471" s="3"/>
      <c r="I2471" s="14" t="s">
        <v>6177</v>
      </c>
    </row>
    <row r="2472" spans="1:9" ht="18.75" customHeight="1" x14ac:dyDescent="0.4">
      <c r="A2472" s="14" t="s">
        <v>1868</v>
      </c>
      <c r="B2472" s="16" t="str">
        <f>TRIM("宮原地域在宅サービスステーション・生活支援ハウスミード宮原センター")</f>
        <v>宮原地域在宅サービスステーション・生活支援ハウスミード宮原センター</v>
      </c>
      <c r="C2472" s="14" t="s">
        <v>1522</v>
      </c>
      <c r="D2472" s="14" t="s">
        <v>376</v>
      </c>
      <c r="E2472" s="1">
        <v>637.01</v>
      </c>
      <c r="F2472" s="2"/>
      <c r="G2472" s="1"/>
      <c r="H2472" s="3"/>
      <c r="I2472" s="14" t="s">
        <v>1654</v>
      </c>
    </row>
    <row r="2473" spans="1:9" ht="18.75" customHeight="1" x14ac:dyDescent="0.4">
      <c r="A2473" s="14" t="s">
        <v>2523</v>
      </c>
      <c r="B2473" s="16" t="str">
        <f>TRIM("　　宮原公園")</f>
        <v>宮原公園</v>
      </c>
      <c r="C2473" s="14" t="s">
        <v>1522</v>
      </c>
      <c r="D2473" s="14" t="s">
        <v>376</v>
      </c>
      <c r="E2473" s="1">
        <v>1471.6</v>
      </c>
      <c r="F2473" s="2"/>
      <c r="G2473" s="1"/>
      <c r="H2473" s="3"/>
      <c r="I2473" s="14" t="s">
        <v>2177</v>
      </c>
    </row>
    <row r="2474" spans="1:9" ht="18.75" customHeight="1" x14ac:dyDescent="0.4">
      <c r="A2474" s="14" t="s">
        <v>5860</v>
      </c>
      <c r="B2474" s="16" t="str">
        <f>TRIM("三国保育所")</f>
        <v>三国保育所</v>
      </c>
      <c r="C2474" s="14" t="s">
        <v>1522</v>
      </c>
      <c r="D2474" s="14" t="s">
        <v>573</v>
      </c>
      <c r="E2474" s="1">
        <v>1335</v>
      </c>
      <c r="F2474" s="2"/>
      <c r="G2474" s="1">
        <v>603.91</v>
      </c>
      <c r="H2474" s="3"/>
      <c r="I2474" s="14" t="s">
        <v>5617</v>
      </c>
    </row>
    <row r="2475" spans="1:9" ht="18.75" customHeight="1" x14ac:dyDescent="0.4">
      <c r="A2475" s="14" t="s">
        <v>6920</v>
      </c>
      <c r="B2475" s="16" t="str">
        <f>TRIM("三国東土地区画整理事務所")</f>
        <v>三国東土地区画整理事務所</v>
      </c>
      <c r="C2475" s="14" t="s">
        <v>1522</v>
      </c>
      <c r="D2475" s="14" t="s">
        <v>573</v>
      </c>
      <c r="E2475" s="1"/>
      <c r="F2475" s="2"/>
      <c r="G2475" s="1">
        <v>549.35</v>
      </c>
      <c r="H2475" s="3"/>
      <c r="I2475" s="14" t="s">
        <v>6177</v>
      </c>
    </row>
    <row r="2476" spans="1:9" ht="18.75" customHeight="1" x14ac:dyDescent="0.4">
      <c r="A2476" s="14" t="s">
        <v>4777</v>
      </c>
      <c r="B2476" s="16" t="str">
        <f>TRIM("宮原中学校")</f>
        <v>宮原中学校</v>
      </c>
      <c r="C2476" s="14" t="s">
        <v>1522</v>
      </c>
      <c r="D2476" s="14" t="s">
        <v>762</v>
      </c>
      <c r="E2476" s="1">
        <v>13897</v>
      </c>
      <c r="F2476" s="2"/>
      <c r="G2476" s="1">
        <v>7596.09</v>
      </c>
      <c r="H2476" s="3"/>
      <c r="I2476" s="14" t="s">
        <v>4689</v>
      </c>
    </row>
    <row r="2477" spans="1:9" ht="18.75" customHeight="1" x14ac:dyDescent="0.4">
      <c r="A2477" s="14" t="s">
        <v>6428</v>
      </c>
      <c r="B2477" s="16" t="str">
        <f>TRIM("新三国住宅")</f>
        <v>新三国住宅</v>
      </c>
      <c r="C2477" s="14" t="s">
        <v>1522</v>
      </c>
      <c r="D2477" s="14" t="s">
        <v>762</v>
      </c>
      <c r="E2477" s="1">
        <v>11162.31</v>
      </c>
      <c r="F2477" s="2"/>
      <c r="G2477" s="1">
        <v>20123.3</v>
      </c>
      <c r="H2477" s="3"/>
      <c r="I2477" s="14" t="s">
        <v>6177</v>
      </c>
    </row>
    <row r="2478" spans="1:9" ht="18.75" customHeight="1" x14ac:dyDescent="0.4">
      <c r="A2478" s="14" t="s">
        <v>6921</v>
      </c>
      <c r="B2478" s="16" t="str">
        <f>TRIM("三国東地区土地区画整理事業")</f>
        <v>三国東地区土地区画整理事業</v>
      </c>
      <c r="C2478" s="14" t="s">
        <v>1522</v>
      </c>
      <c r="D2478" s="14" t="s">
        <v>762</v>
      </c>
      <c r="E2478" s="1">
        <v>3009.65</v>
      </c>
      <c r="F2478" s="2"/>
      <c r="G2478" s="1"/>
      <c r="H2478" s="3"/>
      <c r="I2478" s="14" t="s">
        <v>6177</v>
      </c>
    </row>
    <row r="2479" spans="1:9" ht="18.75" customHeight="1" x14ac:dyDescent="0.4">
      <c r="A2479" s="14" t="s">
        <v>5122</v>
      </c>
      <c r="B2479" s="16" t="str">
        <f>TRIM("野中小学校")</f>
        <v>野中小学校</v>
      </c>
      <c r="C2479" s="14" t="s">
        <v>1522</v>
      </c>
      <c r="D2479" s="14" t="s">
        <v>847</v>
      </c>
      <c r="E2479" s="1">
        <v>6723.78</v>
      </c>
      <c r="F2479" s="2"/>
      <c r="G2479" s="1">
        <v>5941.01</v>
      </c>
      <c r="H2479" s="3"/>
      <c r="I2479" s="14" t="s">
        <v>4689</v>
      </c>
    </row>
    <row r="2480" spans="1:9" ht="18.75" customHeight="1" x14ac:dyDescent="0.4">
      <c r="A2480" s="14" t="s">
        <v>6682</v>
      </c>
      <c r="B2480" s="16" t="str">
        <f>TRIM("野中北住宅")</f>
        <v>野中北住宅</v>
      </c>
      <c r="C2480" s="14" t="s">
        <v>1522</v>
      </c>
      <c r="D2480" s="14" t="s">
        <v>847</v>
      </c>
      <c r="E2480" s="1">
        <v>14628.52</v>
      </c>
      <c r="F2480" s="2"/>
      <c r="G2480" s="1">
        <v>15695.61</v>
      </c>
      <c r="H2480" s="3"/>
      <c r="I2480" s="14" t="s">
        <v>6177</v>
      </c>
    </row>
    <row r="2481" spans="1:9" ht="18.75" customHeight="1" x14ac:dyDescent="0.4">
      <c r="A2481" s="14" t="s">
        <v>3345</v>
      </c>
      <c r="B2481" s="16" t="str">
        <f>TRIM("　野中北1公園")</f>
        <v>野中北1公園</v>
      </c>
      <c r="C2481" s="14" t="s">
        <v>1522</v>
      </c>
      <c r="D2481" s="14" t="s">
        <v>847</v>
      </c>
      <c r="E2481" s="1">
        <v>3657.46</v>
      </c>
      <c r="F2481" s="2"/>
      <c r="G2481" s="1"/>
      <c r="H2481" s="3"/>
      <c r="I2481" s="14" t="s">
        <v>2177</v>
      </c>
    </row>
    <row r="2482" spans="1:9" ht="18.75" customHeight="1" x14ac:dyDescent="0.4">
      <c r="A2482" s="14" t="s">
        <v>3346</v>
      </c>
      <c r="B2482" s="16" t="str">
        <f>TRIM("　野中北公園")</f>
        <v>野中北公園</v>
      </c>
      <c r="C2482" s="14" t="s">
        <v>1522</v>
      </c>
      <c r="D2482" s="14" t="s">
        <v>272</v>
      </c>
      <c r="E2482" s="1">
        <v>1127.8499999999999</v>
      </c>
      <c r="F2482" s="2"/>
      <c r="G2482" s="1"/>
      <c r="H2482" s="3"/>
      <c r="I2482" s="14" t="s">
        <v>2177</v>
      </c>
    </row>
    <row r="2483" spans="1:9" ht="18.75" customHeight="1" x14ac:dyDescent="0.4">
      <c r="A2483" s="14" t="s">
        <v>5555</v>
      </c>
      <c r="B2483" s="16" t="str">
        <f>TRIM("廃道（淀川・コミュニティ用地等）")</f>
        <v>廃道（淀川・コミュニティ用地等）</v>
      </c>
      <c r="C2483" s="14" t="s">
        <v>1522</v>
      </c>
      <c r="D2483" s="14" t="s">
        <v>272</v>
      </c>
      <c r="E2483" s="1">
        <v>21.09</v>
      </c>
      <c r="F2483" s="2"/>
      <c r="G2483" s="1"/>
      <c r="H2483" s="3"/>
      <c r="I2483" s="14" t="s">
        <v>5349</v>
      </c>
    </row>
    <row r="2484" spans="1:9" ht="18.75" customHeight="1" x14ac:dyDescent="0.4">
      <c r="A2484" s="14" t="s">
        <v>3988</v>
      </c>
      <c r="B2484" s="16" t="str">
        <f>TRIM("十三工営所")</f>
        <v>十三工営所</v>
      </c>
      <c r="C2484" s="14" t="s">
        <v>1522</v>
      </c>
      <c r="D2484" s="14" t="s">
        <v>575</v>
      </c>
      <c r="E2484" s="1">
        <v>2590.94</v>
      </c>
      <c r="F2484" s="2"/>
      <c r="G2484" s="1">
        <v>1449.37</v>
      </c>
      <c r="H2484" s="3"/>
      <c r="I2484" s="14" t="s">
        <v>2177</v>
      </c>
    </row>
    <row r="2485" spans="1:9" ht="18.75" customHeight="1" x14ac:dyDescent="0.4">
      <c r="A2485" s="14" t="s">
        <v>4496</v>
      </c>
      <c r="B2485" s="16" t="str">
        <f>TRIM("淀川区民センター")</f>
        <v>淀川区民センター</v>
      </c>
      <c r="C2485" s="14" t="s">
        <v>1522</v>
      </c>
      <c r="D2485" s="14" t="s">
        <v>575</v>
      </c>
      <c r="E2485" s="1">
        <v>1696.4</v>
      </c>
      <c r="F2485" s="2"/>
      <c r="G2485" s="1">
        <v>2068.75</v>
      </c>
      <c r="H2485" s="3"/>
      <c r="I2485" s="14" t="s">
        <v>2035</v>
      </c>
    </row>
    <row r="2486" spans="1:9" ht="18.75" customHeight="1" x14ac:dyDescent="0.4">
      <c r="A2486" s="14" t="s">
        <v>5328</v>
      </c>
      <c r="B2486" s="16" t="str">
        <f>TRIM("淀川消防署十三橋出張所")</f>
        <v>淀川消防署十三橋出張所</v>
      </c>
      <c r="C2486" s="14" t="s">
        <v>1522</v>
      </c>
      <c r="D2486" s="14" t="s">
        <v>575</v>
      </c>
      <c r="E2486" s="1">
        <v>486</v>
      </c>
      <c r="F2486" s="2"/>
      <c r="G2486" s="1">
        <v>311.08</v>
      </c>
      <c r="H2486" s="3"/>
      <c r="I2486" s="14" t="s">
        <v>5219</v>
      </c>
    </row>
    <row r="2487" spans="1:9" ht="18.75" customHeight="1" x14ac:dyDescent="0.4">
      <c r="A2487" s="14" t="s">
        <v>1839</v>
      </c>
      <c r="B2487" s="16" t="str">
        <f>TRIM("淀川区老人福祉センター")</f>
        <v>淀川区老人福祉センター</v>
      </c>
      <c r="C2487" s="14" t="s">
        <v>1522</v>
      </c>
      <c r="D2487" s="14" t="s">
        <v>575</v>
      </c>
      <c r="E2487" s="1"/>
      <c r="F2487" s="2"/>
      <c r="G2487" s="1">
        <v>446.39</v>
      </c>
      <c r="H2487" s="3"/>
      <c r="I2487" s="14" t="s">
        <v>1654</v>
      </c>
    </row>
    <row r="2488" spans="1:9" ht="18.75" customHeight="1" x14ac:dyDescent="0.4">
      <c r="A2488" s="14" t="s">
        <v>3344</v>
      </c>
      <c r="B2488" s="16" t="str">
        <f>TRIM("　野中南公園")</f>
        <v>野中南公園</v>
      </c>
      <c r="C2488" s="14" t="s">
        <v>1522</v>
      </c>
      <c r="D2488" s="14" t="s">
        <v>575</v>
      </c>
      <c r="E2488" s="1">
        <v>9540.64</v>
      </c>
      <c r="F2488" s="2"/>
      <c r="G2488" s="1"/>
      <c r="H2488" s="3"/>
      <c r="I2488" s="14" t="s">
        <v>2177</v>
      </c>
    </row>
    <row r="2489" spans="1:9" ht="18.75" customHeight="1" x14ac:dyDescent="0.4">
      <c r="A2489" s="14" t="s">
        <v>3682</v>
      </c>
      <c r="B2489" s="16" t="str">
        <f>TRIM("　野中南公園")</f>
        <v>野中南公園</v>
      </c>
      <c r="C2489" s="14" t="s">
        <v>1522</v>
      </c>
      <c r="D2489" s="14" t="s">
        <v>575</v>
      </c>
      <c r="E2489" s="1"/>
      <c r="F2489" s="2"/>
      <c r="G2489" s="1">
        <v>19.2</v>
      </c>
      <c r="H2489" s="3"/>
      <c r="I2489" s="14" t="s">
        <v>2177</v>
      </c>
    </row>
    <row r="2490" spans="1:9" ht="18.75" customHeight="1" x14ac:dyDescent="0.4">
      <c r="A2490" s="14" t="s">
        <v>5866</v>
      </c>
      <c r="B2490" s="16" t="str">
        <f>TRIM("十三保育園")</f>
        <v>十三保育園</v>
      </c>
      <c r="C2490" s="14" t="s">
        <v>1522</v>
      </c>
      <c r="D2490" s="14" t="s">
        <v>575</v>
      </c>
      <c r="E2490" s="1">
        <v>972.66</v>
      </c>
      <c r="F2490" s="2"/>
      <c r="G2490" s="1"/>
      <c r="H2490" s="3"/>
      <c r="I2490" s="14" t="s">
        <v>5617</v>
      </c>
    </row>
    <row r="2491" spans="1:9" ht="18.75" customHeight="1" x14ac:dyDescent="0.4">
      <c r="A2491" s="14" t="s">
        <v>3914</v>
      </c>
      <c r="B2491" s="16" t="str">
        <f>TRIM("東三国駅自転車駐車場管理ボックス")</f>
        <v>東三国駅自転車駐車場管理ボックス</v>
      </c>
      <c r="C2491" s="14" t="s">
        <v>1522</v>
      </c>
      <c r="D2491" s="14" t="s">
        <v>1458</v>
      </c>
      <c r="E2491" s="1"/>
      <c r="F2491" s="2"/>
      <c r="G2491" s="1">
        <v>3.89</v>
      </c>
      <c r="H2491" s="3"/>
      <c r="I2491" s="14" t="s">
        <v>2177</v>
      </c>
    </row>
    <row r="2492" spans="1:9" ht="18.75" customHeight="1" x14ac:dyDescent="0.4">
      <c r="A2492" s="14" t="s">
        <v>4492</v>
      </c>
      <c r="B2492" s="16" t="str">
        <f>TRIM("北中島社会福祉会館")</f>
        <v>北中島社会福祉会館</v>
      </c>
      <c r="C2492" s="14" t="s">
        <v>1522</v>
      </c>
      <c r="D2492" s="14" t="s">
        <v>1458</v>
      </c>
      <c r="E2492" s="1">
        <v>422.91</v>
      </c>
      <c r="F2492" s="2"/>
      <c r="G2492" s="1"/>
      <c r="H2492" s="3"/>
      <c r="I2492" s="14" t="s">
        <v>2035</v>
      </c>
    </row>
    <row r="2493" spans="1:9" ht="18.75" customHeight="1" x14ac:dyDescent="0.4">
      <c r="A2493" s="14" t="s">
        <v>4490</v>
      </c>
      <c r="B2493" s="16" t="str">
        <f>TRIM("新東三国社会福祉会館")</f>
        <v>新東三国社会福祉会館</v>
      </c>
      <c r="C2493" s="14" t="s">
        <v>1522</v>
      </c>
      <c r="D2493" s="14" t="s">
        <v>1190</v>
      </c>
      <c r="E2493" s="1">
        <v>292.33999999999997</v>
      </c>
      <c r="F2493" s="2"/>
      <c r="G2493" s="1">
        <v>222.26</v>
      </c>
      <c r="H2493" s="3"/>
      <c r="I2493" s="14" t="s">
        <v>2035</v>
      </c>
    </row>
    <row r="2494" spans="1:9" ht="18.75" customHeight="1" x14ac:dyDescent="0.4">
      <c r="A2494" s="14" t="s">
        <v>5329</v>
      </c>
      <c r="B2494" s="16" t="str">
        <f>TRIM("淀川消防署東三国出張所")</f>
        <v>淀川消防署東三国出張所</v>
      </c>
      <c r="C2494" s="14" t="s">
        <v>1522</v>
      </c>
      <c r="D2494" s="14" t="s">
        <v>1190</v>
      </c>
      <c r="E2494" s="1">
        <v>820.63</v>
      </c>
      <c r="F2494" s="2"/>
      <c r="G2494" s="1">
        <v>367.72</v>
      </c>
      <c r="H2494" s="3"/>
      <c r="I2494" s="14" t="s">
        <v>5219</v>
      </c>
    </row>
    <row r="2495" spans="1:9" ht="18.75" customHeight="1" x14ac:dyDescent="0.4">
      <c r="A2495" s="14" t="s">
        <v>3137</v>
      </c>
      <c r="B2495" s="16" t="str">
        <f>TRIM("　東三国東公園")</f>
        <v>東三国東公園</v>
      </c>
      <c r="C2495" s="14" t="s">
        <v>1522</v>
      </c>
      <c r="D2495" s="14" t="s">
        <v>1190</v>
      </c>
      <c r="E2495" s="1">
        <v>1653.08</v>
      </c>
      <c r="F2495" s="2"/>
      <c r="G2495" s="1"/>
      <c r="H2495" s="3"/>
      <c r="I2495" s="14" t="s">
        <v>2177</v>
      </c>
    </row>
    <row r="2496" spans="1:9" ht="18.75" customHeight="1" x14ac:dyDescent="0.4">
      <c r="A2496" s="14" t="s">
        <v>3915</v>
      </c>
      <c r="B2496" s="16" t="str">
        <f>TRIM("東三国駅自転車駐車場管理事務所")</f>
        <v>東三国駅自転車駐車場管理事務所</v>
      </c>
      <c r="C2496" s="14" t="s">
        <v>1522</v>
      </c>
      <c r="D2496" s="14" t="s">
        <v>1190</v>
      </c>
      <c r="E2496" s="1"/>
      <c r="F2496" s="2"/>
      <c r="G2496" s="1">
        <v>12.96</v>
      </c>
      <c r="H2496" s="3"/>
      <c r="I2496" s="14" t="s">
        <v>2177</v>
      </c>
    </row>
    <row r="2497" spans="1:9" ht="18.75" customHeight="1" x14ac:dyDescent="0.4">
      <c r="A2497" s="14" t="s">
        <v>4878</v>
      </c>
      <c r="B2497" s="16" t="str">
        <f>TRIM("新東三国小学校")</f>
        <v>新東三国小学校</v>
      </c>
      <c r="C2497" s="14" t="s">
        <v>1522</v>
      </c>
      <c r="D2497" s="14" t="s">
        <v>806</v>
      </c>
      <c r="E2497" s="1">
        <v>9917.75</v>
      </c>
      <c r="F2497" s="2"/>
      <c r="G2497" s="1">
        <v>6541.69</v>
      </c>
      <c r="H2497" s="3"/>
      <c r="I2497" s="14" t="s">
        <v>4689</v>
      </c>
    </row>
    <row r="2498" spans="1:9" ht="18.75" customHeight="1" x14ac:dyDescent="0.4">
      <c r="A2498" s="14" t="s">
        <v>6578</v>
      </c>
      <c r="B2498" s="16" t="str">
        <f>TRIM("東三国住宅")</f>
        <v>東三国住宅</v>
      </c>
      <c r="C2498" s="14" t="s">
        <v>1522</v>
      </c>
      <c r="D2498" s="14" t="s">
        <v>806</v>
      </c>
      <c r="E2498" s="1">
        <v>22524.52</v>
      </c>
      <c r="F2498" s="2"/>
      <c r="G2498" s="1">
        <v>36081</v>
      </c>
      <c r="H2498" s="3"/>
      <c r="I2498" s="14" t="s">
        <v>6177</v>
      </c>
    </row>
    <row r="2499" spans="1:9" ht="18.75" customHeight="1" x14ac:dyDescent="0.4">
      <c r="A2499" s="14" t="s">
        <v>3725</v>
      </c>
      <c r="B2499" s="16" t="str">
        <f>TRIM(" 十八条自転車保管所管理事務所")</f>
        <v>十八条自転車保管所管理事務所</v>
      </c>
      <c r="C2499" s="14" t="s">
        <v>1522</v>
      </c>
      <c r="D2499" s="14" t="s">
        <v>806</v>
      </c>
      <c r="E2499" s="1"/>
      <c r="F2499" s="2"/>
      <c r="G2499" s="1">
        <v>26.32</v>
      </c>
      <c r="H2499" s="3"/>
      <c r="I2499" s="14" t="s">
        <v>2177</v>
      </c>
    </row>
    <row r="2500" spans="1:9" ht="18.75" customHeight="1" x14ac:dyDescent="0.4">
      <c r="A2500" s="14" t="s">
        <v>3727</v>
      </c>
      <c r="B2500" s="16" t="str">
        <f>TRIM(" 神崎川第2自転車保管所管理事務所")</f>
        <v>神崎川第2自転車保管所管理事務所</v>
      </c>
      <c r="C2500" s="14" t="s">
        <v>1522</v>
      </c>
      <c r="D2500" s="14" t="s">
        <v>806</v>
      </c>
      <c r="E2500" s="1"/>
      <c r="F2500" s="2"/>
      <c r="G2500" s="1">
        <v>16.72</v>
      </c>
      <c r="H2500" s="3"/>
      <c r="I2500" s="14" t="s">
        <v>2177</v>
      </c>
    </row>
    <row r="2501" spans="1:9" ht="18.75" customHeight="1" x14ac:dyDescent="0.4">
      <c r="A2501" s="14" t="s">
        <v>3136</v>
      </c>
      <c r="B2501" s="16" t="str">
        <f>TRIM("　東三国西公園")</f>
        <v>東三国西公園</v>
      </c>
      <c r="C2501" s="14" t="s">
        <v>1522</v>
      </c>
      <c r="D2501" s="14" t="s">
        <v>1189</v>
      </c>
      <c r="E2501" s="1">
        <v>1257.25</v>
      </c>
      <c r="F2501" s="2"/>
      <c r="G2501" s="1"/>
      <c r="H2501" s="3"/>
      <c r="I2501" s="14" t="s">
        <v>2177</v>
      </c>
    </row>
    <row r="2502" spans="1:9" ht="18.75" customHeight="1" x14ac:dyDescent="0.4">
      <c r="A2502" s="14" t="s">
        <v>4493</v>
      </c>
      <c r="B2502" s="16" t="str">
        <f>TRIM("東三国社会福祉会館")</f>
        <v>東三国社会福祉会館</v>
      </c>
      <c r="C2502" s="14" t="s">
        <v>1522</v>
      </c>
      <c r="D2502" s="14" t="s">
        <v>662</v>
      </c>
      <c r="E2502" s="1">
        <v>278.14999999999998</v>
      </c>
      <c r="F2502" s="2"/>
      <c r="G2502" s="1">
        <v>217.63</v>
      </c>
      <c r="H2502" s="3"/>
      <c r="I2502" s="14" t="s">
        <v>2035</v>
      </c>
    </row>
    <row r="2503" spans="1:9" ht="18.75" customHeight="1" x14ac:dyDescent="0.4">
      <c r="A2503" s="14" t="s">
        <v>5017</v>
      </c>
      <c r="B2503" s="16" t="str">
        <f>TRIM("東三国小学校")</f>
        <v>東三国小学校</v>
      </c>
      <c r="C2503" s="14" t="s">
        <v>1522</v>
      </c>
      <c r="D2503" s="14" t="s">
        <v>662</v>
      </c>
      <c r="E2503" s="1">
        <v>12003.06</v>
      </c>
      <c r="F2503" s="2"/>
      <c r="G2503" s="1">
        <v>6953.45</v>
      </c>
      <c r="H2503" s="3"/>
      <c r="I2503" s="14" t="s">
        <v>4689</v>
      </c>
    </row>
    <row r="2504" spans="1:9" ht="18.75" customHeight="1" x14ac:dyDescent="0.4">
      <c r="A2504" s="14" t="s">
        <v>5018</v>
      </c>
      <c r="B2504" s="16" t="str">
        <f>TRIM("東三国中学校")</f>
        <v>東三国中学校</v>
      </c>
      <c r="C2504" s="14" t="s">
        <v>1522</v>
      </c>
      <c r="D2504" s="14" t="s">
        <v>662</v>
      </c>
      <c r="E2504" s="1">
        <v>10800</v>
      </c>
      <c r="F2504" s="2"/>
      <c r="G2504" s="1">
        <v>7268.19</v>
      </c>
      <c r="H2504" s="3"/>
      <c r="I2504" s="14" t="s">
        <v>4689</v>
      </c>
    </row>
    <row r="2505" spans="1:9" ht="18.75" customHeight="1" x14ac:dyDescent="0.4">
      <c r="A2505" s="14" t="s">
        <v>6017</v>
      </c>
      <c r="B2505" s="16" t="str">
        <f>TRIM("共同利用施設（東三国センター）")</f>
        <v>共同利用施設（東三国センター）</v>
      </c>
      <c r="C2505" s="14" t="s">
        <v>1522</v>
      </c>
      <c r="D2505" s="14" t="s">
        <v>662</v>
      </c>
      <c r="E2505" s="1"/>
      <c r="F2505" s="2"/>
      <c r="G2505" s="1">
        <v>558.42999999999995</v>
      </c>
      <c r="H2505" s="3"/>
      <c r="I2505" s="14" t="s">
        <v>5977</v>
      </c>
    </row>
    <row r="2506" spans="1:9" ht="18.75" customHeight="1" x14ac:dyDescent="0.4">
      <c r="A2506" s="14" t="s">
        <v>6152</v>
      </c>
      <c r="B2506" s="16" t="str">
        <f>TRIM("東三国霊園")</f>
        <v>東三国霊園</v>
      </c>
      <c r="C2506" s="14" t="s">
        <v>1522</v>
      </c>
      <c r="D2506" s="14" t="s">
        <v>662</v>
      </c>
      <c r="E2506" s="1">
        <v>811.02</v>
      </c>
      <c r="F2506" s="2"/>
      <c r="G2506" s="1"/>
      <c r="H2506" s="3"/>
      <c r="I2506" s="14" t="s">
        <v>5977</v>
      </c>
    </row>
    <row r="2507" spans="1:9" ht="18.75" customHeight="1" x14ac:dyDescent="0.4">
      <c r="A2507" s="14" t="s">
        <v>5317</v>
      </c>
      <c r="B2507" s="16" t="str">
        <f>TRIM("防火水槽用地（淀川）")</f>
        <v>防火水槽用地（淀川）</v>
      </c>
      <c r="C2507" s="14" t="s">
        <v>1522</v>
      </c>
      <c r="D2507" s="14" t="s">
        <v>125</v>
      </c>
      <c r="E2507" s="1">
        <v>54</v>
      </c>
      <c r="F2507" s="2"/>
      <c r="G2507" s="1"/>
      <c r="H2507" s="3"/>
      <c r="I2507" s="14" t="s">
        <v>5219</v>
      </c>
    </row>
    <row r="2508" spans="1:9" ht="18.75" customHeight="1" x14ac:dyDescent="0.4">
      <c r="A2508" s="14" t="s">
        <v>5360</v>
      </c>
      <c r="B2508" s="16" t="str">
        <f>TRIM("その他の土地（淀川）")</f>
        <v>その他の土地（淀川）</v>
      </c>
      <c r="C2508" s="14" t="s">
        <v>1522</v>
      </c>
      <c r="D2508" s="14" t="s">
        <v>125</v>
      </c>
      <c r="E2508" s="1">
        <v>342</v>
      </c>
      <c r="F2508" s="2"/>
      <c r="G2508" s="1"/>
      <c r="H2508" s="3"/>
      <c r="I2508" s="14" t="s">
        <v>5349</v>
      </c>
    </row>
    <row r="2509" spans="1:9" ht="18.75" customHeight="1" x14ac:dyDescent="0.4">
      <c r="A2509" s="14" t="s">
        <v>5719</v>
      </c>
      <c r="B2509" s="16" t="str">
        <f>TRIM("ポラリス保育園")</f>
        <v>ポラリス保育園</v>
      </c>
      <c r="C2509" s="14" t="s">
        <v>1522</v>
      </c>
      <c r="D2509" s="14" t="s">
        <v>125</v>
      </c>
      <c r="E2509" s="1">
        <v>764.69</v>
      </c>
      <c r="F2509" s="2"/>
      <c r="G2509" s="1"/>
      <c r="H2509" s="3"/>
      <c r="I2509" s="14" t="s">
        <v>5617</v>
      </c>
    </row>
    <row r="2510" spans="1:9" ht="18.75" customHeight="1" x14ac:dyDescent="0.4">
      <c r="A2510" s="14" t="s">
        <v>6924</v>
      </c>
      <c r="B2510" s="16" t="str">
        <f>TRIM("もと区画整理事業用地（三国東地区）")</f>
        <v>もと区画整理事業用地（三国東地区）</v>
      </c>
      <c r="C2510" s="14" t="s">
        <v>1522</v>
      </c>
      <c r="D2510" s="14" t="s">
        <v>125</v>
      </c>
      <c r="E2510" s="1">
        <v>1587</v>
      </c>
      <c r="F2510" s="2"/>
      <c r="G2510" s="1"/>
      <c r="H2510" s="3"/>
      <c r="I2510" s="14" t="s">
        <v>6177</v>
      </c>
    </row>
    <row r="2511" spans="1:9" ht="18.75" customHeight="1" x14ac:dyDescent="0.4">
      <c r="A2511" s="14" t="s">
        <v>4775</v>
      </c>
      <c r="B2511" s="16" t="str">
        <f>TRIM("宮原小学校")</f>
        <v>宮原小学校</v>
      </c>
      <c r="C2511" s="14" t="s">
        <v>1522</v>
      </c>
      <c r="D2511" s="14" t="s">
        <v>602</v>
      </c>
      <c r="E2511" s="1">
        <v>6776.19</v>
      </c>
      <c r="F2511" s="2"/>
      <c r="G2511" s="1">
        <v>6535.06</v>
      </c>
      <c r="H2511" s="3"/>
      <c r="I2511" s="14" t="s">
        <v>4689</v>
      </c>
    </row>
    <row r="2512" spans="1:9" ht="18.75" customHeight="1" x14ac:dyDescent="0.4">
      <c r="A2512" s="14" t="s">
        <v>5933</v>
      </c>
      <c r="B2512" s="16" t="str">
        <f>TRIM("木川第2保育所")</f>
        <v>木川第2保育所</v>
      </c>
      <c r="C2512" s="14" t="s">
        <v>1522</v>
      </c>
      <c r="D2512" s="14" t="s">
        <v>602</v>
      </c>
      <c r="E2512" s="1">
        <v>1056.57</v>
      </c>
      <c r="F2512" s="2"/>
      <c r="G2512" s="1">
        <v>510.99</v>
      </c>
      <c r="H2512" s="3"/>
      <c r="I2512" s="14" t="s">
        <v>5617</v>
      </c>
    </row>
    <row r="2513" spans="1:9" ht="18.75" customHeight="1" x14ac:dyDescent="0.4">
      <c r="A2513" s="14" t="s">
        <v>6672</v>
      </c>
      <c r="B2513" s="16" t="str">
        <f>TRIM("木川第1住宅")</f>
        <v>木川第1住宅</v>
      </c>
      <c r="C2513" s="14" t="s">
        <v>1522</v>
      </c>
      <c r="D2513" s="14" t="s">
        <v>602</v>
      </c>
      <c r="E2513" s="1">
        <v>15605.9</v>
      </c>
      <c r="F2513" s="2"/>
      <c r="G2513" s="1">
        <v>25427.18</v>
      </c>
      <c r="H2513" s="3"/>
      <c r="I2513" s="14" t="s">
        <v>6177</v>
      </c>
    </row>
    <row r="2514" spans="1:9" ht="18.75" customHeight="1" x14ac:dyDescent="0.4">
      <c r="A2514" s="14" t="s">
        <v>6676</v>
      </c>
      <c r="B2514" s="16" t="str">
        <f>TRIM("木川第5住宅")</f>
        <v>木川第5住宅</v>
      </c>
      <c r="C2514" s="14" t="s">
        <v>1522</v>
      </c>
      <c r="D2514" s="14" t="s">
        <v>602</v>
      </c>
      <c r="E2514" s="1">
        <v>6892.56</v>
      </c>
      <c r="F2514" s="2"/>
      <c r="G2514" s="1">
        <v>6527.51</v>
      </c>
      <c r="H2514" s="3"/>
      <c r="I2514" s="14" t="s">
        <v>6177</v>
      </c>
    </row>
    <row r="2515" spans="1:9" ht="18.75" customHeight="1" x14ac:dyDescent="0.4">
      <c r="A2515" s="14" t="s">
        <v>2327</v>
      </c>
      <c r="B2515" s="16" t="str">
        <f>TRIM("廃道（淀川）")</f>
        <v>廃道（淀川）</v>
      </c>
      <c r="C2515" s="14" t="s">
        <v>1522</v>
      </c>
      <c r="D2515" s="14" t="s">
        <v>602</v>
      </c>
      <c r="E2515" s="1">
        <v>1659.55</v>
      </c>
      <c r="F2515" s="2"/>
      <c r="G2515" s="1"/>
      <c r="H2515" s="3"/>
      <c r="I2515" s="14" t="s">
        <v>2177</v>
      </c>
    </row>
    <row r="2516" spans="1:9" ht="18.75" customHeight="1" x14ac:dyDescent="0.4">
      <c r="A2516" s="14" t="s">
        <v>2750</v>
      </c>
      <c r="B2516" s="16" t="str">
        <f>TRIM("　三国本町公園")</f>
        <v>三国本町公園</v>
      </c>
      <c r="C2516" s="14" t="s">
        <v>1522</v>
      </c>
      <c r="D2516" s="14" t="s">
        <v>602</v>
      </c>
      <c r="E2516" s="1">
        <v>16172.28</v>
      </c>
      <c r="F2516" s="2"/>
      <c r="G2516" s="1"/>
      <c r="H2516" s="3"/>
      <c r="I2516" s="14" t="s">
        <v>2177</v>
      </c>
    </row>
    <row r="2517" spans="1:9" ht="18.75" customHeight="1" x14ac:dyDescent="0.4">
      <c r="A2517" s="14" t="s">
        <v>3562</v>
      </c>
      <c r="B2517" s="16" t="str">
        <f>TRIM("　三国本町公園")</f>
        <v>三国本町公園</v>
      </c>
      <c r="C2517" s="14" t="s">
        <v>1522</v>
      </c>
      <c r="D2517" s="14" t="s">
        <v>602</v>
      </c>
      <c r="E2517" s="1"/>
      <c r="F2517" s="2"/>
      <c r="G2517" s="1">
        <v>18.5</v>
      </c>
      <c r="H2517" s="3"/>
      <c r="I2517" s="14" t="s">
        <v>2177</v>
      </c>
    </row>
    <row r="2518" spans="1:9" ht="18.75" customHeight="1" x14ac:dyDescent="0.4">
      <c r="A2518" s="14" t="s">
        <v>4776</v>
      </c>
      <c r="B2518" s="16" t="str">
        <f>TRIM("宮原小学校用地代替地")</f>
        <v>宮原小学校用地代替地</v>
      </c>
      <c r="C2518" s="14" t="s">
        <v>1522</v>
      </c>
      <c r="D2518" s="14" t="s">
        <v>602</v>
      </c>
      <c r="E2518" s="1">
        <v>420.56</v>
      </c>
      <c r="F2518" s="2"/>
      <c r="G2518" s="1"/>
      <c r="H2518" s="3"/>
      <c r="I2518" s="14" t="s">
        <v>4689</v>
      </c>
    </row>
    <row r="2519" spans="1:9" ht="18.75" customHeight="1" x14ac:dyDescent="0.4">
      <c r="A2519" s="14" t="s">
        <v>6786</v>
      </c>
      <c r="B2519" s="16" t="str">
        <f>TRIM("もと木川第１住宅")</f>
        <v>もと木川第１住宅</v>
      </c>
      <c r="C2519" s="14" t="s">
        <v>1522</v>
      </c>
      <c r="D2519" s="14" t="s">
        <v>602</v>
      </c>
      <c r="E2519" s="1"/>
      <c r="F2519" s="2"/>
      <c r="G2519" s="1">
        <v>4762.25</v>
      </c>
      <c r="H2519" s="3"/>
      <c r="I2519" s="14" t="s">
        <v>6177</v>
      </c>
    </row>
    <row r="2520" spans="1:9" ht="18.75" customHeight="1" x14ac:dyDescent="0.4">
      <c r="A2520" s="14" t="s">
        <v>6384</v>
      </c>
      <c r="B2520" s="16" t="str">
        <f>TRIM("三国南住宅")</f>
        <v>三国南住宅</v>
      </c>
      <c r="C2520" s="14" t="s">
        <v>1522</v>
      </c>
      <c r="D2520" s="14" t="s">
        <v>411</v>
      </c>
      <c r="E2520" s="1">
        <v>3398.98</v>
      </c>
      <c r="F2520" s="2"/>
      <c r="G2520" s="1">
        <v>4650.28</v>
      </c>
      <c r="H2520" s="3"/>
      <c r="I2520" s="14" t="s">
        <v>6177</v>
      </c>
    </row>
    <row r="2521" spans="1:9" ht="18.75" customHeight="1" x14ac:dyDescent="0.4">
      <c r="A2521" s="14" t="s">
        <v>1926</v>
      </c>
      <c r="B2521" s="16" t="str">
        <f>TRIM("特別養護老人ホームコモンズ三国")</f>
        <v>特別養護老人ホームコモンズ三国</v>
      </c>
      <c r="C2521" s="14" t="s">
        <v>1522</v>
      </c>
      <c r="D2521" s="14" t="s">
        <v>411</v>
      </c>
      <c r="E2521" s="1">
        <v>1865.26</v>
      </c>
      <c r="F2521" s="2"/>
      <c r="G2521" s="1"/>
      <c r="H2521" s="3"/>
      <c r="I2521" s="14" t="s">
        <v>1654</v>
      </c>
    </row>
    <row r="2522" spans="1:9" ht="18.75" customHeight="1" x14ac:dyDescent="0.4">
      <c r="A2522" s="14" t="s">
        <v>1974</v>
      </c>
      <c r="B2522" s="16" t="str">
        <f>TRIM("淀川区在宅サービスセンター")</f>
        <v>淀川区在宅サービスセンター</v>
      </c>
      <c r="C2522" s="14" t="s">
        <v>1522</v>
      </c>
      <c r="D2522" s="14" t="s">
        <v>411</v>
      </c>
      <c r="E2522" s="1">
        <v>828.94</v>
      </c>
      <c r="F2522" s="2"/>
      <c r="G2522" s="1"/>
      <c r="H2522" s="3"/>
      <c r="I2522" s="14" t="s">
        <v>1654</v>
      </c>
    </row>
    <row r="2523" spans="1:9" ht="18.75" customHeight="1" x14ac:dyDescent="0.4">
      <c r="A2523" s="14" t="s">
        <v>2749</v>
      </c>
      <c r="B2523" s="16" t="str">
        <f>TRIM("　三国中公園")</f>
        <v>三国中公園</v>
      </c>
      <c r="C2523" s="14" t="s">
        <v>1522</v>
      </c>
      <c r="D2523" s="14" t="s">
        <v>411</v>
      </c>
      <c r="E2523" s="1">
        <v>783.05</v>
      </c>
      <c r="F2523" s="2"/>
      <c r="G2523" s="1"/>
      <c r="H2523" s="3"/>
      <c r="I2523" s="14" t="s">
        <v>2177</v>
      </c>
    </row>
    <row r="2524" spans="1:9" ht="18.75" customHeight="1" x14ac:dyDescent="0.4">
      <c r="A2524" s="14" t="s">
        <v>3722</v>
      </c>
      <c r="B2524" s="16" t="str">
        <f>TRIM(" 三国自転車保管所管理事務所")</f>
        <v>三国自転車保管所管理事務所</v>
      </c>
      <c r="C2524" s="14" t="s">
        <v>1522</v>
      </c>
      <c r="D2524" s="14" t="s">
        <v>411</v>
      </c>
      <c r="E2524" s="1"/>
      <c r="F2524" s="2"/>
      <c r="G2524" s="1">
        <v>27.47</v>
      </c>
      <c r="H2524" s="3"/>
      <c r="I2524" s="14" t="s">
        <v>2177</v>
      </c>
    </row>
    <row r="2525" spans="1:9" ht="18.75" customHeight="1" x14ac:dyDescent="0.4">
      <c r="A2525" s="14" t="s">
        <v>6958</v>
      </c>
      <c r="B2525" s="16" t="str">
        <f>TRIM("看護専門学校（淀川区三国本町）")</f>
        <v>看護専門学校（淀川区三国本町）</v>
      </c>
      <c r="C2525" s="14" t="s">
        <v>1522</v>
      </c>
      <c r="D2525" s="14" t="s">
        <v>411</v>
      </c>
      <c r="E2525" s="1">
        <v>1047.05</v>
      </c>
      <c r="F2525" s="2"/>
      <c r="G2525" s="1"/>
      <c r="H2525" s="3"/>
      <c r="I2525" s="14" t="s">
        <v>2402</v>
      </c>
    </row>
    <row r="2526" spans="1:9" ht="18.75" customHeight="1" x14ac:dyDescent="0.4">
      <c r="A2526" s="14" t="s">
        <v>4830</v>
      </c>
      <c r="B2526" s="16" t="str">
        <f>TRIM("三国小学校")</f>
        <v>三国小学校</v>
      </c>
      <c r="C2526" s="14" t="s">
        <v>1522</v>
      </c>
      <c r="D2526" s="14" t="s">
        <v>1059</v>
      </c>
      <c r="E2526" s="1">
        <v>10502</v>
      </c>
      <c r="F2526" s="2"/>
      <c r="G2526" s="1">
        <v>6727.14</v>
      </c>
      <c r="H2526" s="3"/>
      <c r="I2526" s="14" t="s">
        <v>4689</v>
      </c>
    </row>
    <row r="2527" spans="1:9" ht="18.75" customHeight="1" x14ac:dyDescent="0.4">
      <c r="A2527" s="14" t="s">
        <v>2034</v>
      </c>
      <c r="B2527" s="16" t="str">
        <f>TRIM("三国社会福祉会館")</f>
        <v>三国社会福祉会館</v>
      </c>
      <c r="C2527" s="14" t="s">
        <v>1522</v>
      </c>
      <c r="D2527" s="14" t="s">
        <v>1059</v>
      </c>
      <c r="E2527" s="1">
        <v>421.14</v>
      </c>
      <c r="F2527" s="2"/>
      <c r="G2527" s="1"/>
      <c r="H2527" s="3"/>
      <c r="I2527" s="14" t="s">
        <v>2035</v>
      </c>
    </row>
    <row r="2528" spans="1:9" ht="18.75" customHeight="1" x14ac:dyDescent="0.4">
      <c r="A2528" s="14" t="s">
        <v>2748</v>
      </c>
      <c r="B2528" s="16" t="str">
        <f>TRIM("　三国西公園")</f>
        <v>三国西公園</v>
      </c>
      <c r="C2528" s="14" t="s">
        <v>1522</v>
      </c>
      <c r="D2528" s="14" t="s">
        <v>1059</v>
      </c>
      <c r="E2528" s="1">
        <v>1544.91</v>
      </c>
      <c r="F2528" s="2"/>
      <c r="G2528" s="1"/>
      <c r="H2528" s="3"/>
      <c r="I2528" s="14" t="s">
        <v>2177</v>
      </c>
    </row>
    <row r="2529" spans="1:9" ht="18.75" customHeight="1" x14ac:dyDescent="0.4">
      <c r="A2529" s="14" t="s">
        <v>2753</v>
      </c>
      <c r="B2529" s="16" t="str">
        <f>TRIM("　三津屋東公園")</f>
        <v>三津屋東公園</v>
      </c>
      <c r="C2529" s="14" t="s">
        <v>1522</v>
      </c>
      <c r="D2529" s="14" t="s">
        <v>1061</v>
      </c>
      <c r="E2529" s="1">
        <v>2425.8200000000002</v>
      </c>
      <c r="F2529" s="2"/>
      <c r="G2529" s="1"/>
      <c r="H2529" s="3"/>
      <c r="I2529" s="14" t="s">
        <v>2177</v>
      </c>
    </row>
    <row r="2530" spans="1:9" ht="18.75" customHeight="1" x14ac:dyDescent="0.4">
      <c r="A2530" s="14" t="s">
        <v>6121</v>
      </c>
      <c r="B2530" s="16" t="str">
        <f>TRIM("三津屋霊園")</f>
        <v>三津屋霊園</v>
      </c>
      <c r="C2530" s="14" t="s">
        <v>1522</v>
      </c>
      <c r="D2530" s="14" t="s">
        <v>639</v>
      </c>
      <c r="E2530" s="1">
        <v>624.79</v>
      </c>
      <c r="F2530" s="2"/>
      <c r="G2530" s="1"/>
      <c r="H2530" s="3"/>
      <c r="I2530" s="14" t="s">
        <v>5977</v>
      </c>
    </row>
    <row r="2531" spans="1:9" ht="18.75" customHeight="1" x14ac:dyDescent="0.4">
      <c r="A2531" s="14" t="s">
        <v>4833</v>
      </c>
      <c r="B2531" s="16" t="str">
        <f>TRIM("三津屋小学校")</f>
        <v>三津屋小学校</v>
      </c>
      <c r="C2531" s="14" t="s">
        <v>1522</v>
      </c>
      <c r="D2531" s="14" t="s">
        <v>1396</v>
      </c>
      <c r="E2531" s="1">
        <v>8971.89</v>
      </c>
      <c r="F2531" s="2"/>
      <c r="G2531" s="1">
        <v>6254.79</v>
      </c>
      <c r="H2531" s="3"/>
      <c r="I2531" s="14" t="s">
        <v>4689</v>
      </c>
    </row>
    <row r="2532" spans="1:9" ht="18.75" customHeight="1" x14ac:dyDescent="0.4">
      <c r="A2532" s="14" t="s">
        <v>6386</v>
      </c>
      <c r="B2532" s="16" t="str">
        <f>TRIM("三津屋住宅")</f>
        <v>三津屋住宅</v>
      </c>
      <c r="C2532" s="14" t="s">
        <v>1522</v>
      </c>
      <c r="D2532" s="14" t="s">
        <v>751</v>
      </c>
      <c r="E2532" s="1">
        <v>13420.46</v>
      </c>
      <c r="F2532" s="2"/>
      <c r="G2532" s="1">
        <v>6447.33</v>
      </c>
      <c r="H2532" s="3"/>
      <c r="I2532" s="14" t="s">
        <v>6177</v>
      </c>
    </row>
    <row r="2533" spans="1:9" ht="18.75" customHeight="1" x14ac:dyDescent="0.4">
      <c r="A2533" s="14" t="s">
        <v>2526</v>
      </c>
      <c r="B2533" s="16" t="str">
        <f>TRIM("　　三津屋中央公園")</f>
        <v>三津屋中央公園</v>
      </c>
      <c r="C2533" s="14" t="s">
        <v>1522</v>
      </c>
      <c r="D2533" s="14" t="s">
        <v>992</v>
      </c>
      <c r="E2533" s="1">
        <v>12882.61</v>
      </c>
      <c r="F2533" s="2"/>
      <c r="G2533" s="1"/>
      <c r="H2533" s="3"/>
      <c r="I2533" s="14" t="s">
        <v>2177</v>
      </c>
    </row>
    <row r="2534" spans="1:9" ht="18.75" customHeight="1" x14ac:dyDescent="0.4">
      <c r="A2534" s="14" t="s">
        <v>2752</v>
      </c>
      <c r="B2534" s="16" t="str">
        <f>TRIM("　三津屋公園")</f>
        <v>三津屋公園</v>
      </c>
      <c r="C2534" s="14" t="s">
        <v>1522</v>
      </c>
      <c r="D2534" s="14" t="s">
        <v>1060</v>
      </c>
      <c r="E2534" s="1">
        <v>5514.36</v>
      </c>
      <c r="F2534" s="2"/>
      <c r="G2534" s="1"/>
      <c r="H2534" s="3"/>
      <c r="I2534" s="14" t="s">
        <v>2177</v>
      </c>
    </row>
    <row r="2535" spans="1:9" ht="18.75" customHeight="1" x14ac:dyDescent="0.4">
      <c r="A2535" s="14" t="s">
        <v>4489</v>
      </c>
      <c r="B2535" s="16" t="str">
        <f>TRIM("三津屋会館")</f>
        <v>三津屋会館</v>
      </c>
      <c r="C2535" s="14" t="s">
        <v>1522</v>
      </c>
      <c r="D2535" s="14" t="s">
        <v>1060</v>
      </c>
      <c r="E2535" s="1">
        <v>298.06</v>
      </c>
      <c r="F2535" s="2"/>
      <c r="G2535" s="1"/>
      <c r="H2535" s="3"/>
      <c r="I2535" s="14" t="s">
        <v>2035</v>
      </c>
    </row>
    <row r="2536" spans="1:9" ht="18.75" customHeight="1" x14ac:dyDescent="0.4">
      <c r="A2536" s="14" t="s">
        <v>5590</v>
      </c>
      <c r="B2536" s="16" t="str">
        <f>TRIM("新大阪用地")</f>
        <v>新大阪用地</v>
      </c>
      <c r="C2536" s="14" t="s">
        <v>1522</v>
      </c>
      <c r="D2536" s="14" t="s">
        <v>295</v>
      </c>
      <c r="E2536" s="1">
        <v>828.37</v>
      </c>
      <c r="F2536" s="2">
        <v>2147</v>
      </c>
      <c r="G2536" s="1"/>
      <c r="H2536" s="3"/>
      <c r="I2536" s="14" t="s">
        <v>5349</v>
      </c>
    </row>
    <row r="2537" spans="1:9" ht="18.75" customHeight="1" x14ac:dyDescent="0.4">
      <c r="A2537" s="14" t="s">
        <v>3719</v>
      </c>
      <c r="B2537" s="16" t="str">
        <f>TRIM(" 宮原保管所自転車管理事務所")</f>
        <v>宮原保管所自転車管理事務所</v>
      </c>
      <c r="C2537" s="14" t="s">
        <v>1522</v>
      </c>
      <c r="D2537" s="14" t="s">
        <v>295</v>
      </c>
      <c r="E2537" s="1"/>
      <c r="F2537" s="2"/>
      <c r="G2537" s="1">
        <v>24.3</v>
      </c>
      <c r="H2537" s="3"/>
      <c r="I2537" s="14" t="s">
        <v>2177</v>
      </c>
    </row>
    <row r="2538" spans="1:9" ht="18.75" customHeight="1" x14ac:dyDescent="0.4">
      <c r="A2538" s="14" t="s">
        <v>3852</v>
      </c>
      <c r="B2538" s="16" t="str">
        <f>TRIM("新大阪駅北口自転車駐車場管理ボックス")</f>
        <v>新大阪駅北口自転車駐車場管理ボックス</v>
      </c>
      <c r="C2538" s="14" t="s">
        <v>1522</v>
      </c>
      <c r="D2538" s="14" t="s">
        <v>295</v>
      </c>
      <c r="E2538" s="1"/>
      <c r="F2538" s="2"/>
      <c r="G2538" s="1">
        <v>1.44</v>
      </c>
      <c r="H2538" s="3"/>
      <c r="I2538" s="14" t="s">
        <v>2177</v>
      </c>
    </row>
    <row r="2539" spans="1:9" ht="18.75" customHeight="1" x14ac:dyDescent="0.4">
      <c r="A2539" s="14" t="s">
        <v>3853</v>
      </c>
      <c r="B2539" s="16" t="str">
        <f>TRIM("新大阪駅北口自転車駐車場管理事務所")</f>
        <v>新大阪駅北口自転車駐車場管理事務所</v>
      </c>
      <c r="C2539" s="14" t="s">
        <v>1522</v>
      </c>
      <c r="D2539" s="14" t="s">
        <v>295</v>
      </c>
      <c r="E2539" s="1"/>
      <c r="F2539" s="2"/>
      <c r="G2539" s="1">
        <v>12.56</v>
      </c>
      <c r="H2539" s="3"/>
      <c r="I2539" s="14" t="s">
        <v>2177</v>
      </c>
    </row>
    <row r="2540" spans="1:9" ht="18.75" customHeight="1" x14ac:dyDescent="0.4">
      <c r="A2540" s="14" t="s">
        <v>3715</v>
      </c>
      <c r="B2540" s="16" t="str">
        <f>TRIM("  東三国駅自転車駐車場トイレ")</f>
        <v>東三国駅自転車駐車場トイレ</v>
      </c>
      <c r="C2540" s="14" t="s">
        <v>1522</v>
      </c>
      <c r="D2540" s="14" t="s">
        <v>1484</v>
      </c>
      <c r="E2540" s="1"/>
      <c r="F2540" s="2"/>
      <c r="G2540" s="1">
        <v>0.94</v>
      </c>
      <c r="H2540" s="3"/>
      <c r="I2540" s="14" t="s">
        <v>2177</v>
      </c>
    </row>
    <row r="2541" spans="1:9" ht="18.75" customHeight="1" x14ac:dyDescent="0.4">
      <c r="A2541" s="14" t="s">
        <v>3918</v>
      </c>
      <c r="B2541" s="16" t="str">
        <f>TRIM("東淀川駅自転車駐車場管理事務所")</f>
        <v>東淀川駅自転車駐車場管理事務所</v>
      </c>
      <c r="C2541" s="14" t="s">
        <v>1522</v>
      </c>
      <c r="D2541" s="14" t="s">
        <v>1484</v>
      </c>
      <c r="E2541" s="1"/>
      <c r="F2541" s="2"/>
      <c r="G2541" s="1">
        <v>12.96</v>
      </c>
      <c r="H2541" s="3"/>
      <c r="I2541" s="14" t="s">
        <v>2177</v>
      </c>
    </row>
    <row r="2542" spans="1:9" ht="18.75" customHeight="1" x14ac:dyDescent="0.4">
      <c r="A2542" s="14" t="s">
        <v>2379</v>
      </c>
      <c r="B2542" s="16" t="str">
        <f>TRIM("宮原地下駐車場")</f>
        <v>宮原地下駐車場</v>
      </c>
      <c r="C2542" s="14" t="s">
        <v>1522</v>
      </c>
      <c r="D2542" s="14" t="s">
        <v>1298</v>
      </c>
      <c r="E2542" s="1"/>
      <c r="F2542" s="2"/>
      <c r="G2542" s="1">
        <v>6270.04</v>
      </c>
      <c r="H2542" s="3"/>
      <c r="I2542" s="14" t="s">
        <v>2177</v>
      </c>
    </row>
    <row r="2543" spans="1:9" ht="18.75" customHeight="1" x14ac:dyDescent="0.4">
      <c r="A2543" s="14" t="s">
        <v>3506</v>
      </c>
      <c r="B2543" s="16" t="str">
        <f>TRIM(" 新駅工区開発1号広場")</f>
        <v>新駅工区開発1号広場</v>
      </c>
      <c r="C2543" s="14" t="s">
        <v>1522</v>
      </c>
      <c r="D2543" s="14" t="s">
        <v>1298</v>
      </c>
      <c r="E2543" s="1">
        <v>8960.4500000000007</v>
      </c>
      <c r="F2543" s="2"/>
      <c r="G2543" s="1"/>
      <c r="H2543" s="3"/>
      <c r="I2543" s="14" t="s">
        <v>2177</v>
      </c>
    </row>
    <row r="2544" spans="1:9" ht="18.75" customHeight="1" x14ac:dyDescent="0.4">
      <c r="A2544" s="14" t="s">
        <v>5103</v>
      </c>
      <c r="B2544" s="16" t="str">
        <f>TRIM("北中島小学校")</f>
        <v>北中島小学校</v>
      </c>
      <c r="C2544" s="14" t="s">
        <v>1522</v>
      </c>
      <c r="D2544" s="14" t="s">
        <v>1242</v>
      </c>
      <c r="E2544" s="1">
        <v>12059.92</v>
      </c>
      <c r="F2544" s="2"/>
      <c r="G2544" s="1">
        <v>6349.34</v>
      </c>
      <c r="H2544" s="3"/>
      <c r="I2544" s="14" t="s">
        <v>4689</v>
      </c>
    </row>
    <row r="2545" spans="1:9" ht="18.75" customHeight="1" x14ac:dyDescent="0.4">
      <c r="A2545" s="14" t="s">
        <v>3301</v>
      </c>
      <c r="B2545" s="16" t="str">
        <f>TRIM("　北中島公園")</f>
        <v>北中島公園</v>
      </c>
      <c r="C2545" s="14" t="s">
        <v>1522</v>
      </c>
      <c r="D2545" s="14" t="s">
        <v>1242</v>
      </c>
      <c r="E2545" s="1">
        <v>8898.4500000000007</v>
      </c>
      <c r="F2545" s="2"/>
      <c r="G2545" s="1"/>
      <c r="H2545" s="3"/>
      <c r="I2545" s="14" t="s">
        <v>2177</v>
      </c>
    </row>
    <row r="2546" spans="1:9" ht="18.75" customHeight="1" x14ac:dyDescent="0.4">
      <c r="A2546" s="14" t="s">
        <v>3677</v>
      </c>
      <c r="B2546" s="16" t="str">
        <f>TRIM("　北中島公園")</f>
        <v>北中島公園</v>
      </c>
      <c r="C2546" s="14" t="s">
        <v>1522</v>
      </c>
      <c r="D2546" s="14" t="s">
        <v>1242</v>
      </c>
      <c r="E2546" s="1"/>
      <c r="F2546" s="2"/>
      <c r="G2546" s="1">
        <v>21.12</v>
      </c>
      <c r="H2546" s="3"/>
      <c r="I2546" s="14" t="s">
        <v>2177</v>
      </c>
    </row>
    <row r="2547" spans="1:9" ht="18.75" customHeight="1" x14ac:dyDescent="0.4">
      <c r="A2547" s="14" t="s">
        <v>4494</v>
      </c>
      <c r="B2547" s="16" t="str">
        <f>TRIM("北中島会館砂中")</f>
        <v>北中島会館砂中</v>
      </c>
      <c r="C2547" s="14" t="s">
        <v>1522</v>
      </c>
      <c r="D2547" s="14" t="s">
        <v>1242</v>
      </c>
      <c r="E2547" s="1">
        <v>99.18</v>
      </c>
      <c r="F2547" s="2"/>
      <c r="G2547" s="1"/>
      <c r="H2547" s="3"/>
      <c r="I2547" s="14" t="s">
        <v>2035</v>
      </c>
    </row>
    <row r="2548" spans="1:9" ht="18.75" customHeight="1" x14ac:dyDescent="0.4">
      <c r="A2548" s="14" t="s">
        <v>6018</v>
      </c>
      <c r="B2548" s="16" t="str">
        <f>TRIM("共同利用施設（北中島センター）")</f>
        <v>共同利用施設（北中島センター）</v>
      </c>
      <c r="C2548" s="14" t="s">
        <v>1522</v>
      </c>
      <c r="D2548" s="14" t="s">
        <v>1242</v>
      </c>
      <c r="E2548" s="1"/>
      <c r="F2548" s="2"/>
      <c r="G2548" s="1">
        <v>558.42999999999995</v>
      </c>
      <c r="H2548" s="3"/>
      <c r="I2548" s="14" t="s">
        <v>5977</v>
      </c>
    </row>
    <row r="2549" spans="1:9" ht="18.75" customHeight="1" x14ac:dyDescent="0.4">
      <c r="A2549" s="14" t="s">
        <v>3877</v>
      </c>
      <c r="B2549" s="16" t="str">
        <f>TRIM("相川駅自転車駐車場管理ボックス")</f>
        <v>相川駅自転車駐車場管理ボックス</v>
      </c>
      <c r="C2549" s="14" t="s">
        <v>1526</v>
      </c>
      <c r="D2549" s="14" t="s">
        <v>1495</v>
      </c>
      <c r="E2549" s="1"/>
      <c r="F2549" s="2"/>
      <c r="G2549" s="1">
        <v>1.44</v>
      </c>
      <c r="H2549" s="3"/>
      <c r="I2549" s="14" t="s">
        <v>2177</v>
      </c>
    </row>
    <row r="2550" spans="1:9" ht="18.75" customHeight="1" x14ac:dyDescent="0.4">
      <c r="A2550" s="14" t="s">
        <v>3878</v>
      </c>
      <c r="B2550" s="16" t="str">
        <f>TRIM("相川駅自転車駐車場管理ボックス2")</f>
        <v>相川駅自転車駐車場管理ボックス2</v>
      </c>
      <c r="C2550" s="14" t="s">
        <v>1526</v>
      </c>
      <c r="D2550" s="14" t="s">
        <v>1495</v>
      </c>
      <c r="E2550" s="1"/>
      <c r="F2550" s="2"/>
      <c r="G2550" s="1">
        <v>1.69</v>
      </c>
      <c r="H2550" s="3"/>
      <c r="I2550" s="14" t="s">
        <v>2177</v>
      </c>
    </row>
    <row r="2551" spans="1:9" ht="18.75" customHeight="1" x14ac:dyDescent="0.4">
      <c r="A2551" s="14" t="s">
        <v>1807</v>
      </c>
      <c r="B2551" s="16" t="str">
        <f>TRIM("相川福祉会館老人憩の家")</f>
        <v>相川福祉会館老人憩の家</v>
      </c>
      <c r="C2551" s="14" t="s">
        <v>1526</v>
      </c>
      <c r="D2551" s="14" t="s">
        <v>450</v>
      </c>
      <c r="E2551" s="1">
        <v>384.59</v>
      </c>
      <c r="F2551" s="2"/>
      <c r="G2551" s="1"/>
      <c r="H2551" s="3"/>
      <c r="I2551" s="14" t="s">
        <v>1654</v>
      </c>
    </row>
    <row r="2552" spans="1:9" ht="18.75" customHeight="1" x14ac:dyDescent="0.4">
      <c r="A2552" s="14" t="s">
        <v>3876</v>
      </c>
      <c r="B2552" s="16" t="str">
        <f>TRIM("相川駅自転車駐車場")</f>
        <v>相川駅自転車駐車場</v>
      </c>
      <c r="C2552" s="14" t="s">
        <v>1526</v>
      </c>
      <c r="D2552" s="14" t="s">
        <v>450</v>
      </c>
      <c r="E2552" s="1">
        <v>635.82000000000005</v>
      </c>
      <c r="F2552" s="2"/>
      <c r="G2552" s="1"/>
      <c r="H2552" s="3"/>
      <c r="I2552" s="14" t="s">
        <v>2177</v>
      </c>
    </row>
    <row r="2553" spans="1:9" ht="18.75" customHeight="1" x14ac:dyDescent="0.4">
      <c r="A2553" s="14" t="s">
        <v>3879</v>
      </c>
      <c r="B2553" s="16" t="str">
        <f>TRIM("相川駅自転車駐車場管理事務所")</f>
        <v>相川駅自転車駐車場管理事務所</v>
      </c>
      <c r="C2553" s="14" t="s">
        <v>1526</v>
      </c>
      <c r="D2553" s="14" t="s">
        <v>450</v>
      </c>
      <c r="E2553" s="1"/>
      <c r="F2553" s="2"/>
      <c r="G2553" s="1">
        <v>12.96</v>
      </c>
      <c r="H2553" s="3"/>
      <c r="I2553" s="14" t="s">
        <v>2177</v>
      </c>
    </row>
    <row r="2554" spans="1:9" ht="18.75" customHeight="1" x14ac:dyDescent="0.4">
      <c r="A2554" s="14" t="s">
        <v>4066</v>
      </c>
      <c r="B2554" s="16" t="str">
        <f>TRIM("相川抽水所")</f>
        <v>相川抽水所</v>
      </c>
      <c r="C2554" s="14" t="s">
        <v>1526</v>
      </c>
      <c r="D2554" s="14" t="s">
        <v>531</v>
      </c>
      <c r="E2554" s="1">
        <v>431.66</v>
      </c>
      <c r="F2554" s="2"/>
      <c r="G2554" s="1">
        <v>290.51</v>
      </c>
      <c r="H2554" s="3"/>
      <c r="I2554" s="14" t="s">
        <v>2177</v>
      </c>
    </row>
    <row r="2555" spans="1:9" ht="18.75" customHeight="1" x14ac:dyDescent="0.4">
      <c r="A2555" s="14" t="s">
        <v>5703</v>
      </c>
      <c r="B2555" s="16" t="str">
        <f>TRIM("北さくら園")</f>
        <v>北さくら園</v>
      </c>
      <c r="C2555" s="14" t="s">
        <v>1526</v>
      </c>
      <c r="D2555" s="14" t="s">
        <v>531</v>
      </c>
      <c r="E2555" s="1">
        <v>1446.67</v>
      </c>
      <c r="F2555" s="2"/>
      <c r="G2555" s="1">
        <v>1830.35</v>
      </c>
      <c r="H2555" s="3"/>
      <c r="I2555" s="14" t="s">
        <v>5617</v>
      </c>
    </row>
    <row r="2556" spans="1:9" ht="18.75" customHeight="1" x14ac:dyDescent="0.4">
      <c r="A2556" s="14" t="s">
        <v>5744</v>
      </c>
      <c r="B2556" s="16" t="str">
        <f>TRIM("相川保育園")</f>
        <v>相川保育園</v>
      </c>
      <c r="C2556" s="14" t="s">
        <v>1526</v>
      </c>
      <c r="D2556" s="14" t="s">
        <v>531</v>
      </c>
      <c r="E2556" s="1">
        <v>360</v>
      </c>
      <c r="F2556" s="2"/>
      <c r="G2556" s="1">
        <v>511.82</v>
      </c>
      <c r="H2556" s="3"/>
      <c r="I2556" s="14" t="s">
        <v>5617</v>
      </c>
    </row>
    <row r="2557" spans="1:9" ht="18.75" customHeight="1" x14ac:dyDescent="0.4">
      <c r="A2557" s="14" t="s">
        <v>6480</v>
      </c>
      <c r="B2557" s="16" t="str">
        <f>TRIM("相川住宅")</f>
        <v>相川住宅</v>
      </c>
      <c r="C2557" s="14" t="s">
        <v>1526</v>
      </c>
      <c r="D2557" s="14" t="s">
        <v>531</v>
      </c>
      <c r="E2557" s="1">
        <v>7554.09</v>
      </c>
      <c r="F2557" s="2"/>
      <c r="G2557" s="1">
        <v>7355.92</v>
      </c>
      <c r="H2557" s="3"/>
      <c r="I2557" s="14" t="s">
        <v>6177</v>
      </c>
    </row>
    <row r="2558" spans="1:9" ht="18.75" customHeight="1" x14ac:dyDescent="0.4">
      <c r="A2558" s="14" t="s">
        <v>6614</v>
      </c>
      <c r="B2558" s="16" t="str">
        <f>TRIM("日之出第2住宅")</f>
        <v>日之出第2住宅</v>
      </c>
      <c r="C2558" s="14" t="s">
        <v>1526</v>
      </c>
      <c r="D2558" s="14" t="s">
        <v>787</v>
      </c>
      <c r="E2558" s="1">
        <v>4205.42</v>
      </c>
      <c r="F2558" s="2">
        <v>1951</v>
      </c>
      <c r="G2558" s="1"/>
      <c r="H2558" s="3"/>
      <c r="I2558" s="14" t="s">
        <v>6177</v>
      </c>
    </row>
    <row r="2559" spans="1:9" ht="18.75" customHeight="1" x14ac:dyDescent="0.4">
      <c r="A2559" s="14" t="s">
        <v>6501</v>
      </c>
      <c r="B2559" s="16" t="str">
        <f>TRIM("淡路第3住宅")</f>
        <v>淡路第3住宅</v>
      </c>
      <c r="C2559" s="14" t="s">
        <v>1526</v>
      </c>
      <c r="D2559" s="14" t="s">
        <v>787</v>
      </c>
      <c r="E2559" s="1">
        <v>5694.53</v>
      </c>
      <c r="F2559" s="2"/>
      <c r="G2559" s="1">
        <v>3741.24</v>
      </c>
      <c r="H2559" s="3"/>
      <c r="I2559" s="14" t="s">
        <v>6177</v>
      </c>
    </row>
    <row r="2560" spans="1:9" ht="18.75" customHeight="1" x14ac:dyDescent="0.4">
      <c r="A2560" s="14" t="s">
        <v>6500</v>
      </c>
      <c r="B2560" s="16" t="str">
        <f>TRIM("淡路第2住宅")</f>
        <v>淡路第2住宅</v>
      </c>
      <c r="C2560" s="14" t="s">
        <v>1526</v>
      </c>
      <c r="D2560" s="14" t="s">
        <v>786</v>
      </c>
      <c r="E2560" s="1">
        <v>4180.49</v>
      </c>
      <c r="F2560" s="2"/>
      <c r="G2560" s="1">
        <v>903.26</v>
      </c>
      <c r="H2560" s="3"/>
      <c r="I2560" s="14" t="s">
        <v>6177</v>
      </c>
    </row>
    <row r="2561" spans="1:9" ht="18.75" customHeight="1" x14ac:dyDescent="0.4">
      <c r="A2561" s="14" t="s">
        <v>6745</v>
      </c>
      <c r="B2561" s="16" t="str">
        <f>TRIM("淡路本町住宅")</f>
        <v>淡路本町住宅</v>
      </c>
      <c r="C2561" s="14" t="s">
        <v>1526</v>
      </c>
      <c r="D2561" s="14" t="s">
        <v>786</v>
      </c>
      <c r="E2561" s="1">
        <v>5145.87</v>
      </c>
      <c r="F2561" s="2"/>
      <c r="G2561" s="1">
        <v>4657.67</v>
      </c>
      <c r="H2561" s="3"/>
      <c r="I2561" s="14" t="s">
        <v>6177</v>
      </c>
    </row>
    <row r="2562" spans="1:9" ht="18.75" customHeight="1" x14ac:dyDescent="0.4">
      <c r="A2562" s="14" t="s">
        <v>3030</v>
      </c>
      <c r="B2562" s="16" t="str">
        <f>TRIM("　淡路2公園")</f>
        <v>淡路2公園</v>
      </c>
      <c r="C2562" s="14" t="s">
        <v>1526</v>
      </c>
      <c r="D2562" s="14" t="s">
        <v>786</v>
      </c>
      <c r="E2562" s="1">
        <v>1744.7</v>
      </c>
      <c r="F2562" s="2"/>
      <c r="G2562" s="1"/>
      <c r="H2562" s="3"/>
      <c r="I2562" s="14" t="s">
        <v>2177</v>
      </c>
    </row>
    <row r="2563" spans="1:9" ht="18.75" customHeight="1" x14ac:dyDescent="0.4">
      <c r="A2563" s="14" t="s">
        <v>6499</v>
      </c>
      <c r="B2563" s="16" t="str">
        <f>TRIM("淡路第1住宅")</f>
        <v>淡路第1住宅</v>
      </c>
      <c r="C2563" s="14" t="s">
        <v>1526</v>
      </c>
      <c r="D2563" s="14" t="s">
        <v>415</v>
      </c>
      <c r="E2563" s="1">
        <v>9335.68</v>
      </c>
      <c r="F2563" s="2" t="s">
        <v>7340</v>
      </c>
      <c r="G2563" s="1">
        <v>3260.96</v>
      </c>
      <c r="H2563" s="3"/>
      <c r="I2563" s="14" t="s">
        <v>6177</v>
      </c>
    </row>
    <row r="2564" spans="1:9" ht="18.75" customHeight="1" x14ac:dyDescent="0.4">
      <c r="A2564" s="14" t="s">
        <v>5711</v>
      </c>
      <c r="B2564" s="16" t="str">
        <f>TRIM("北部こども相談センター")</f>
        <v>北部こども相談センター</v>
      </c>
      <c r="C2564" s="14" t="s">
        <v>1526</v>
      </c>
      <c r="D2564" s="14" t="s">
        <v>415</v>
      </c>
      <c r="E2564" s="1">
        <v>2014.74</v>
      </c>
      <c r="F2564" s="2"/>
      <c r="G2564" s="1">
        <v>3720.58</v>
      </c>
      <c r="H2564" s="3"/>
      <c r="I2564" s="14" t="s">
        <v>5617</v>
      </c>
    </row>
    <row r="2565" spans="1:9" ht="18.75" customHeight="1" x14ac:dyDescent="0.4">
      <c r="A2565" s="14" t="s">
        <v>1803</v>
      </c>
      <c r="B2565" s="16" t="str">
        <f>TRIM("西淡路連合第2福祉会館老人憩の家")</f>
        <v>西淡路連合第2福祉会館老人憩の家</v>
      </c>
      <c r="C2565" s="14" t="s">
        <v>1526</v>
      </c>
      <c r="D2565" s="14" t="s">
        <v>415</v>
      </c>
      <c r="E2565" s="1">
        <v>297.62</v>
      </c>
      <c r="F2565" s="2"/>
      <c r="G2565" s="1"/>
      <c r="H2565" s="3"/>
      <c r="I2565" s="14" t="s">
        <v>1654</v>
      </c>
    </row>
    <row r="2566" spans="1:9" ht="18.75" customHeight="1" x14ac:dyDescent="0.4">
      <c r="A2566" s="14" t="s">
        <v>1933</v>
      </c>
      <c r="B2566" s="16" t="str">
        <f>TRIM("特別養護老人ホームだんらん・軽費老人ホームいこい・知的障がい者更生施設ハニカム")</f>
        <v>特別養護老人ホームだんらん・軽費老人ホームいこい・知的障がい者更生施設ハニカム</v>
      </c>
      <c r="C2566" s="14" t="s">
        <v>1526</v>
      </c>
      <c r="D2566" s="14" t="s">
        <v>415</v>
      </c>
      <c r="E2566" s="1">
        <v>5493.95</v>
      </c>
      <c r="F2566" s="2"/>
      <c r="G2566" s="1"/>
      <c r="H2566" s="3"/>
      <c r="I2566" s="14" t="s">
        <v>1654</v>
      </c>
    </row>
    <row r="2567" spans="1:9" ht="18.75" customHeight="1" x14ac:dyDescent="0.4">
      <c r="A2567" s="14" t="s">
        <v>3469</v>
      </c>
      <c r="B2567" s="16" t="str">
        <f>TRIM("淡路3公園")</f>
        <v>淡路3公園</v>
      </c>
      <c r="C2567" s="14" t="s">
        <v>1526</v>
      </c>
      <c r="D2567" s="14" t="s">
        <v>415</v>
      </c>
      <c r="E2567" s="1">
        <v>5422.46</v>
      </c>
      <c r="F2567" s="2"/>
      <c r="G2567" s="1"/>
      <c r="H2567" s="3"/>
      <c r="I2567" s="14" t="s">
        <v>2177</v>
      </c>
    </row>
    <row r="2568" spans="1:9" ht="18.75" customHeight="1" x14ac:dyDescent="0.4">
      <c r="A2568" s="14" t="s">
        <v>3696</v>
      </c>
      <c r="B2568" s="16" t="str">
        <f>TRIM("淡路3公園")</f>
        <v>淡路3公園</v>
      </c>
      <c r="C2568" s="14" t="s">
        <v>1526</v>
      </c>
      <c r="D2568" s="14" t="s">
        <v>415</v>
      </c>
      <c r="E2568" s="1"/>
      <c r="F2568" s="2"/>
      <c r="G2568" s="1">
        <v>19.2</v>
      </c>
      <c r="H2568" s="3"/>
      <c r="I2568" s="14" t="s">
        <v>2177</v>
      </c>
    </row>
    <row r="2569" spans="1:9" ht="18.75" customHeight="1" x14ac:dyDescent="0.4">
      <c r="A2569" s="14" t="s">
        <v>4700</v>
      </c>
      <c r="B2569" s="16" t="str">
        <f>TRIM("もと西淡路小学校分校")</f>
        <v>もと西淡路小学校分校</v>
      </c>
      <c r="C2569" s="14" t="s">
        <v>1526</v>
      </c>
      <c r="D2569" s="14" t="s">
        <v>415</v>
      </c>
      <c r="E2569" s="1">
        <v>341.8</v>
      </c>
      <c r="F2569" s="2"/>
      <c r="G2569" s="1"/>
      <c r="H2569" s="3"/>
      <c r="I2569" s="14" t="s">
        <v>4689</v>
      </c>
    </row>
    <row r="2570" spans="1:9" ht="18.75" customHeight="1" x14ac:dyDescent="0.4">
      <c r="A2570" s="14" t="s">
        <v>5879</v>
      </c>
      <c r="B2570" s="16" t="str">
        <f>TRIM("もと西淡路第1保育所")</f>
        <v>もと西淡路第1保育所</v>
      </c>
      <c r="C2570" s="14" t="s">
        <v>1526</v>
      </c>
      <c r="D2570" s="14" t="s">
        <v>580</v>
      </c>
      <c r="E2570" s="1">
        <v>1391.73</v>
      </c>
      <c r="F2570" s="2"/>
      <c r="G2570" s="1">
        <v>336.92</v>
      </c>
      <c r="H2570" s="3" t="s">
        <v>7353</v>
      </c>
      <c r="I2570" s="14" t="s">
        <v>5617</v>
      </c>
    </row>
    <row r="2571" spans="1:9" ht="18.75" customHeight="1" x14ac:dyDescent="0.4">
      <c r="A2571" s="14" t="s">
        <v>1816</v>
      </c>
      <c r="B2571" s="16" t="str">
        <f>TRIM("もと淡路老人憩の家")</f>
        <v>もと淡路老人憩の家</v>
      </c>
      <c r="C2571" s="14" t="s">
        <v>1526</v>
      </c>
      <c r="D2571" s="14" t="s">
        <v>580</v>
      </c>
      <c r="E2571" s="1"/>
      <c r="F2571" s="2"/>
      <c r="G2571" s="1">
        <v>101.77</v>
      </c>
      <c r="H2571" s="3"/>
      <c r="I2571" s="14" t="s">
        <v>1654</v>
      </c>
    </row>
    <row r="2572" spans="1:9" ht="18.75" customHeight="1" x14ac:dyDescent="0.4">
      <c r="A2572" s="14" t="s">
        <v>1830</v>
      </c>
      <c r="B2572" s="16" t="str">
        <f>TRIM("東淀川区老人福祉センター")</f>
        <v>東淀川区老人福祉センター</v>
      </c>
      <c r="C2572" s="14" t="s">
        <v>1526</v>
      </c>
      <c r="D2572" s="14" t="s">
        <v>580</v>
      </c>
      <c r="E2572" s="1"/>
      <c r="F2572" s="2"/>
      <c r="G2572" s="1">
        <v>1226.8900000000001</v>
      </c>
      <c r="H2572" s="3"/>
      <c r="I2572" s="14" t="s">
        <v>1654</v>
      </c>
    </row>
    <row r="2573" spans="1:9" ht="18.75" customHeight="1" x14ac:dyDescent="0.4">
      <c r="A2573" s="14" t="s">
        <v>3514</v>
      </c>
      <c r="B2573" s="16" t="str">
        <f>TRIM("淡路４公園")</f>
        <v>淡路４公園</v>
      </c>
      <c r="C2573" s="14" t="s">
        <v>1526</v>
      </c>
      <c r="D2573" s="14" t="s">
        <v>580</v>
      </c>
      <c r="E2573" s="1">
        <v>866.11</v>
      </c>
      <c r="F2573" s="2"/>
      <c r="G2573" s="1"/>
      <c r="H2573" s="3"/>
      <c r="I2573" s="14" t="s">
        <v>2177</v>
      </c>
    </row>
    <row r="2574" spans="1:9" ht="18.75" customHeight="1" x14ac:dyDescent="0.4">
      <c r="A2574" s="14" t="s">
        <v>4528</v>
      </c>
      <c r="B2574" s="16" t="str">
        <f>TRIM("もと淡路福祉会館")</f>
        <v>もと淡路福祉会館</v>
      </c>
      <c r="C2574" s="14" t="s">
        <v>1526</v>
      </c>
      <c r="D2574" s="14" t="s">
        <v>580</v>
      </c>
      <c r="E2574" s="1"/>
      <c r="F2574" s="2"/>
      <c r="G2574" s="1">
        <v>104.48</v>
      </c>
      <c r="H2574" s="3" t="s">
        <v>7353</v>
      </c>
      <c r="I2574" s="14" t="s">
        <v>4503</v>
      </c>
    </row>
    <row r="2575" spans="1:9" ht="18.75" customHeight="1" x14ac:dyDescent="0.4">
      <c r="A2575" s="14" t="s">
        <v>1957</v>
      </c>
      <c r="B2575" s="16" t="str">
        <f>TRIM("特別養護老人ホーム淡路介護老人福祉施設ビハーラ")</f>
        <v>特別養護老人ホーム淡路介護老人福祉施設ビハーラ</v>
      </c>
      <c r="C2575" s="14" t="s">
        <v>1526</v>
      </c>
      <c r="D2575" s="14" t="s">
        <v>179</v>
      </c>
      <c r="E2575" s="1">
        <v>1170.1300000000001</v>
      </c>
      <c r="F2575" s="2"/>
      <c r="G2575" s="1"/>
      <c r="H2575" s="3"/>
      <c r="I2575" s="14" t="s">
        <v>1654</v>
      </c>
    </row>
    <row r="2576" spans="1:9" ht="18.75" customHeight="1" x14ac:dyDescent="0.4">
      <c r="A2576" s="14" t="s">
        <v>3031</v>
      </c>
      <c r="B2576" s="16" t="str">
        <f>TRIM("　淡路公園")</f>
        <v>淡路公園</v>
      </c>
      <c r="C2576" s="14" t="s">
        <v>1526</v>
      </c>
      <c r="D2576" s="14" t="s">
        <v>179</v>
      </c>
      <c r="E2576" s="1">
        <v>2267.7600000000002</v>
      </c>
      <c r="F2576" s="2"/>
      <c r="G2576" s="1"/>
      <c r="H2576" s="3"/>
      <c r="I2576" s="14" t="s">
        <v>2177</v>
      </c>
    </row>
    <row r="2577" spans="1:9" ht="18.75" customHeight="1" x14ac:dyDescent="0.4">
      <c r="A2577" s="14" t="s">
        <v>3613</v>
      </c>
      <c r="B2577" s="16" t="str">
        <f>TRIM("　淡路公園")</f>
        <v>淡路公園</v>
      </c>
      <c r="C2577" s="14" t="s">
        <v>1526</v>
      </c>
      <c r="D2577" s="14" t="s">
        <v>179</v>
      </c>
      <c r="E2577" s="1"/>
      <c r="F2577" s="2"/>
      <c r="G2577" s="1">
        <v>19.2</v>
      </c>
      <c r="H2577" s="3"/>
      <c r="I2577" s="14" t="s">
        <v>2177</v>
      </c>
    </row>
    <row r="2578" spans="1:9" ht="18.75" customHeight="1" x14ac:dyDescent="0.4">
      <c r="A2578" s="14" t="s">
        <v>4527</v>
      </c>
      <c r="B2578" s="16" t="str">
        <f>TRIM("淡路福祉会館")</f>
        <v>淡路福祉会館</v>
      </c>
      <c r="C2578" s="14" t="s">
        <v>1526</v>
      </c>
      <c r="D2578" s="14" t="s">
        <v>179</v>
      </c>
      <c r="E2578" s="1">
        <v>305.58</v>
      </c>
      <c r="F2578" s="2"/>
      <c r="G2578" s="1"/>
      <c r="H2578" s="3"/>
      <c r="I2578" s="14" t="s">
        <v>4503</v>
      </c>
    </row>
    <row r="2579" spans="1:9" ht="18.75" customHeight="1" x14ac:dyDescent="0.4">
      <c r="A2579" s="14" t="s">
        <v>4504</v>
      </c>
      <c r="B2579" s="16" t="str">
        <f>TRIM("東淀川区役所出張所")</f>
        <v>東淀川区役所出張所</v>
      </c>
      <c r="C2579" s="14" t="s">
        <v>1526</v>
      </c>
      <c r="D2579" s="14" t="s">
        <v>1460</v>
      </c>
      <c r="E2579" s="1">
        <v>829.14</v>
      </c>
      <c r="F2579" s="2"/>
      <c r="G2579" s="1">
        <v>1250.52</v>
      </c>
      <c r="H2579" s="3"/>
      <c r="I2579" s="14" t="s">
        <v>4503</v>
      </c>
    </row>
    <row r="2580" spans="1:9" ht="18.75" customHeight="1" x14ac:dyDescent="0.4">
      <c r="A2580" s="14" t="s">
        <v>4506</v>
      </c>
      <c r="B2580" s="16" t="str">
        <f>TRIM("東淀川区保健福祉センター淡路出張所")</f>
        <v>東淀川区保健福祉センター淡路出張所</v>
      </c>
      <c r="C2580" s="14" t="s">
        <v>1526</v>
      </c>
      <c r="D2580" s="14" t="s">
        <v>1460</v>
      </c>
      <c r="E2580" s="1"/>
      <c r="F2580" s="2"/>
      <c r="G2580" s="1">
        <v>501.33</v>
      </c>
      <c r="H2580" s="3"/>
      <c r="I2580" s="14" t="s">
        <v>4503</v>
      </c>
    </row>
    <row r="2581" spans="1:9" ht="18.75" customHeight="1" x14ac:dyDescent="0.4">
      <c r="A2581" s="14" t="s">
        <v>4008</v>
      </c>
      <c r="B2581" s="16" t="str">
        <f>TRIM("井高野抽水所")</f>
        <v>井高野抽水所</v>
      </c>
      <c r="C2581" s="14" t="s">
        <v>1526</v>
      </c>
      <c r="D2581" s="14" t="s">
        <v>367</v>
      </c>
      <c r="E2581" s="1">
        <v>1451.23</v>
      </c>
      <c r="F2581" s="2"/>
      <c r="G2581" s="1">
        <v>1955.14</v>
      </c>
      <c r="H2581" s="3"/>
      <c r="I2581" s="14" t="s">
        <v>2177</v>
      </c>
    </row>
    <row r="2582" spans="1:9" ht="18.75" customHeight="1" x14ac:dyDescent="0.4">
      <c r="A2582" s="14" t="s">
        <v>4715</v>
      </c>
      <c r="B2582" s="16" t="str">
        <f>TRIM("井高野小学校")</f>
        <v>井高野小学校</v>
      </c>
      <c r="C2582" s="14" t="s">
        <v>1526</v>
      </c>
      <c r="D2582" s="14" t="s">
        <v>367</v>
      </c>
      <c r="E2582" s="1">
        <v>14550.19</v>
      </c>
      <c r="F2582" s="2"/>
      <c r="G2582" s="1">
        <v>6822.49</v>
      </c>
      <c r="H2582" s="3"/>
      <c r="I2582" s="14" t="s">
        <v>4689</v>
      </c>
    </row>
    <row r="2583" spans="1:9" ht="18.75" customHeight="1" x14ac:dyDescent="0.4">
      <c r="A2583" s="14" t="s">
        <v>6279</v>
      </c>
      <c r="B2583" s="16" t="str">
        <f>TRIM("井高野住宅")</f>
        <v>井高野住宅</v>
      </c>
      <c r="C2583" s="14" t="s">
        <v>1526</v>
      </c>
      <c r="D2583" s="14" t="s">
        <v>367</v>
      </c>
      <c r="E2583" s="1">
        <v>23005.84</v>
      </c>
      <c r="F2583" s="2"/>
      <c r="G2583" s="1">
        <v>43864.7</v>
      </c>
      <c r="H2583" s="3"/>
      <c r="I2583" s="14" t="s">
        <v>6177</v>
      </c>
    </row>
    <row r="2584" spans="1:9" ht="18.75" customHeight="1" x14ac:dyDescent="0.4">
      <c r="A2584" s="14" t="s">
        <v>6280</v>
      </c>
      <c r="B2584" s="16" t="str">
        <f>TRIM("井高野第2住宅")</f>
        <v>井高野第2住宅</v>
      </c>
      <c r="C2584" s="14" t="s">
        <v>1526</v>
      </c>
      <c r="D2584" s="14" t="s">
        <v>367</v>
      </c>
      <c r="E2584" s="1">
        <v>9773.61</v>
      </c>
      <c r="F2584" s="2"/>
      <c r="G2584" s="1">
        <v>10441.1</v>
      </c>
      <c r="H2584" s="3"/>
      <c r="I2584" s="14" t="s">
        <v>6177</v>
      </c>
    </row>
    <row r="2585" spans="1:9" ht="18.75" customHeight="1" x14ac:dyDescent="0.4">
      <c r="A2585" s="14" t="s">
        <v>1852</v>
      </c>
      <c r="B2585" s="16" t="str">
        <f>TRIM("井高野地域在宅サービスステーション")</f>
        <v>井高野地域在宅サービスステーション</v>
      </c>
      <c r="C2585" s="14" t="s">
        <v>1526</v>
      </c>
      <c r="D2585" s="14" t="s">
        <v>367</v>
      </c>
      <c r="E2585" s="1">
        <v>433.96</v>
      </c>
      <c r="F2585" s="2"/>
      <c r="G2585" s="1"/>
      <c r="H2585" s="3"/>
      <c r="I2585" s="14" t="s">
        <v>1654</v>
      </c>
    </row>
    <row r="2586" spans="1:9" ht="18.75" customHeight="1" x14ac:dyDescent="0.4">
      <c r="A2586" s="14" t="s">
        <v>2564</v>
      </c>
      <c r="B2586" s="16" t="str">
        <f>TRIM("　井高野南公園")</f>
        <v>井高野南公園</v>
      </c>
      <c r="C2586" s="14" t="s">
        <v>1526</v>
      </c>
      <c r="D2586" s="14" t="s">
        <v>367</v>
      </c>
      <c r="E2586" s="1">
        <v>5378.66</v>
      </c>
      <c r="F2586" s="2"/>
      <c r="G2586" s="1"/>
      <c r="H2586" s="3"/>
      <c r="I2586" s="14" t="s">
        <v>2177</v>
      </c>
    </row>
    <row r="2587" spans="1:9" ht="18.75" customHeight="1" x14ac:dyDescent="0.4">
      <c r="A2587" s="14" t="s">
        <v>6176</v>
      </c>
      <c r="B2587" s="16" t="str">
        <f>TRIM("もと井高野住宅")</f>
        <v>もと井高野住宅</v>
      </c>
      <c r="C2587" s="14" t="s">
        <v>1526</v>
      </c>
      <c r="D2587" s="14" t="s">
        <v>367</v>
      </c>
      <c r="E2587" s="1">
        <v>3.97</v>
      </c>
      <c r="F2587" s="2"/>
      <c r="G2587" s="1"/>
      <c r="H2587" s="3"/>
      <c r="I2587" s="14" t="s">
        <v>6177</v>
      </c>
    </row>
    <row r="2588" spans="1:9" ht="18.75" customHeight="1" x14ac:dyDescent="0.4">
      <c r="A2588" s="14" t="s">
        <v>4716</v>
      </c>
      <c r="B2588" s="16" t="str">
        <f>TRIM("井高野中学校")</f>
        <v>井高野中学校</v>
      </c>
      <c r="C2588" s="14" t="s">
        <v>1526</v>
      </c>
      <c r="D2588" s="14" t="s">
        <v>715</v>
      </c>
      <c r="E2588" s="1">
        <v>19054.82</v>
      </c>
      <c r="F2588" s="2"/>
      <c r="G2588" s="1">
        <v>6887.98</v>
      </c>
      <c r="H2588" s="3"/>
      <c r="I2588" s="14" t="s">
        <v>4689</v>
      </c>
    </row>
    <row r="2589" spans="1:9" ht="18.75" customHeight="1" x14ac:dyDescent="0.4">
      <c r="A2589" s="14" t="s">
        <v>5015</v>
      </c>
      <c r="B2589" s="16" t="str">
        <f>TRIM("東井高野小学校")</f>
        <v>東井高野小学校</v>
      </c>
      <c r="C2589" s="14" t="s">
        <v>1526</v>
      </c>
      <c r="D2589" s="14" t="s">
        <v>715</v>
      </c>
      <c r="E2589" s="1">
        <v>12250.48</v>
      </c>
      <c r="F2589" s="2"/>
      <c r="G2589" s="1">
        <v>6086.87</v>
      </c>
      <c r="H2589" s="3"/>
      <c r="I2589" s="14" t="s">
        <v>4689</v>
      </c>
    </row>
    <row r="2590" spans="1:9" ht="18.75" customHeight="1" x14ac:dyDescent="0.4">
      <c r="A2590" s="14" t="s">
        <v>6283</v>
      </c>
      <c r="B2590" s="16" t="str">
        <f>TRIM("井高野第5住宅")</f>
        <v>井高野第5住宅</v>
      </c>
      <c r="C2590" s="14" t="s">
        <v>1526</v>
      </c>
      <c r="D2590" s="14" t="s">
        <v>715</v>
      </c>
      <c r="E2590" s="1">
        <v>37679.980000000003</v>
      </c>
      <c r="F2590" s="2"/>
      <c r="G2590" s="1">
        <v>31173.23</v>
      </c>
      <c r="H2590" s="3"/>
      <c r="I2590" s="14" t="s">
        <v>6177</v>
      </c>
    </row>
    <row r="2591" spans="1:9" ht="18.75" customHeight="1" x14ac:dyDescent="0.4">
      <c r="A2591" s="14" t="s">
        <v>1825</v>
      </c>
      <c r="B2591" s="16" t="str">
        <f>TRIM("東井高野地域憩の家")</f>
        <v>東井高野地域憩の家</v>
      </c>
      <c r="C2591" s="14" t="s">
        <v>1526</v>
      </c>
      <c r="D2591" s="14" t="s">
        <v>458</v>
      </c>
      <c r="E2591" s="1">
        <v>240</v>
      </c>
      <c r="F2591" s="2"/>
      <c r="G2591" s="1">
        <v>132.5</v>
      </c>
      <c r="H2591" s="3"/>
      <c r="I2591" s="14" t="s">
        <v>1654</v>
      </c>
    </row>
    <row r="2592" spans="1:9" ht="18.75" customHeight="1" x14ac:dyDescent="0.4">
      <c r="A2592" s="14" t="s">
        <v>6715</v>
      </c>
      <c r="B2592" s="16" t="str">
        <f>TRIM("井高野第6住宅")</f>
        <v>井高野第6住宅</v>
      </c>
      <c r="C2592" s="14" t="s">
        <v>1526</v>
      </c>
      <c r="D2592" s="14" t="s">
        <v>458</v>
      </c>
      <c r="E2592" s="1">
        <v>82924.28</v>
      </c>
      <c r="F2592" s="2"/>
      <c r="G2592" s="1">
        <v>81609.259999999995</v>
      </c>
      <c r="H2592" s="3"/>
      <c r="I2592" s="14" t="s">
        <v>6177</v>
      </c>
    </row>
    <row r="2593" spans="1:9" ht="18.75" customHeight="1" x14ac:dyDescent="0.4">
      <c r="A2593" s="14" t="s">
        <v>2563</v>
      </c>
      <c r="B2593" s="16" t="str">
        <f>TRIM("　井高野公園")</f>
        <v>井高野公園</v>
      </c>
      <c r="C2593" s="14" t="s">
        <v>1526</v>
      </c>
      <c r="D2593" s="14" t="s">
        <v>458</v>
      </c>
      <c r="E2593" s="1">
        <v>11945.7</v>
      </c>
      <c r="F2593" s="2"/>
      <c r="G2593" s="1"/>
      <c r="H2593" s="3"/>
      <c r="I2593" s="14" t="s">
        <v>2177</v>
      </c>
    </row>
    <row r="2594" spans="1:9" ht="18.75" customHeight="1" x14ac:dyDescent="0.4">
      <c r="A2594" s="14" t="s">
        <v>3531</v>
      </c>
      <c r="B2594" s="16" t="str">
        <f>TRIM("　井高野公園")</f>
        <v>井高野公園</v>
      </c>
      <c r="C2594" s="14" t="s">
        <v>1526</v>
      </c>
      <c r="D2594" s="14" t="s">
        <v>458</v>
      </c>
      <c r="E2594" s="1"/>
      <c r="F2594" s="2"/>
      <c r="G2594" s="1">
        <v>19.2</v>
      </c>
      <c r="H2594" s="3"/>
      <c r="I2594" s="14" t="s">
        <v>2177</v>
      </c>
    </row>
    <row r="2595" spans="1:9" ht="18.75" customHeight="1" x14ac:dyDescent="0.4">
      <c r="A2595" s="14" t="s">
        <v>6787</v>
      </c>
      <c r="B2595" s="16" t="str">
        <f>TRIM("もと井高野第３住宅")</f>
        <v>もと井高野第３住宅</v>
      </c>
      <c r="C2595" s="14" t="s">
        <v>1526</v>
      </c>
      <c r="D2595" s="14" t="s">
        <v>458</v>
      </c>
      <c r="E2595" s="1"/>
      <c r="F2595" s="2"/>
      <c r="G2595" s="1">
        <v>11320.96</v>
      </c>
      <c r="H2595" s="3"/>
      <c r="I2595" s="14" t="s">
        <v>6177</v>
      </c>
    </row>
    <row r="2596" spans="1:9" ht="18.75" customHeight="1" x14ac:dyDescent="0.4">
      <c r="A2596" s="14" t="s">
        <v>6281</v>
      </c>
      <c r="B2596" s="16" t="str">
        <f>TRIM("井高野第3住宅")</f>
        <v>井高野第3住宅</v>
      </c>
      <c r="C2596" s="14" t="s">
        <v>1526</v>
      </c>
      <c r="D2596" s="14" t="s">
        <v>714</v>
      </c>
      <c r="E2596" s="1">
        <v>15606.46</v>
      </c>
      <c r="F2596" s="2"/>
      <c r="G2596" s="1">
        <v>8609.4500000000007</v>
      </c>
      <c r="H2596" s="3"/>
      <c r="I2596" s="14" t="s">
        <v>6177</v>
      </c>
    </row>
    <row r="2597" spans="1:9" ht="18.75" customHeight="1" x14ac:dyDescent="0.4">
      <c r="A2597" s="14" t="s">
        <v>6282</v>
      </c>
      <c r="B2597" s="16" t="str">
        <f>TRIM("井高野第4住宅")</f>
        <v>井高野第4住宅</v>
      </c>
      <c r="C2597" s="14" t="s">
        <v>1526</v>
      </c>
      <c r="D2597" s="14" t="s">
        <v>714</v>
      </c>
      <c r="E2597" s="1">
        <v>11150.4</v>
      </c>
      <c r="F2597" s="2"/>
      <c r="G2597" s="1">
        <v>17660.61</v>
      </c>
      <c r="H2597" s="3"/>
      <c r="I2597" s="14" t="s">
        <v>6177</v>
      </c>
    </row>
    <row r="2598" spans="1:9" ht="18.75" customHeight="1" x14ac:dyDescent="0.4">
      <c r="A2598" s="14" t="s">
        <v>5463</v>
      </c>
      <c r="B2598" s="16" t="str">
        <f>TRIM("過小地（用悪水路）")</f>
        <v>過小地（用悪水路）</v>
      </c>
      <c r="C2598" s="14" t="s">
        <v>1526</v>
      </c>
      <c r="D2598" s="14" t="s">
        <v>206</v>
      </c>
      <c r="E2598" s="1">
        <v>11684.19</v>
      </c>
      <c r="F2598" s="2"/>
      <c r="G2598" s="1"/>
      <c r="H2598" s="3"/>
      <c r="I2598" s="14" t="s">
        <v>5349</v>
      </c>
    </row>
    <row r="2599" spans="1:9" ht="18.75" customHeight="1" x14ac:dyDescent="0.4">
      <c r="A2599" s="14" t="s">
        <v>2996</v>
      </c>
      <c r="B2599" s="16" t="str">
        <f>TRIM("　大門公園")</f>
        <v>大門公園</v>
      </c>
      <c r="C2599" s="14" t="s">
        <v>1526</v>
      </c>
      <c r="D2599" s="14" t="s">
        <v>1135</v>
      </c>
      <c r="E2599" s="1">
        <v>1348.7</v>
      </c>
      <c r="F2599" s="2"/>
      <c r="G2599" s="1"/>
      <c r="H2599" s="3"/>
      <c r="I2599" s="14" t="s">
        <v>2177</v>
      </c>
    </row>
    <row r="2600" spans="1:9" ht="18.75" customHeight="1" x14ac:dyDescent="0.4">
      <c r="A2600" s="14" t="s">
        <v>4933</v>
      </c>
      <c r="B2600" s="16" t="str">
        <f>TRIM("大隅西小学校")</f>
        <v>大隅西小学校</v>
      </c>
      <c r="C2600" s="14" t="s">
        <v>1526</v>
      </c>
      <c r="D2600" s="14" t="s">
        <v>1409</v>
      </c>
      <c r="E2600" s="1">
        <v>6689.06</v>
      </c>
      <c r="F2600" s="2"/>
      <c r="G2600" s="1">
        <v>5630.99</v>
      </c>
      <c r="H2600" s="3"/>
      <c r="I2600" s="14" t="s">
        <v>4689</v>
      </c>
    </row>
    <row r="2601" spans="1:9" ht="18.75" customHeight="1" x14ac:dyDescent="0.4">
      <c r="A2601" s="14" t="s">
        <v>6038</v>
      </c>
      <c r="B2601" s="16" t="str">
        <f>TRIM("東北環境事業センター")</f>
        <v>東北環境事業センター</v>
      </c>
      <c r="C2601" s="14" t="s">
        <v>1526</v>
      </c>
      <c r="D2601" s="14" t="s">
        <v>672</v>
      </c>
      <c r="E2601" s="1">
        <v>8809.85</v>
      </c>
      <c r="F2601" s="2"/>
      <c r="G2601" s="1">
        <v>5903.17</v>
      </c>
      <c r="H2601" s="3"/>
      <c r="I2601" s="14" t="s">
        <v>5977</v>
      </c>
    </row>
    <row r="2602" spans="1:9" ht="18.75" customHeight="1" x14ac:dyDescent="0.4">
      <c r="A2602" s="14" t="s">
        <v>4512</v>
      </c>
      <c r="B2602" s="16" t="str">
        <f>TRIM("新庄会館")</f>
        <v>新庄会館</v>
      </c>
      <c r="C2602" s="14" t="s">
        <v>1526</v>
      </c>
      <c r="D2602" s="14" t="s">
        <v>249</v>
      </c>
      <c r="E2602" s="1">
        <v>181.85</v>
      </c>
      <c r="F2602" s="2"/>
      <c r="G2602" s="1">
        <v>155.72</v>
      </c>
      <c r="H2602" s="3"/>
      <c r="I2602" s="14" t="s">
        <v>4503</v>
      </c>
    </row>
    <row r="2603" spans="1:9" ht="18.75" customHeight="1" x14ac:dyDescent="0.4">
      <c r="A2603" s="14" t="s">
        <v>4874</v>
      </c>
      <c r="B2603" s="16" t="str">
        <f>TRIM("新庄小学校")</f>
        <v>新庄小学校</v>
      </c>
      <c r="C2603" s="14" t="s">
        <v>1526</v>
      </c>
      <c r="D2603" s="14" t="s">
        <v>249</v>
      </c>
      <c r="E2603" s="1">
        <v>8482.49</v>
      </c>
      <c r="F2603" s="2"/>
      <c r="G2603" s="1">
        <v>5392.37</v>
      </c>
      <c r="H2603" s="3"/>
      <c r="I2603" s="14" t="s">
        <v>4689</v>
      </c>
    </row>
    <row r="2604" spans="1:9" ht="18.75" customHeight="1" x14ac:dyDescent="0.4">
      <c r="A2604" s="14" t="s">
        <v>6424</v>
      </c>
      <c r="B2604" s="16" t="str">
        <f>TRIM("上新庄住宅")</f>
        <v>上新庄住宅</v>
      </c>
      <c r="C2604" s="14" t="s">
        <v>1526</v>
      </c>
      <c r="D2604" s="14" t="s">
        <v>249</v>
      </c>
      <c r="E2604" s="1">
        <v>10206.09</v>
      </c>
      <c r="F2604" s="2"/>
      <c r="G2604" s="1">
        <v>3047.3</v>
      </c>
      <c r="H2604" s="3"/>
      <c r="I2604" s="14" t="s">
        <v>6177</v>
      </c>
    </row>
    <row r="2605" spans="1:9" ht="18.75" customHeight="1" x14ac:dyDescent="0.4">
      <c r="A2605" s="14" t="s">
        <v>1796</v>
      </c>
      <c r="B2605" s="16" t="str">
        <f>TRIM("新庄社福会館老人憩の家")</f>
        <v>新庄社福会館老人憩の家</v>
      </c>
      <c r="C2605" s="14" t="s">
        <v>1526</v>
      </c>
      <c r="D2605" s="14" t="s">
        <v>249</v>
      </c>
      <c r="E2605" s="1">
        <v>203.08</v>
      </c>
      <c r="F2605" s="2"/>
      <c r="G2605" s="1"/>
      <c r="H2605" s="3"/>
      <c r="I2605" s="14" t="s">
        <v>1654</v>
      </c>
    </row>
    <row r="2606" spans="1:9" ht="18.75" customHeight="1" x14ac:dyDescent="0.4">
      <c r="A2606" s="14" t="s">
        <v>2848</v>
      </c>
      <c r="B2606" s="16" t="str">
        <f>TRIM("　新庄公園")</f>
        <v>新庄公園</v>
      </c>
      <c r="C2606" s="14" t="s">
        <v>1526</v>
      </c>
      <c r="D2606" s="14" t="s">
        <v>249</v>
      </c>
      <c r="E2606" s="1">
        <v>887.65</v>
      </c>
      <c r="F2606" s="2"/>
      <c r="G2606" s="1"/>
      <c r="H2606" s="3"/>
      <c r="I2606" s="14" t="s">
        <v>2177</v>
      </c>
    </row>
    <row r="2607" spans="1:9" ht="18.75" customHeight="1" x14ac:dyDescent="0.4">
      <c r="A2607" s="14" t="s">
        <v>3844</v>
      </c>
      <c r="B2607" s="16" t="str">
        <f>TRIM("上新庄駅自転車駐車場管理ボックス2")</f>
        <v>上新庄駅自転車駐車場管理ボックス2</v>
      </c>
      <c r="C2607" s="14" t="s">
        <v>1526</v>
      </c>
      <c r="D2607" s="14" t="s">
        <v>249</v>
      </c>
      <c r="E2607" s="1"/>
      <c r="F2607" s="2"/>
      <c r="G2607" s="1">
        <v>12.2</v>
      </c>
      <c r="H2607" s="3"/>
      <c r="I2607" s="14" t="s">
        <v>2177</v>
      </c>
    </row>
    <row r="2608" spans="1:9" ht="18.75" customHeight="1" x14ac:dyDescent="0.4">
      <c r="A2608" s="14" t="s">
        <v>5525</v>
      </c>
      <c r="B2608" s="16" t="str">
        <f>TRIM("東淀川署上新庄交番")</f>
        <v>東淀川署上新庄交番</v>
      </c>
      <c r="C2608" s="14" t="s">
        <v>1526</v>
      </c>
      <c r="D2608" s="14" t="s">
        <v>249</v>
      </c>
      <c r="E2608" s="1">
        <v>66.11</v>
      </c>
      <c r="F2608" s="2"/>
      <c r="G2608" s="1"/>
      <c r="H2608" s="3"/>
      <c r="I2608" s="14" t="s">
        <v>5349</v>
      </c>
    </row>
    <row r="2609" spans="1:9" ht="18.75" customHeight="1" x14ac:dyDescent="0.4">
      <c r="A2609" s="14" t="s">
        <v>5738</v>
      </c>
      <c r="B2609" s="16" t="str">
        <f>TRIM("上新庄保育園")</f>
        <v>上新庄保育園</v>
      </c>
      <c r="C2609" s="14" t="s">
        <v>1526</v>
      </c>
      <c r="D2609" s="14" t="s">
        <v>249</v>
      </c>
      <c r="E2609" s="1">
        <v>1427.15</v>
      </c>
      <c r="F2609" s="2"/>
      <c r="G2609" s="1"/>
      <c r="H2609" s="3"/>
      <c r="I2609" s="14" t="s">
        <v>5617</v>
      </c>
    </row>
    <row r="2610" spans="1:9" ht="18.75" customHeight="1" x14ac:dyDescent="0.4">
      <c r="A2610" s="14" t="s">
        <v>5832</v>
      </c>
      <c r="B2610" s="16" t="str">
        <f>TRIM("もと上新庄保育園")</f>
        <v>もと上新庄保育園</v>
      </c>
      <c r="C2610" s="14" t="s">
        <v>1526</v>
      </c>
      <c r="D2610" s="14" t="s">
        <v>249</v>
      </c>
      <c r="E2610" s="1">
        <v>763.81</v>
      </c>
      <c r="F2610" s="2"/>
      <c r="G2610" s="1"/>
      <c r="H2610" s="3"/>
      <c r="I2610" s="14" t="s">
        <v>5617</v>
      </c>
    </row>
    <row r="2611" spans="1:9" ht="18.75" customHeight="1" x14ac:dyDescent="0.4">
      <c r="A2611" s="14" t="s">
        <v>6781</v>
      </c>
      <c r="B2611" s="16" t="str">
        <f>TRIM("上新庄第1住宅")</f>
        <v>上新庄第1住宅</v>
      </c>
      <c r="C2611" s="14" t="s">
        <v>1526</v>
      </c>
      <c r="D2611" s="14" t="s">
        <v>249</v>
      </c>
      <c r="E2611" s="1"/>
      <c r="F2611" s="2"/>
      <c r="G2611" s="1">
        <v>2441.94</v>
      </c>
      <c r="H2611" s="3"/>
      <c r="I2611" s="14" t="s">
        <v>6177</v>
      </c>
    </row>
    <row r="2612" spans="1:9" ht="18.75" customHeight="1" x14ac:dyDescent="0.4">
      <c r="A2612" s="14" t="s">
        <v>6129</v>
      </c>
      <c r="B2612" s="16" t="str">
        <f>TRIM("上新庄霊園")</f>
        <v>上新庄霊園</v>
      </c>
      <c r="C2612" s="14" t="s">
        <v>1526</v>
      </c>
      <c r="D2612" s="14" t="s">
        <v>644</v>
      </c>
      <c r="E2612" s="1">
        <v>919</v>
      </c>
      <c r="F2612" s="2"/>
      <c r="G2612" s="1"/>
      <c r="H2612" s="3"/>
      <c r="I2612" s="14" t="s">
        <v>5977</v>
      </c>
    </row>
    <row r="2613" spans="1:9" ht="18.75" customHeight="1" x14ac:dyDescent="0.4">
      <c r="A2613" s="14" t="s">
        <v>5292</v>
      </c>
      <c r="B2613" s="16" t="str">
        <f>TRIM("東淀川消防署井高野出張所")</f>
        <v>東淀川消防署井高野出張所</v>
      </c>
      <c r="C2613" s="14" t="s">
        <v>1526</v>
      </c>
      <c r="D2613" s="14" t="s">
        <v>865</v>
      </c>
      <c r="E2613" s="1">
        <v>1213.21</v>
      </c>
      <c r="F2613" s="2"/>
      <c r="G2613" s="1">
        <v>387.81</v>
      </c>
      <c r="H2613" s="3"/>
      <c r="I2613" s="14" t="s">
        <v>5219</v>
      </c>
    </row>
    <row r="2614" spans="1:9" ht="18.75" customHeight="1" x14ac:dyDescent="0.4">
      <c r="A2614" s="14" t="s">
        <v>6760</v>
      </c>
      <c r="B2614" s="16" t="str">
        <f>TRIM("北江口第3住宅")</f>
        <v>北江口第3住宅</v>
      </c>
      <c r="C2614" s="14" t="s">
        <v>1526</v>
      </c>
      <c r="D2614" s="14" t="s">
        <v>865</v>
      </c>
      <c r="E2614" s="1">
        <v>9573.67</v>
      </c>
      <c r="F2614" s="2"/>
      <c r="G2614" s="1">
        <v>11006.15</v>
      </c>
      <c r="H2614" s="3"/>
      <c r="I2614" s="14" t="s">
        <v>6177</v>
      </c>
    </row>
    <row r="2615" spans="1:9" ht="18.75" customHeight="1" x14ac:dyDescent="0.4">
      <c r="A2615" s="14" t="s">
        <v>3998</v>
      </c>
      <c r="B2615" s="16" t="str">
        <f>TRIM("もと下水道用地（東淀川）")</f>
        <v>もと下水道用地（東淀川）</v>
      </c>
      <c r="C2615" s="14" t="s">
        <v>1526</v>
      </c>
      <c r="D2615" s="14" t="s">
        <v>865</v>
      </c>
      <c r="E2615" s="1">
        <v>1.31</v>
      </c>
      <c r="F2615" s="2"/>
      <c r="G2615" s="1"/>
      <c r="H2615" s="3"/>
      <c r="I2615" s="14" t="s">
        <v>2177</v>
      </c>
    </row>
    <row r="2616" spans="1:9" ht="18.75" customHeight="1" x14ac:dyDescent="0.4">
      <c r="A2616" s="14" t="s">
        <v>4507</v>
      </c>
      <c r="B2616" s="16" t="str">
        <f>TRIM("井高野福祉会館")</f>
        <v>井高野福祉会館</v>
      </c>
      <c r="C2616" s="14" t="s">
        <v>1526</v>
      </c>
      <c r="D2616" s="14" t="s">
        <v>123</v>
      </c>
      <c r="E2616" s="1">
        <v>308.92</v>
      </c>
      <c r="F2616" s="2"/>
      <c r="G2616" s="1">
        <v>100.98</v>
      </c>
      <c r="H2616" s="3"/>
      <c r="I2616" s="14" t="s">
        <v>4503</v>
      </c>
    </row>
    <row r="2617" spans="1:9" ht="18.75" customHeight="1" x14ac:dyDescent="0.4">
      <c r="A2617" s="14" t="s">
        <v>1780</v>
      </c>
      <c r="B2617" s="16" t="str">
        <f>TRIM("井高野福祉会館老人憩の家")</f>
        <v>井高野福祉会館老人憩の家</v>
      </c>
      <c r="C2617" s="14" t="s">
        <v>1526</v>
      </c>
      <c r="D2617" s="14" t="s">
        <v>123</v>
      </c>
      <c r="E2617" s="1"/>
      <c r="F2617" s="2"/>
      <c r="G2617" s="1">
        <v>107.33</v>
      </c>
      <c r="H2617" s="3"/>
      <c r="I2617" s="14" t="s">
        <v>1654</v>
      </c>
    </row>
    <row r="2618" spans="1:9" ht="18.75" customHeight="1" x14ac:dyDescent="0.4">
      <c r="A2618" s="14" t="s">
        <v>3295</v>
      </c>
      <c r="B2618" s="16" t="str">
        <f>TRIM("　北江口公園")</f>
        <v>北江口公園</v>
      </c>
      <c r="C2618" s="14" t="s">
        <v>1526</v>
      </c>
      <c r="D2618" s="14" t="s">
        <v>123</v>
      </c>
      <c r="E2618" s="1">
        <v>2396.37</v>
      </c>
      <c r="F2618" s="2"/>
      <c r="G2618" s="1"/>
      <c r="H2618" s="3"/>
      <c r="I2618" s="14" t="s">
        <v>2177</v>
      </c>
    </row>
    <row r="2619" spans="1:9" ht="18.75" customHeight="1" x14ac:dyDescent="0.4">
      <c r="A2619" s="14" t="s">
        <v>3296</v>
      </c>
      <c r="B2619" s="16" t="str">
        <f>TRIM("　北江口中央公園")</f>
        <v>北江口中央公園</v>
      </c>
      <c r="C2619" s="14" t="s">
        <v>1526</v>
      </c>
      <c r="D2619" s="14" t="s">
        <v>123</v>
      </c>
      <c r="E2619" s="1">
        <v>12305.69</v>
      </c>
      <c r="F2619" s="2"/>
      <c r="G2619" s="1"/>
      <c r="H2619" s="3"/>
      <c r="I2619" s="14" t="s">
        <v>2177</v>
      </c>
    </row>
    <row r="2620" spans="1:9" ht="18.75" customHeight="1" x14ac:dyDescent="0.4">
      <c r="A2620" s="14" t="s">
        <v>3675</v>
      </c>
      <c r="B2620" s="16" t="str">
        <f>TRIM("　北江口中央公園")</f>
        <v>北江口中央公園</v>
      </c>
      <c r="C2620" s="14" t="s">
        <v>1526</v>
      </c>
      <c r="D2620" s="14" t="s">
        <v>123</v>
      </c>
      <c r="E2620" s="1"/>
      <c r="F2620" s="2"/>
      <c r="G2620" s="1">
        <v>27.43</v>
      </c>
      <c r="H2620" s="3"/>
      <c r="I2620" s="14" t="s">
        <v>2177</v>
      </c>
    </row>
    <row r="2621" spans="1:9" ht="18.75" customHeight="1" x14ac:dyDescent="0.4">
      <c r="A2621" s="14" t="s">
        <v>5358</v>
      </c>
      <c r="B2621" s="16" t="str">
        <f>TRIM("その他の土地（東淀川）")</f>
        <v>その他の土地（東淀川）</v>
      </c>
      <c r="C2621" s="14" t="s">
        <v>1526</v>
      </c>
      <c r="D2621" s="14" t="s">
        <v>123</v>
      </c>
      <c r="E2621" s="1">
        <v>1351.66</v>
      </c>
      <c r="F2621" s="2"/>
      <c r="G2621" s="1"/>
      <c r="H2621" s="3"/>
      <c r="I2621" s="14" t="s">
        <v>5349</v>
      </c>
    </row>
    <row r="2622" spans="1:9" ht="18.75" customHeight="1" x14ac:dyDescent="0.4">
      <c r="A2622" s="14" t="s">
        <v>5436</v>
      </c>
      <c r="B2622" s="16" t="str">
        <f>TRIM("もと北江口ＬＣ1住宅（コミュニティ用地等）")</f>
        <v>もと北江口ＬＣ1住宅（コミュニティ用地等）</v>
      </c>
      <c r="C2622" s="14" t="s">
        <v>1526</v>
      </c>
      <c r="D2622" s="14" t="s">
        <v>123</v>
      </c>
      <c r="E2622" s="1">
        <v>643.52</v>
      </c>
      <c r="F2622" s="2"/>
      <c r="G2622" s="1"/>
      <c r="H2622" s="3"/>
      <c r="I2622" s="14" t="s">
        <v>5349</v>
      </c>
    </row>
    <row r="2623" spans="1:9" ht="18.75" customHeight="1" x14ac:dyDescent="0.4">
      <c r="A2623" s="14" t="s">
        <v>6656</v>
      </c>
      <c r="B2623" s="16" t="str">
        <f>TRIM("北江口第2住宅")</f>
        <v>北江口第2住宅</v>
      </c>
      <c r="C2623" s="14" t="s">
        <v>1526</v>
      </c>
      <c r="D2623" s="14" t="s">
        <v>704</v>
      </c>
      <c r="E2623" s="1">
        <v>95701.119999999995</v>
      </c>
      <c r="F2623" s="2" t="s">
        <v>7339</v>
      </c>
      <c r="G2623" s="1">
        <v>96112.3</v>
      </c>
      <c r="H2623" s="3"/>
      <c r="I2623" s="14" t="s">
        <v>6177</v>
      </c>
    </row>
    <row r="2624" spans="1:9" ht="18.75" customHeight="1" x14ac:dyDescent="0.4">
      <c r="A2624" s="14" t="s">
        <v>6655</v>
      </c>
      <c r="B2624" s="16" t="str">
        <f>TRIM("北江口住宅")</f>
        <v>北江口住宅</v>
      </c>
      <c r="C2624" s="14" t="s">
        <v>1526</v>
      </c>
      <c r="D2624" s="14" t="s">
        <v>704</v>
      </c>
      <c r="E2624" s="1">
        <v>1555.53</v>
      </c>
      <c r="F2624" s="2"/>
      <c r="G2624" s="1">
        <v>11288.73</v>
      </c>
      <c r="H2624" s="3"/>
      <c r="I2624" s="14" t="s">
        <v>6177</v>
      </c>
    </row>
    <row r="2625" spans="1:9" ht="18.75" customHeight="1" x14ac:dyDescent="0.4">
      <c r="A2625" s="14" t="s">
        <v>4508</v>
      </c>
      <c r="B2625" s="16" t="str">
        <f>TRIM("井高野連合町会集会所")</f>
        <v>井高野連合町会集会所</v>
      </c>
      <c r="C2625" s="14" t="s">
        <v>1526</v>
      </c>
      <c r="D2625" s="14" t="s">
        <v>704</v>
      </c>
      <c r="E2625" s="1">
        <v>109.55</v>
      </c>
      <c r="F2625" s="2"/>
      <c r="G2625" s="1"/>
      <c r="H2625" s="3"/>
      <c r="I2625" s="14" t="s">
        <v>4503</v>
      </c>
    </row>
    <row r="2626" spans="1:9" ht="18.75" customHeight="1" x14ac:dyDescent="0.4">
      <c r="A2626" s="14" t="s">
        <v>6221</v>
      </c>
      <c r="B2626" s="16" t="str">
        <f>TRIM("北江口宅地造成事業用地")</f>
        <v>北江口宅地造成事業用地</v>
      </c>
      <c r="C2626" s="14" t="s">
        <v>1526</v>
      </c>
      <c r="D2626" s="14" t="s">
        <v>704</v>
      </c>
      <c r="E2626" s="1">
        <v>18669.66</v>
      </c>
      <c r="F2626" s="2"/>
      <c r="G2626" s="1"/>
      <c r="H2626" s="3"/>
      <c r="I2626" s="14" t="s">
        <v>6177</v>
      </c>
    </row>
    <row r="2627" spans="1:9" ht="18.75" customHeight="1" x14ac:dyDescent="0.4">
      <c r="A2627" s="14" t="s">
        <v>3297</v>
      </c>
      <c r="B2627" s="16" t="str">
        <f>TRIM("　北江口町開発公園")</f>
        <v>北江口町開発公園</v>
      </c>
      <c r="C2627" s="14" t="s">
        <v>1526</v>
      </c>
      <c r="D2627" s="14" t="s">
        <v>1240</v>
      </c>
      <c r="E2627" s="1">
        <v>137.85</v>
      </c>
      <c r="F2627" s="2"/>
      <c r="G2627" s="1"/>
      <c r="H2627" s="3"/>
      <c r="I2627" s="14" t="s">
        <v>2177</v>
      </c>
    </row>
    <row r="2628" spans="1:9" ht="18.75" customHeight="1" x14ac:dyDescent="0.4">
      <c r="A2628" s="14" t="s">
        <v>3965</v>
      </c>
      <c r="B2628" s="16" t="str">
        <f>TRIM("井高野駅自転車駐車場")</f>
        <v>井高野駅自転車駐車場</v>
      </c>
      <c r="C2628" s="14" t="s">
        <v>1526</v>
      </c>
      <c r="D2628" s="14" t="s">
        <v>1240</v>
      </c>
      <c r="E2628" s="1"/>
      <c r="F2628" s="2"/>
      <c r="G2628" s="1">
        <v>519.52</v>
      </c>
      <c r="H2628" s="3"/>
      <c r="I2628" s="14" t="s">
        <v>2177</v>
      </c>
    </row>
    <row r="2629" spans="1:9" ht="18.75" customHeight="1" x14ac:dyDescent="0.4">
      <c r="A2629" s="14" t="s">
        <v>3862</v>
      </c>
      <c r="B2629" s="16" t="str">
        <f>TRIM("崇禅寺駅自転車駐車場管理事務所")</f>
        <v>崇禅寺駅自転車駐車場管理事務所</v>
      </c>
      <c r="C2629" s="14" t="s">
        <v>1526</v>
      </c>
      <c r="D2629" s="14" t="s">
        <v>887</v>
      </c>
      <c r="E2629" s="1"/>
      <c r="F2629" s="2"/>
      <c r="G2629" s="1">
        <v>3.86</v>
      </c>
      <c r="H2629" s="3"/>
      <c r="I2629" s="14" t="s">
        <v>2177</v>
      </c>
    </row>
    <row r="2630" spans="1:9" ht="18.75" customHeight="1" x14ac:dyDescent="0.4">
      <c r="A2630" s="14" t="s">
        <v>6847</v>
      </c>
      <c r="B2630" s="16" t="str">
        <f>TRIM("区画整理事業用地（新大阪駅）")</f>
        <v>区画整理事業用地（新大阪駅）</v>
      </c>
      <c r="C2630" s="14" t="s">
        <v>1526</v>
      </c>
      <c r="D2630" s="14" t="s">
        <v>887</v>
      </c>
      <c r="E2630" s="1">
        <v>915.2</v>
      </c>
      <c r="F2630" s="2"/>
      <c r="G2630" s="1"/>
      <c r="H2630" s="3"/>
      <c r="I2630" s="14" t="s">
        <v>6177</v>
      </c>
    </row>
    <row r="2631" spans="1:9" ht="18.75" customHeight="1" x14ac:dyDescent="0.4">
      <c r="A2631" s="14" t="s">
        <v>6860</v>
      </c>
      <c r="B2631" s="16" t="str">
        <f>TRIM("道路")</f>
        <v>道路</v>
      </c>
      <c r="C2631" s="14" t="s">
        <v>1526</v>
      </c>
      <c r="D2631" s="14" t="s">
        <v>887</v>
      </c>
      <c r="E2631" s="1">
        <v>460.07</v>
      </c>
      <c r="F2631" s="2"/>
      <c r="G2631" s="1"/>
      <c r="H2631" s="3"/>
      <c r="I2631" s="14" t="s">
        <v>6177</v>
      </c>
    </row>
    <row r="2632" spans="1:9" ht="18.75" customHeight="1" x14ac:dyDescent="0.4">
      <c r="A2632" s="14" t="s">
        <v>4842</v>
      </c>
      <c r="B2632" s="16" t="str">
        <f>TRIM("柴島中学校")</f>
        <v>柴島中学校</v>
      </c>
      <c r="C2632" s="14" t="s">
        <v>1526</v>
      </c>
      <c r="D2632" s="14" t="s">
        <v>291</v>
      </c>
      <c r="E2632" s="1">
        <v>11616.5</v>
      </c>
      <c r="F2632" s="2"/>
      <c r="G2632" s="1">
        <v>7412.92</v>
      </c>
      <c r="H2632" s="3"/>
      <c r="I2632" s="14" t="s">
        <v>4689</v>
      </c>
    </row>
    <row r="2633" spans="1:9" ht="18.75" customHeight="1" x14ac:dyDescent="0.4">
      <c r="A2633" s="14" t="s">
        <v>6014</v>
      </c>
      <c r="B2633" s="16" t="str">
        <f>TRIM("共同利用施設（柴島センター）")</f>
        <v>共同利用施設（柴島センター）</v>
      </c>
      <c r="C2633" s="14" t="s">
        <v>1526</v>
      </c>
      <c r="D2633" s="14" t="s">
        <v>291</v>
      </c>
      <c r="E2633" s="1">
        <v>260.74</v>
      </c>
      <c r="F2633" s="2"/>
      <c r="G2633" s="1">
        <v>324.3</v>
      </c>
      <c r="H2633" s="3"/>
      <c r="I2633" s="14" t="s">
        <v>5977</v>
      </c>
    </row>
    <row r="2634" spans="1:9" ht="18.75" customHeight="1" x14ac:dyDescent="0.4">
      <c r="A2634" s="14" t="s">
        <v>2187</v>
      </c>
      <c r="B2634" s="16" t="str">
        <f>TRIM("大阪都市計画事業　阪急電鉄京都線・千里線連続立体交差事業用地")</f>
        <v>大阪都市計画事業　阪急電鉄京都線・千里線連続立体交差事業用地</v>
      </c>
      <c r="C2634" s="14" t="s">
        <v>1526</v>
      </c>
      <c r="D2634" s="14" t="s">
        <v>291</v>
      </c>
      <c r="E2634" s="1">
        <v>1700.54</v>
      </c>
      <c r="F2634" s="2"/>
      <c r="G2634" s="1"/>
      <c r="H2634" s="3"/>
      <c r="I2634" s="14" t="s">
        <v>2177</v>
      </c>
    </row>
    <row r="2635" spans="1:9" ht="18.75" customHeight="1" x14ac:dyDescent="0.4">
      <c r="A2635" s="14" t="s">
        <v>2207</v>
      </c>
      <c r="B2635" s="16" t="str">
        <f>TRIM("熊野大阪線（東淀川）（管財課）")</f>
        <v>熊野大阪線（東淀川）（管財課）</v>
      </c>
      <c r="C2635" s="14" t="s">
        <v>1526</v>
      </c>
      <c r="D2635" s="14" t="s">
        <v>291</v>
      </c>
      <c r="E2635" s="1">
        <v>541.64</v>
      </c>
      <c r="F2635" s="2"/>
      <c r="G2635" s="1"/>
      <c r="H2635" s="3"/>
      <c r="I2635" s="14" t="s">
        <v>2177</v>
      </c>
    </row>
    <row r="2636" spans="1:9" ht="18.75" customHeight="1" x14ac:dyDescent="0.4">
      <c r="A2636" s="14" t="s">
        <v>2776</v>
      </c>
      <c r="B2636" s="16" t="str">
        <f>TRIM("　柴島東公園")</f>
        <v>柴島東公園</v>
      </c>
      <c r="C2636" s="14" t="s">
        <v>1526</v>
      </c>
      <c r="D2636" s="14" t="s">
        <v>291</v>
      </c>
      <c r="E2636" s="1">
        <v>661.15</v>
      </c>
      <c r="F2636" s="2"/>
      <c r="G2636" s="1"/>
      <c r="H2636" s="3"/>
      <c r="I2636" s="14" t="s">
        <v>2177</v>
      </c>
    </row>
    <row r="2637" spans="1:9" ht="18.75" customHeight="1" x14ac:dyDescent="0.4">
      <c r="A2637" s="14" t="s">
        <v>5583</v>
      </c>
      <c r="B2637" s="16" t="str">
        <f>TRIM("もと東淀川署柴島町警ら連絡所")</f>
        <v>もと東淀川署柴島町警ら連絡所</v>
      </c>
      <c r="C2637" s="14" t="s">
        <v>1526</v>
      </c>
      <c r="D2637" s="14" t="s">
        <v>291</v>
      </c>
      <c r="E2637" s="1">
        <v>42.97</v>
      </c>
      <c r="F2637" s="2"/>
      <c r="G2637" s="1"/>
      <c r="H2637" s="3"/>
      <c r="I2637" s="14" t="s">
        <v>5349</v>
      </c>
    </row>
    <row r="2638" spans="1:9" ht="18.75" customHeight="1" x14ac:dyDescent="0.4">
      <c r="A2638" s="14" t="s">
        <v>5293</v>
      </c>
      <c r="B2638" s="16" t="str">
        <f>TRIM("東淀川消防署柴島出張所")</f>
        <v>東淀川消防署柴島出張所</v>
      </c>
      <c r="C2638" s="14" t="s">
        <v>1526</v>
      </c>
      <c r="D2638" s="14" t="s">
        <v>1070</v>
      </c>
      <c r="E2638" s="1">
        <v>198.34</v>
      </c>
      <c r="F2638" s="2"/>
      <c r="G2638" s="1">
        <v>450.24</v>
      </c>
      <c r="H2638" s="3"/>
      <c r="I2638" s="14" t="s">
        <v>5219</v>
      </c>
    </row>
    <row r="2639" spans="1:9" ht="18.75" customHeight="1" x14ac:dyDescent="0.4">
      <c r="A2639" s="14" t="s">
        <v>2775</v>
      </c>
      <c r="B2639" s="16" t="str">
        <f>TRIM("　柴島西公園")</f>
        <v>柴島西公園</v>
      </c>
      <c r="C2639" s="14" t="s">
        <v>1526</v>
      </c>
      <c r="D2639" s="14" t="s">
        <v>1070</v>
      </c>
      <c r="E2639" s="1">
        <v>661.19</v>
      </c>
      <c r="F2639" s="2"/>
      <c r="G2639" s="1"/>
      <c r="H2639" s="3"/>
      <c r="I2639" s="14" t="s">
        <v>2177</v>
      </c>
    </row>
    <row r="2640" spans="1:9" ht="18.75" customHeight="1" x14ac:dyDescent="0.4">
      <c r="A2640" s="14" t="s">
        <v>1884</v>
      </c>
      <c r="B2640" s="16" t="str">
        <f>TRIM("瑞光地域在宅サービスステーション")</f>
        <v>瑞光地域在宅サービスステーション</v>
      </c>
      <c r="C2640" s="14" t="s">
        <v>1526</v>
      </c>
      <c r="D2640" s="14" t="s">
        <v>387</v>
      </c>
      <c r="E2640" s="1">
        <v>452.05</v>
      </c>
      <c r="F2640" s="2"/>
      <c r="G2640" s="1"/>
      <c r="H2640" s="3"/>
      <c r="I2640" s="14" t="s">
        <v>1654</v>
      </c>
    </row>
    <row r="2641" spans="1:9" ht="18.75" customHeight="1" x14ac:dyDescent="0.4">
      <c r="A2641" s="14" t="s">
        <v>3845</v>
      </c>
      <c r="B2641" s="16" t="str">
        <f>TRIM("上新庄駅自転車駐車場管理ボックス3")</f>
        <v>上新庄駅自転車駐車場管理ボックス3</v>
      </c>
      <c r="C2641" s="14" t="s">
        <v>1526</v>
      </c>
      <c r="D2641" s="14" t="s">
        <v>387</v>
      </c>
      <c r="E2641" s="1"/>
      <c r="F2641" s="2"/>
      <c r="G2641" s="1">
        <v>1.44</v>
      </c>
      <c r="H2641" s="3"/>
      <c r="I2641" s="14" t="s">
        <v>2177</v>
      </c>
    </row>
    <row r="2642" spans="1:9" ht="18.75" customHeight="1" x14ac:dyDescent="0.4">
      <c r="A2642" s="14" t="s">
        <v>2800</v>
      </c>
      <c r="B2642" s="16" t="str">
        <f>TRIM("　小松公園")</f>
        <v>小松公園</v>
      </c>
      <c r="C2642" s="14" t="s">
        <v>1526</v>
      </c>
      <c r="D2642" s="14" t="s">
        <v>1078</v>
      </c>
      <c r="E2642" s="1">
        <v>1914.04</v>
      </c>
      <c r="F2642" s="2"/>
      <c r="G2642" s="1"/>
      <c r="H2642" s="3"/>
      <c r="I2642" s="14" t="s">
        <v>2177</v>
      </c>
    </row>
    <row r="2643" spans="1:9" ht="18.75" customHeight="1" x14ac:dyDescent="0.4">
      <c r="A2643" s="14" t="s">
        <v>4857</v>
      </c>
      <c r="B2643" s="16" t="str">
        <f>TRIM("小松小学校")</f>
        <v>小松小学校</v>
      </c>
      <c r="C2643" s="14" t="s">
        <v>1526</v>
      </c>
      <c r="D2643" s="14" t="s">
        <v>1371</v>
      </c>
      <c r="E2643" s="1">
        <v>9489.6200000000008</v>
      </c>
      <c r="F2643" s="2"/>
      <c r="G2643" s="1">
        <v>9586.2099999999991</v>
      </c>
      <c r="H2643" s="3"/>
      <c r="I2643" s="14" t="s">
        <v>4689</v>
      </c>
    </row>
    <row r="2644" spans="1:9" ht="18.75" customHeight="1" x14ac:dyDescent="0.4">
      <c r="A2644" s="14" t="s">
        <v>5294</v>
      </c>
      <c r="B2644" s="16" t="str">
        <f>TRIM("東淀川消防署小松出張所")</f>
        <v>東淀川消防署小松出張所</v>
      </c>
      <c r="C2644" s="14" t="s">
        <v>1526</v>
      </c>
      <c r="D2644" s="14" t="s">
        <v>1371</v>
      </c>
      <c r="E2644" s="1">
        <v>330.57</v>
      </c>
      <c r="F2644" s="2"/>
      <c r="G2644" s="1">
        <v>666.65</v>
      </c>
      <c r="H2644" s="3"/>
      <c r="I2644" s="14" t="s">
        <v>5219</v>
      </c>
    </row>
    <row r="2645" spans="1:9" ht="18.75" customHeight="1" x14ac:dyDescent="0.4">
      <c r="A2645" s="14" t="s">
        <v>2808</v>
      </c>
      <c r="B2645" s="16" t="str">
        <f>TRIM("　松山公園")</f>
        <v>松山公園</v>
      </c>
      <c r="C2645" s="14" t="s">
        <v>1526</v>
      </c>
      <c r="D2645" s="14" t="s">
        <v>858</v>
      </c>
      <c r="E2645" s="1">
        <v>4248.49</v>
      </c>
      <c r="F2645" s="2">
        <v>352</v>
      </c>
      <c r="G2645" s="1"/>
      <c r="H2645" s="3"/>
      <c r="I2645" s="14" t="s">
        <v>2177</v>
      </c>
    </row>
    <row r="2646" spans="1:9" ht="18.75" customHeight="1" x14ac:dyDescent="0.4">
      <c r="A2646" s="14" t="s">
        <v>6731</v>
      </c>
      <c r="B2646" s="16" t="str">
        <f>TRIM("小松住宅")</f>
        <v>小松住宅</v>
      </c>
      <c r="C2646" s="14" t="s">
        <v>1526</v>
      </c>
      <c r="D2646" s="14" t="s">
        <v>858</v>
      </c>
      <c r="E2646" s="1">
        <v>13823.18</v>
      </c>
      <c r="F2646" s="2"/>
      <c r="G2646" s="1">
        <v>11769.89</v>
      </c>
      <c r="H2646" s="3"/>
      <c r="I2646" s="14" t="s">
        <v>6177</v>
      </c>
    </row>
    <row r="2647" spans="1:9" ht="18.75" customHeight="1" x14ac:dyDescent="0.4">
      <c r="A2647" s="14" t="s">
        <v>6252</v>
      </c>
      <c r="B2647" s="16" t="str">
        <f>TRIM("もと小松南住宅")</f>
        <v>もと小松南住宅</v>
      </c>
      <c r="C2647" s="14" t="s">
        <v>1526</v>
      </c>
      <c r="D2647" s="14" t="s">
        <v>611</v>
      </c>
      <c r="E2647" s="1">
        <v>490</v>
      </c>
      <c r="F2647" s="2" t="s">
        <v>7303</v>
      </c>
      <c r="G2647" s="1"/>
      <c r="H2647" s="3"/>
      <c r="I2647" s="14" t="s">
        <v>6177</v>
      </c>
    </row>
    <row r="2648" spans="1:9" ht="18.75" customHeight="1" x14ac:dyDescent="0.4">
      <c r="A2648" s="14" t="s">
        <v>4893</v>
      </c>
      <c r="B2648" s="16" t="str">
        <f>TRIM("瑞光中学校")</f>
        <v>瑞光中学校</v>
      </c>
      <c r="C2648" s="14" t="s">
        <v>1526</v>
      </c>
      <c r="D2648" s="14" t="s">
        <v>611</v>
      </c>
      <c r="E2648" s="1">
        <v>10855.63</v>
      </c>
      <c r="F2648" s="2"/>
      <c r="G2648" s="1">
        <v>9163.67</v>
      </c>
      <c r="H2648" s="3"/>
      <c r="I2648" s="14" t="s">
        <v>4689</v>
      </c>
    </row>
    <row r="2649" spans="1:9" ht="18.75" customHeight="1" x14ac:dyDescent="0.4">
      <c r="A2649" s="14" t="s">
        <v>6418</v>
      </c>
      <c r="B2649" s="16" t="str">
        <f>TRIM("小松南住宅")</f>
        <v>小松南住宅</v>
      </c>
      <c r="C2649" s="14" t="s">
        <v>1526</v>
      </c>
      <c r="D2649" s="14" t="s">
        <v>611</v>
      </c>
      <c r="E2649" s="1">
        <v>11007.27</v>
      </c>
      <c r="F2649" s="2"/>
      <c r="G2649" s="1">
        <v>5842.85</v>
      </c>
      <c r="H2649" s="3"/>
      <c r="I2649" s="14" t="s">
        <v>6177</v>
      </c>
    </row>
    <row r="2650" spans="1:9" ht="18.75" customHeight="1" x14ac:dyDescent="0.4">
      <c r="A2650" s="14" t="s">
        <v>5313</v>
      </c>
      <c r="B2650" s="16" t="str">
        <f>TRIM("防火水槽用地（東淀川）")</f>
        <v>防火水槽用地（東淀川）</v>
      </c>
      <c r="C2650" s="14" t="s">
        <v>1526</v>
      </c>
      <c r="D2650" s="14" t="s">
        <v>611</v>
      </c>
      <c r="E2650" s="1">
        <v>98</v>
      </c>
      <c r="F2650" s="2"/>
      <c r="G2650" s="1"/>
      <c r="H2650" s="3"/>
      <c r="I2650" s="14" t="s">
        <v>5219</v>
      </c>
    </row>
    <row r="2651" spans="1:9" ht="18.75" customHeight="1" x14ac:dyDescent="0.4">
      <c r="A2651" s="14" t="s">
        <v>5953</v>
      </c>
      <c r="B2651" s="16" t="str">
        <f>TRIM("南江口保育所")</f>
        <v>南江口保育所</v>
      </c>
      <c r="C2651" s="14" t="s">
        <v>1526</v>
      </c>
      <c r="D2651" s="14" t="s">
        <v>611</v>
      </c>
      <c r="E2651" s="1">
        <v>999</v>
      </c>
      <c r="F2651" s="2"/>
      <c r="G2651" s="1"/>
      <c r="H2651" s="3"/>
      <c r="I2651" s="14" t="s">
        <v>5617</v>
      </c>
    </row>
    <row r="2652" spans="1:9" ht="18.75" customHeight="1" x14ac:dyDescent="0.4">
      <c r="A2652" s="14" t="s">
        <v>6142</v>
      </c>
      <c r="B2652" s="16" t="str">
        <f>TRIM("大道霊園")</f>
        <v>大道霊園</v>
      </c>
      <c r="C2652" s="14" t="s">
        <v>1526</v>
      </c>
      <c r="D2652" s="14" t="s">
        <v>611</v>
      </c>
      <c r="E2652" s="1">
        <v>7049.57</v>
      </c>
      <c r="F2652" s="2"/>
      <c r="G2652" s="1"/>
      <c r="H2652" s="3"/>
      <c r="I2652" s="14" t="s">
        <v>5977</v>
      </c>
    </row>
    <row r="2653" spans="1:9" ht="18.75" customHeight="1" x14ac:dyDescent="0.4">
      <c r="A2653" s="14" t="s">
        <v>2592</v>
      </c>
      <c r="B2653" s="16" t="str">
        <f>TRIM("　下新庄1公園")</f>
        <v>下新庄1公園</v>
      </c>
      <c r="C2653" s="14" t="s">
        <v>1526</v>
      </c>
      <c r="D2653" s="14" t="s">
        <v>1011</v>
      </c>
      <c r="E2653" s="1">
        <v>243.45</v>
      </c>
      <c r="F2653" s="2"/>
      <c r="G2653" s="1"/>
      <c r="H2653" s="3"/>
      <c r="I2653" s="14" t="s">
        <v>2177</v>
      </c>
    </row>
    <row r="2654" spans="1:9" ht="18.75" customHeight="1" x14ac:dyDescent="0.4">
      <c r="A2654" s="14" t="s">
        <v>3238</v>
      </c>
      <c r="B2654" s="16" t="str">
        <f>TRIM("　鳩ヶ瀬公園")</f>
        <v>鳩ヶ瀬公園</v>
      </c>
      <c r="C2654" s="14" t="s">
        <v>1526</v>
      </c>
      <c r="D2654" s="14" t="s">
        <v>1011</v>
      </c>
      <c r="E2654" s="1">
        <v>3335.53</v>
      </c>
      <c r="F2654" s="2"/>
      <c r="G2654" s="1"/>
      <c r="H2654" s="3"/>
      <c r="I2654" s="14" t="s">
        <v>2177</v>
      </c>
    </row>
    <row r="2655" spans="1:9" ht="18.75" customHeight="1" x14ac:dyDescent="0.4">
      <c r="A2655" s="14" t="s">
        <v>4519</v>
      </c>
      <c r="B2655" s="16" t="str">
        <f>TRIM("下新庄鳩ケ瀬会館")</f>
        <v>下新庄鳩ケ瀬会館</v>
      </c>
      <c r="C2655" s="14" t="s">
        <v>1526</v>
      </c>
      <c r="D2655" s="14" t="s">
        <v>1011</v>
      </c>
      <c r="E2655" s="1">
        <v>165.34</v>
      </c>
      <c r="F2655" s="2"/>
      <c r="G2655" s="1"/>
      <c r="H2655" s="3"/>
      <c r="I2655" s="14" t="s">
        <v>4503</v>
      </c>
    </row>
    <row r="2656" spans="1:9" ht="18.75" customHeight="1" x14ac:dyDescent="0.4">
      <c r="A2656" s="14" t="s">
        <v>2186</v>
      </c>
      <c r="B2656" s="16" t="str">
        <f>TRIM("大阪都市計画事業　阪急電鉄京都線・千里線連続立体交差事業")</f>
        <v>大阪都市計画事業　阪急電鉄京都線・千里線連続立体交差事業</v>
      </c>
      <c r="C2656" s="14" t="s">
        <v>1526</v>
      </c>
      <c r="D2656" s="14" t="s">
        <v>903</v>
      </c>
      <c r="E2656" s="1">
        <v>1263.17</v>
      </c>
      <c r="F2656" s="2"/>
      <c r="G2656" s="1"/>
      <c r="H2656" s="3"/>
      <c r="I2656" s="14" t="s">
        <v>2177</v>
      </c>
    </row>
    <row r="2657" spans="1:9" ht="18.75" customHeight="1" x14ac:dyDescent="0.4">
      <c r="A2657" s="14" t="s">
        <v>3408</v>
      </c>
      <c r="B2657" s="16" t="str">
        <f>TRIM("下北公園整備事業")</f>
        <v>下北公園整備事業</v>
      </c>
      <c r="C2657" s="14" t="s">
        <v>1526</v>
      </c>
      <c r="D2657" s="14" t="s">
        <v>903</v>
      </c>
      <c r="E2657" s="1">
        <v>455.03</v>
      </c>
      <c r="F2657" s="2"/>
      <c r="G2657" s="1"/>
      <c r="H2657" s="3"/>
      <c r="I2657" s="14" t="s">
        <v>2177</v>
      </c>
    </row>
    <row r="2658" spans="1:9" ht="18.75" customHeight="1" x14ac:dyDescent="0.4">
      <c r="A2658" s="14" t="s">
        <v>2326</v>
      </c>
      <c r="B2658" s="16" t="str">
        <f>TRIM("廃道（東淀川）")</f>
        <v>廃道（東淀川）</v>
      </c>
      <c r="C2658" s="14" t="s">
        <v>1526</v>
      </c>
      <c r="D2658" s="14" t="s">
        <v>269</v>
      </c>
      <c r="E2658" s="1">
        <v>496.23</v>
      </c>
      <c r="F2658" s="2"/>
      <c r="G2658" s="1"/>
      <c r="H2658" s="3"/>
      <c r="I2658" s="14" t="s">
        <v>2177</v>
      </c>
    </row>
    <row r="2659" spans="1:9" ht="18.75" customHeight="1" x14ac:dyDescent="0.4">
      <c r="A2659" s="14" t="s">
        <v>5551</v>
      </c>
      <c r="B2659" s="16" t="str">
        <f>TRIM("廃道（東淀川）")</f>
        <v>廃道（東淀川）</v>
      </c>
      <c r="C2659" s="14" t="s">
        <v>1526</v>
      </c>
      <c r="D2659" s="14" t="s">
        <v>269</v>
      </c>
      <c r="E2659" s="1">
        <v>84.88</v>
      </c>
      <c r="F2659" s="2"/>
      <c r="G2659" s="1"/>
      <c r="H2659" s="3"/>
      <c r="I2659" s="14" t="s">
        <v>5349</v>
      </c>
    </row>
    <row r="2660" spans="1:9" ht="18.75" customHeight="1" x14ac:dyDescent="0.4">
      <c r="A2660" s="14" t="s">
        <v>6306</v>
      </c>
      <c r="B2660" s="16" t="str">
        <f>TRIM("下新庄住宅")</f>
        <v>下新庄住宅</v>
      </c>
      <c r="C2660" s="14" t="s">
        <v>1526</v>
      </c>
      <c r="D2660" s="14" t="s">
        <v>725</v>
      </c>
      <c r="E2660" s="1">
        <v>7437.14</v>
      </c>
      <c r="F2660" s="2"/>
      <c r="G2660" s="1">
        <v>9622.86</v>
      </c>
      <c r="H2660" s="3"/>
      <c r="I2660" s="14" t="s">
        <v>6177</v>
      </c>
    </row>
    <row r="2661" spans="1:9" ht="18.75" customHeight="1" x14ac:dyDescent="0.4">
      <c r="A2661" s="14" t="s">
        <v>6719</v>
      </c>
      <c r="B2661" s="16" t="str">
        <f>TRIM("下新庄第2住宅")</f>
        <v>下新庄第2住宅</v>
      </c>
      <c r="C2661" s="14" t="s">
        <v>1526</v>
      </c>
      <c r="D2661" s="14" t="s">
        <v>725</v>
      </c>
      <c r="E2661" s="1">
        <v>7983.43</v>
      </c>
      <c r="F2661" s="2"/>
      <c r="G2661" s="1">
        <v>5376.29</v>
      </c>
      <c r="H2661" s="3"/>
      <c r="I2661" s="14" t="s">
        <v>6177</v>
      </c>
    </row>
    <row r="2662" spans="1:9" ht="18.75" customHeight="1" x14ac:dyDescent="0.4">
      <c r="A2662" s="14" t="s">
        <v>6720</v>
      </c>
      <c r="B2662" s="16" t="str">
        <f>TRIM("下新庄4丁目住宅")</f>
        <v>下新庄4丁目住宅</v>
      </c>
      <c r="C2662" s="14" t="s">
        <v>1526</v>
      </c>
      <c r="D2662" s="14" t="s">
        <v>725</v>
      </c>
      <c r="E2662" s="1">
        <v>10963.79</v>
      </c>
      <c r="F2662" s="2"/>
      <c r="G2662" s="1">
        <v>16357.91</v>
      </c>
      <c r="H2662" s="3"/>
      <c r="I2662" s="14" t="s">
        <v>6177</v>
      </c>
    </row>
    <row r="2663" spans="1:9" ht="18.75" customHeight="1" x14ac:dyDescent="0.4">
      <c r="A2663" s="14" t="s">
        <v>2595</v>
      </c>
      <c r="B2663" s="16" t="str">
        <f>TRIM("　下新庄北公園")</f>
        <v>下新庄北公園</v>
      </c>
      <c r="C2663" s="14" t="s">
        <v>1526</v>
      </c>
      <c r="D2663" s="14" t="s">
        <v>725</v>
      </c>
      <c r="E2663" s="1">
        <v>4677.68</v>
      </c>
      <c r="F2663" s="2"/>
      <c r="G2663" s="1"/>
      <c r="H2663" s="3"/>
      <c r="I2663" s="14" t="s">
        <v>2177</v>
      </c>
    </row>
    <row r="2664" spans="1:9" ht="18.75" customHeight="1" x14ac:dyDescent="0.4">
      <c r="A2664" s="14" t="s">
        <v>3777</v>
      </c>
      <c r="B2664" s="16" t="str">
        <f>TRIM("下新庄駅自転車駐車場")</f>
        <v>下新庄駅自転車駐車場</v>
      </c>
      <c r="C2664" s="14" t="s">
        <v>1526</v>
      </c>
      <c r="D2664" s="14" t="s">
        <v>725</v>
      </c>
      <c r="E2664" s="1">
        <v>50.34</v>
      </c>
      <c r="F2664" s="2"/>
      <c r="G2664" s="1"/>
      <c r="H2664" s="3"/>
      <c r="I2664" s="14" t="s">
        <v>2177</v>
      </c>
    </row>
    <row r="2665" spans="1:9" ht="18.75" customHeight="1" x14ac:dyDescent="0.4">
      <c r="A2665" s="14" t="s">
        <v>3778</v>
      </c>
      <c r="B2665" s="16" t="str">
        <f>TRIM("下新庄駅自転車駐車場管理事務所")</f>
        <v>下新庄駅自転車駐車場管理事務所</v>
      </c>
      <c r="C2665" s="14" t="s">
        <v>1526</v>
      </c>
      <c r="D2665" s="14" t="s">
        <v>725</v>
      </c>
      <c r="E2665" s="1"/>
      <c r="F2665" s="2"/>
      <c r="G2665" s="1">
        <v>12.96</v>
      </c>
      <c r="H2665" s="3"/>
      <c r="I2665" s="14" t="s">
        <v>2177</v>
      </c>
    </row>
    <row r="2666" spans="1:9" ht="18.75" customHeight="1" x14ac:dyDescent="0.4">
      <c r="A2666" s="14" t="s">
        <v>4740</v>
      </c>
      <c r="B2666" s="16" t="str">
        <f>TRIM("下新庄小学校")</f>
        <v>下新庄小学校</v>
      </c>
      <c r="C2666" s="14" t="s">
        <v>1526</v>
      </c>
      <c r="D2666" s="14" t="s">
        <v>560</v>
      </c>
      <c r="E2666" s="1">
        <v>8446.27</v>
      </c>
      <c r="F2666" s="2"/>
      <c r="G2666" s="1">
        <v>6529.6</v>
      </c>
      <c r="H2666" s="3"/>
      <c r="I2666" s="14" t="s">
        <v>4689</v>
      </c>
    </row>
    <row r="2667" spans="1:9" ht="18.75" customHeight="1" x14ac:dyDescent="0.4">
      <c r="A2667" s="14" t="s">
        <v>5841</v>
      </c>
      <c r="B2667" s="16" t="str">
        <f>TRIM("下新庄保育所")</f>
        <v>下新庄保育所</v>
      </c>
      <c r="C2667" s="14" t="s">
        <v>1526</v>
      </c>
      <c r="D2667" s="14" t="s">
        <v>560</v>
      </c>
      <c r="E2667" s="1">
        <v>1002.52</v>
      </c>
      <c r="F2667" s="2"/>
      <c r="G2667" s="1">
        <v>478.36</v>
      </c>
      <c r="H2667" s="3"/>
      <c r="I2667" s="14" t="s">
        <v>5617</v>
      </c>
    </row>
    <row r="2668" spans="1:9" ht="18.75" customHeight="1" x14ac:dyDescent="0.4">
      <c r="A2668" s="14" t="s">
        <v>1783</v>
      </c>
      <c r="B2668" s="16" t="str">
        <f>TRIM("下新庄老人憩の家")</f>
        <v>下新庄老人憩の家</v>
      </c>
      <c r="C2668" s="14" t="s">
        <v>1526</v>
      </c>
      <c r="D2668" s="14" t="s">
        <v>560</v>
      </c>
      <c r="E2668" s="1"/>
      <c r="F2668" s="2"/>
      <c r="G2668" s="1">
        <v>112.63</v>
      </c>
      <c r="H2668" s="3"/>
      <c r="I2668" s="14" t="s">
        <v>1654</v>
      </c>
    </row>
    <row r="2669" spans="1:9" ht="18.75" customHeight="1" x14ac:dyDescent="0.4">
      <c r="A2669" s="14" t="s">
        <v>2593</v>
      </c>
      <c r="B2669" s="16" t="str">
        <f>TRIM("　下新庄公園")</f>
        <v>下新庄公園</v>
      </c>
      <c r="C2669" s="14" t="s">
        <v>1526</v>
      </c>
      <c r="D2669" s="14" t="s">
        <v>560</v>
      </c>
      <c r="E2669" s="1">
        <v>2996</v>
      </c>
      <c r="F2669" s="2"/>
      <c r="G2669" s="1"/>
      <c r="H2669" s="3"/>
      <c r="I2669" s="14" t="s">
        <v>2177</v>
      </c>
    </row>
    <row r="2670" spans="1:9" ht="18.75" customHeight="1" x14ac:dyDescent="0.4">
      <c r="A2670" s="14" t="s">
        <v>2594</v>
      </c>
      <c r="B2670" s="16" t="str">
        <f>TRIM("　下新庄小公園")</f>
        <v>下新庄小公園</v>
      </c>
      <c r="C2670" s="14" t="s">
        <v>1526</v>
      </c>
      <c r="D2670" s="14" t="s">
        <v>560</v>
      </c>
      <c r="E2670" s="1">
        <v>330</v>
      </c>
      <c r="F2670" s="2"/>
      <c r="G2670" s="1"/>
      <c r="H2670" s="3"/>
      <c r="I2670" s="14" t="s">
        <v>2177</v>
      </c>
    </row>
    <row r="2671" spans="1:9" ht="18.75" customHeight="1" x14ac:dyDescent="0.4">
      <c r="A2671" s="14" t="s">
        <v>4510</v>
      </c>
      <c r="B2671" s="16" t="str">
        <f>TRIM("下新庄福祉会館")</f>
        <v>下新庄福祉会館</v>
      </c>
      <c r="C2671" s="14" t="s">
        <v>1526</v>
      </c>
      <c r="D2671" s="14" t="s">
        <v>560</v>
      </c>
      <c r="E2671" s="1">
        <v>150.49</v>
      </c>
      <c r="F2671" s="2"/>
      <c r="G2671" s="1"/>
      <c r="H2671" s="3"/>
      <c r="I2671" s="14" t="s">
        <v>4503</v>
      </c>
    </row>
    <row r="2672" spans="1:9" ht="18.75" customHeight="1" x14ac:dyDescent="0.4">
      <c r="A2672" s="14" t="s">
        <v>3842</v>
      </c>
      <c r="B2672" s="16" t="str">
        <f>TRIM("上新庄駅自転車駐車場")</f>
        <v>上新庄駅自転車駐車場</v>
      </c>
      <c r="C2672" s="14" t="s">
        <v>1526</v>
      </c>
      <c r="D2672" s="14" t="s">
        <v>1301</v>
      </c>
      <c r="E2672" s="1">
        <v>184.45</v>
      </c>
      <c r="F2672" s="2"/>
      <c r="G2672" s="1">
        <v>4168.8999999999996</v>
      </c>
      <c r="H2672" s="3"/>
      <c r="I2672" s="14" t="s">
        <v>2177</v>
      </c>
    </row>
    <row r="2673" spans="1:9" ht="18.75" customHeight="1" x14ac:dyDescent="0.4">
      <c r="A2673" s="14" t="s">
        <v>3843</v>
      </c>
      <c r="B2673" s="16" t="str">
        <f>TRIM("上新庄駅自転車駐車場管理ボックス1")</f>
        <v>上新庄駅自転車駐車場管理ボックス1</v>
      </c>
      <c r="C2673" s="14" t="s">
        <v>1526</v>
      </c>
      <c r="D2673" s="14" t="s">
        <v>1301</v>
      </c>
      <c r="E2673" s="1"/>
      <c r="F2673" s="2"/>
      <c r="G2673" s="1">
        <v>1.44</v>
      </c>
      <c r="H2673" s="3"/>
      <c r="I2673" s="14" t="s">
        <v>2177</v>
      </c>
    </row>
    <row r="2674" spans="1:9" ht="18.75" customHeight="1" x14ac:dyDescent="0.4">
      <c r="A2674" s="14" t="s">
        <v>3846</v>
      </c>
      <c r="B2674" s="16" t="str">
        <f>TRIM("上新庄駅自転車駐車場管理事務所")</f>
        <v>上新庄駅自転車駐車場管理事務所</v>
      </c>
      <c r="C2674" s="14" t="s">
        <v>1526</v>
      </c>
      <c r="D2674" s="14" t="s">
        <v>1301</v>
      </c>
      <c r="E2674" s="1"/>
      <c r="F2674" s="2"/>
      <c r="G2674" s="1">
        <v>12</v>
      </c>
      <c r="H2674" s="3"/>
      <c r="I2674" s="14" t="s">
        <v>2177</v>
      </c>
    </row>
    <row r="2675" spans="1:9" ht="18.75" customHeight="1" x14ac:dyDescent="0.4">
      <c r="A2675" s="14" t="s">
        <v>6437</v>
      </c>
      <c r="B2675" s="16" t="str">
        <f>TRIM("瑞光寺住宅")</f>
        <v>瑞光寺住宅</v>
      </c>
      <c r="C2675" s="14" t="s">
        <v>1526</v>
      </c>
      <c r="D2675" s="14" t="s">
        <v>766</v>
      </c>
      <c r="E2675" s="1">
        <v>6878.89</v>
      </c>
      <c r="F2675" s="2"/>
      <c r="G2675" s="1">
        <v>5801.8</v>
      </c>
      <c r="H2675" s="3"/>
      <c r="I2675" s="14" t="s">
        <v>6177</v>
      </c>
    </row>
    <row r="2676" spans="1:9" ht="18.75" customHeight="1" x14ac:dyDescent="0.4">
      <c r="A2676" s="14" t="s">
        <v>2877</v>
      </c>
      <c r="B2676" s="16" t="str">
        <f>TRIM("　瑞光寺公園")</f>
        <v>瑞光寺公園</v>
      </c>
      <c r="C2676" s="14" t="s">
        <v>1526</v>
      </c>
      <c r="D2676" s="14" t="s">
        <v>766</v>
      </c>
      <c r="E2676" s="1">
        <v>10092.530000000001</v>
      </c>
      <c r="F2676" s="2"/>
      <c r="G2676" s="1"/>
      <c r="H2676" s="3"/>
      <c r="I2676" s="14" t="s">
        <v>2177</v>
      </c>
    </row>
    <row r="2677" spans="1:9" ht="18.75" customHeight="1" x14ac:dyDescent="0.4">
      <c r="A2677" s="14" t="s">
        <v>3589</v>
      </c>
      <c r="B2677" s="16" t="str">
        <f>TRIM("　瑞光寺公園")</f>
        <v>瑞光寺公園</v>
      </c>
      <c r="C2677" s="14" t="s">
        <v>1526</v>
      </c>
      <c r="D2677" s="14" t="s">
        <v>766</v>
      </c>
      <c r="E2677" s="1"/>
      <c r="F2677" s="2"/>
      <c r="G2677" s="1">
        <v>227.94</v>
      </c>
      <c r="H2677" s="3"/>
      <c r="I2677" s="14" t="s">
        <v>2177</v>
      </c>
    </row>
    <row r="2678" spans="1:9" ht="18.75" customHeight="1" x14ac:dyDescent="0.4">
      <c r="A2678" s="14" t="s">
        <v>1810</v>
      </c>
      <c r="B2678" s="16" t="str">
        <f>TRIM("大隅西会館（旧大隅西老人憩の家）")</f>
        <v>大隅西会館（旧大隅西老人憩の家）</v>
      </c>
      <c r="C2678" s="14" t="s">
        <v>1526</v>
      </c>
      <c r="D2678" s="14" t="s">
        <v>452</v>
      </c>
      <c r="E2678" s="1">
        <v>1108.19</v>
      </c>
      <c r="F2678" s="2"/>
      <c r="G2678" s="1">
        <v>228.18</v>
      </c>
      <c r="H2678" s="3"/>
      <c r="I2678" s="14" t="s">
        <v>1654</v>
      </c>
    </row>
    <row r="2679" spans="1:9" ht="18.75" customHeight="1" x14ac:dyDescent="0.4">
      <c r="A2679" s="14" t="s">
        <v>2876</v>
      </c>
      <c r="B2679" s="16" t="str">
        <f>TRIM("　瑞光3公園")</f>
        <v>瑞光3公園</v>
      </c>
      <c r="C2679" s="14" t="s">
        <v>1526</v>
      </c>
      <c r="D2679" s="14" t="s">
        <v>452</v>
      </c>
      <c r="E2679" s="1">
        <v>264</v>
      </c>
      <c r="F2679" s="2"/>
      <c r="G2679" s="1"/>
      <c r="H2679" s="3"/>
      <c r="I2679" s="14" t="s">
        <v>2177</v>
      </c>
    </row>
    <row r="2680" spans="1:9" ht="18.75" customHeight="1" x14ac:dyDescent="0.4">
      <c r="A2680" s="14" t="s">
        <v>3968</v>
      </c>
      <c r="B2680" s="16" t="str">
        <f>TRIM("瑞光四丁目駅自転車駐車場  ")</f>
        <v>瑞光四丁目駅自転車駐車場</v>
      </c>
      <c r="C2680" s="14" t="s">
        <v>1526</v>
      </c>
      <c r="D2680" s="14" t="s">
        <v>452</v>
      </c>
      <c r="E2680" s="1"/>
      <c r="F2680" s="2"/>
      <c r="G2680" s="1">
        <v>452.28</v>
      </c>
      <c r="H2680" s="3"/>
      <c r="I2680" s="14" t="s">
        <v>2177</v>
      </c>
    </row>
    <row r="2681" spans="1:9" ht="18.75" customHeight="1" x14ac:dyDescent="0.4">
      <c r="A2681" s="14" t="s">
        <v>6439</v>
      </c>
      <c r="B2681" s="16" t="str">
        <f>TRIM("瑞光第2住宅")</f>
        <v>瑞光第2住宅</v>
      </c>
      <c r="C2681" s="14" t="s">
        <v>1526</v>
      </c>
      <c r="D2681" s="14" t="s">
        <v>768</v>
      </c>
      <c r="E2681" s="1">
        <v>6136.03</v>
      </c>
      <c r="F2681" s="2"/>
      <c r="G2681" s="1">
        <v>3923.04</v>
      </c>
      <c r="H2681" s="3"/>
      <c r="I2681" s="14" t="s">
        <v>6177</v>
      </c>
    </row>
    <row r="2682" spans="1:9" ht="18.75" customHeight="1" x14ac:dyDescent="0.4">
      <c r="A2682" s="14" t="s">
        <v>2530</v>
      </c>
      <c r="B2682" s="16" t="str">
        <f>TRIM("　　瑞光4公園")</f>
        <v>瑞光4公園</v>
      </c>
      <c r="C2682" s="14" t="s">
        <v>1526</v>
      </c>
      <c r="D2682" s="14" t="s">
        <v>768</v>
      </c>
      <c r="E2682" s="1">
        <v>979.5</v>
      </c>
      <c r="F2682" s="2"/>
      <c r="G2682" s="1"/>
      <c r="H2682" s="3"/>
      <c r="I2682" s="14" t="s">
        <v>2177</v>
      </c>
    </row>
    <row r="2683" spans="1:9" ht="18.75" customHeight="1" x14ac:dyDescent="0.4">
      <c r="A2683" s="14" t="s">
        <v>4515</v>
      </c>
      <c r="B2683" s="16" t="str">
        <f>TRIM("大隅東会館")</f>
        <v>大隅東会館</v>
      </c>
      <c r="C2683" s="14" t="s">
        <v>1526</v>
      </c>
      <c r="D2683" s="14" t="s">
        <v>768</v>
      </c>
      <c r="E2683" s="1"/>
      <c r="F2683" s="2"/>
      <c r="G2683" s="1">
        <v>110.98</v>
      </c>
      <c r="H2683" s="3"/>
      <c r="I2683" s="14" t="s">
        <v>4503</v>
      </c>
    </row>
    <row r="2684" spans="1:9" ht="18.75" customHeight="1" x14ac:dyDescent="0.4">
      <c r="A2684" s="14" t="s">
        <v>4934</v>
      </c>
      <c r="B2684" s="16" t="str">
        <f>TRIM("大隅東小学校")</f>
        <v>大隅東小学校</v>
      </c>
      <c r="C2684" s="14" t="s">
        <v>1526</v>
      </c>
      <c r="D2684" s="14" t="s">
        <v>767</v>
      </c>
      <c r="E2684" s="1">
        <v>13240.7</v>
      </c>
      <c r="F2684" s="2"/>
      <c r="G2684" s="1">
        <v>6873.21</v>
      </c>
      <c r="H2684" s="3"/>
      <c r="I2684" s="14" t="s">
        <v>4689</v>
      </c>
    </row>
    <row r="2685" spans="1:9" ht="18.75" customHeight="1" x14ac:dyDescent="0.4">
      <c r="A2685" s="14" t="s">
        <v>6438</v>
      </c>
      <c r="B2685" s="16" t="str">
        <f>TRIM("瑞光住宅")</f>
        <v>瑞光住宅</v>
      </c>
      <c r="C2685" s="14" t="s">
        <v>1526</v>
      </c>
      <c r="D2685" s="14" t="s">
        <v>767</v>
      </c>
      <c r="E2685" s="1">
        <v>17424.03</v>
      </c>
      <c r="F2685" s="2"/>
      <c r="G2685" s="1">
        <v>18852.39</v>
      </c>
      <c r="H2685" s="3"/>
      <c r="I2685" s="14" t="s">
        <v>6177</v>
      </c>
    </row>
    <row r="2686" spans="1:9" ht="18.75" customHeight="1" x14ac:dyDescent="0.4">
      <c r="A2686" s="14" t="s">
        <v>3161</v>
      </c>
      <c r="B2686" s="16" t="str">
        <f>TRIM("　東淀川開発3号公園")</f>
        <v>東淀川開発3号公園</v>
      </c>
      <c r="C2686" s="14" t="s">
        <v>1526</v>
      </c>
      <c r="D2686" s="14" t="s">
        <v>767</v>
      </c>
      <c r="E2686" s="1">
        <v>219.41</v>
      </c>
      <c r="F2686" s="2"/>
      <c r="G2686" s="1"/>
      <c r="H2686" s="3"/>
      <c r="I2686" s="14" t="s">
        <v>2177</v>
      </c>
    </row>
    <row r="2687" spans="1:9" ht="18.75" customHeight="1" x14ac:dyDescent="0.4">
      <c r="A2687" s="14" t="s">
        <v>1811</v>
      </c>
      <c r="B2687" s="16" t="str">
        <f>TRIM("大隅東老人憩の家")</f>
        <v>大隅東老人憩の家</v>
      </c>
      <c r="C2687" s="14" t="s">
        <v>1526</v>
      </c>
      <c r="D2687" s="14" t="s">
        <v>453</v>
      </c>
      <c r="E2687" s="1">
        <v>338.93</v>
      </c>
      <c r="F2687" s="2"/>
      <c r="G2687" s="1">
        <v>109.52</v>
      </c>
      <c r="H2687" s="3"/>
      <c r="I2687" s="14" t="s">
        <v>1654</v>
      </c>
    </row>
    <row r="2688" spans="1:9" ht="18.75" customHeight="1" x14ac:dyDescent="0.4">
      <c r="A2688" s="14" t="s">
        <v>2984</v>
      </c>
      <c r="B2688" s="16" t="str">
        <f>TRIM("　大隅東公園")</f>
        <v>大隅東公園</v>
      </c>
      <c r="C2688" s="14" t="s">
        <v>1526</v>
      </c>
      <c r="D2688" s="14" t="s">
        <v>453</v>
      </c>
      <c r="E2688" s="1">
        <v>470.41</v>
      </c>
      <c r="F2688" s="2"/>
      <c r="G2688" s="1"/>
      <c r="H2688" s="3"/>
      <c r="I2688" s="14" t="s">
        <v>2177</v>
      </c>
    </row>
    <row r="2689" spans="1:9" ht="18.75" customHeight="1" x14ac:dyDescent="0.4">
      <c r="A2689" s="14" t="s">
        <v>6738</v>
      </c>
      <c r="B2689" s="16" t="str">
        <f>TRIM("菅原第3住宅")</f>
        <v>菅原第3住宅</v>
      </c>
      <c r="C2689" s="14" t="s">
        <v>1526</v>
      </c>
      <c r="D2689" s="14" t="s">
        <v>860</v>
      </c>
      <c r="E2689" s="1">
        <v>10043.25</v>
      </c>
      <c r="F2689" s="2"/>
      <c r="G2689" s="1">
        <v>8696.7000000000007</v>
      </c>
      <c r="H2689" s="3"/>
      <c r="I2689" s="14" t="s">
        <v>6177</v>
      </c>
    </row>
    <row r="2690" spans="1:9" ht="18.75" customHeight="1" x14ac:dyDescent="0.4">
      <c r="A2690" s="14" t="s">
        <v>2437</v>
      </c>
      <c r="B2690" s="16" t="str">
        <f>TRIM("新庄長柄線（菅原）")</f>
        <v>新庄長柄線（菅原）</v>
      </c>
      <c r="C2690" s="14" t="s">
        <v>1526</v>
      </c>
      <c r="D2690" s="14" t="s">
        <v>860</v>
      </c>
      <c r="E2690" s="1">
        <v>1506.87</v>
      </c>
      <c r="F2690" s="2"/>
      <c r="G2690" s="1"/>
      <c r="H2690" s="3"/>
      <c r="I2690" s="14" t="s">
        <v>2177</v>
      </c>
    </row>
    <row r="2691" spans="1:9" ht="18.75" customHeight="1" x14ac:dyDescent="0.4">
      <c r="A2691" s="14" t="s">
        <v>2882</v>
      </c>
      <c r="B2691" s="16" t="str">
        <f>TRIM("　菅原天満宮公園")</f>
        <v>菅原天満宮公園</v>
      </c>
      <c r="C2691" s="14" t="s">
        <v>1526</v>
      </c>
      <c r="D2691" s="14" t="s">
        <v>1101</v>
      </c>
      <c r="E2691" s="1">
        <v>3342.59</v>
      </c>
      <c r="F2691" s="2"/>
      <c r="G2691" s="1"/>
      <c r="H2691" s="3"/>
      <c r="I2691" s="14" t="s">
        <v>2177</v>
      </c>
    </row>
    <row r="2692" spans="1:9" ht="18.75" customHeight="1" x14ac:dyDescent="0.4">
      <c r="A2692" s="14" t="s">
        <v>4513</v>
      </c>
      <c r="B2692" s="16" t="str">
        <f>TRIM("菅東集会所")</f>
        <v>菅東集会所</v>
      </c>
      <c r="C2692" s="14" t="s">
        <v>1526</v>
      </c>
      <c r="D2692" s="14" t="s">
        <v>1101</v>
      </c>
      <c r="E2692" s="1"/>
      <c r="F2692" s="2"/>
      <c r="G2692" s="1">
        <v>54.65</v>
      </c>
      <c r="H2692" s="3"/>
      <c r="I2692" s="14" t="s">
        <v>4503</v>
      </c>
    </row>
    <row r="2693" spans="1:9" ht="18.75" customHeight="1" x14ac:dyDescent="0.4">
      <c r="A2693" s="14" t="s">
        <v>4524</v>
      </c>
      <c r="B2693" s="16" t="str">
        <f>TRIM("和合会館")</f>
        <v>和合会館</v>
      </c>
      <c r="C2693" s="14" t="s">
        <v>1526</v>
      </c>
      <c r="D2693" s="14" t="s">
        <v>445</v>
      </c>
      <c r="E2693" s="1">
        <v>90.83</v>
      </c>
      <c r="F2693" s="2"/>
      <c r="G2693" s="1">
        <v>85.74</v>
      </c>
      <c r="H2693" s="3"/>
      <c r="I2693" s="14" t="s">
        <v>4503</v>
      </c>
    </row>
    <row r="2694" spans="1:9" ht="18.75" customHeight="1" x14ac:dyDescent="0.4">
      <c r="A2694" s="14" t="s">
        <v>1797</v>
      </c>
      <c r="B2694" s="16" t="str">
        <f>TRIM("菅原老人憩の家")</f>
        <v>菅原老人憩の家</v>
      </c>
      <c r="C2694" s="14" t="s">
        <v>1526</v>
      </c>
      <c r="D2694" s="14" t="s">
        <v>445</v>
      </c>
      <c r="E2694" s="1">
        <v>192.92</v>
      </c>
      <c r="F2694" s="2"/>
      <c r="G2694" s="1"/>
      <c r="H2694" s="3"/>
      <c r="I2694" s="14" t="s">
        <v>1654</v>
      </c>
    </row>
    <row r="2695" spans="1:9" ht="18.75" customHeight="1" x14ac:dyDescent="0.4">
      <c r="A2695" s="14" t="s">
        <v>2880</v>
      </c>
      <c r="B2695" s="16" t="str">
        <f>TRIM("　菅原公園")</f>
        <v>菅原公園</v>
      </c>
      <c r="C2695" s="14" t="s">
        <v>1526</v>
      </c>
      <c r="D2695" s="14" t="s">
        <v>445</v>
      </c>
      <c r="E2695" s="1">
        <v>3679.33</v>
      </c>
      <c r="F2695" s="2"/>
      <c r="G2695" s="1"/>
      <c r="H2695" s="3"/>
      <c r="I2695" s="14" t="s">
        <v>2177</v>
      </c>
    </row>
    <row r="2696" spans="1:9" ht="18.75" customHeight="1" x14ac:dyDescent="0.4">
      <c r="A2696" s="14" t="s">
        <v>3390</v>
      </c>
      <c r="B2696" s="16" t="str">
        <f>TRIM("　和合公園")</f>
        <v>和合公園</v>
      </c>
      <c r="C2696" s="14" t="s">
        <v>1526</v>
      </c>
      <c r="D2696" s="14" t="s">
        <v>445</v>
      </c>
      <c r="E2696" s="1">
        <v>722.03</v>
      </c>
      <c r="F2696" s="2"/>
      <c r="G2696" s="1"/>
      <c r="H2696" s="3"/>
      <c r="I2696" s="14" t="s">
        <v>2177</v>
      </c>
    </row>
    <row r="2697" spans="1:9" ht="18.75" customHeight="1" x14ac:dyDescent="0.4">
      <c r="A2697" s="14" t="s">
        <v>6442</v>
      </c>
      <c r="B2697" s="16" t="str">
        <f>TRIM("菅原第2住宅")</f>
        <v>菅原第2住宅</v>
      </c>
      <c r="C2697" s="14" t="s">
        <v>1526</v>
      </c>
      <c r="D2697" s="14" t="s">
        <v>404</v>
      </c>
      <c r="E2697" s="1">
        <v>8984.1299999999992</v>
      </c>
      <c r="F2697" s="2">
        <v>361</v>
      </c>
      <c r="G2697" s="1">
        <v>9061.15</v>
      </c>
      <c r="H2697" s="3"/>
      <c r="I2697" s="14" t="s">
        <v>6177</v>
      </c>
    </row>
    <row r="2698" spans="1:9" ht="18.75" customHeight="1" x14ac:dyDescent="0.4">
      <c r="A2698" s="14" t="s">
        <v>5291</v>
      </c>
      <c r="B2698" s="16" t="str">
        <f>TRIM("東淀川消防署")</f>
        <v>東淀川消防署</v>
      </c>
      <c r="C2698" s="14" t="s">
        <v>1526</v>
      </c>
      <c r="D2698" s="14" t="s">
        <v>404</v>
      </c>
      <c r="E2698" s="1">
        <v>1390.24</v>
      </c>
      <c r="F2698" s="2"/>
      <c r="G2698" s="1">
        <v>3376.51</v>
      </c>
      <c r="H2698" s="3"/>
      <c r="I2698" s="14" t="s">
        <v>5219</v>
      </c>
    </row>
    <row r="2699" spans="1:9" ht="18.75" customHeight="1" x14ac:dyDescent="0.4">
      <c r="A2699" s="14" t="s">
        <v>5740</v>
      </c>
      <c r="B2699" s="16" t="str">
        <f>TRIM("菅原保育園")</f>
        <v>菅原保育園</v>
      </c>
      <c r="C2699" s="14" t="s">
        <v>1526</v>
      </c>
      <c r="D2699" s="14" t="s">
        <v>404</v>
      </c>
      <c r="E2699" s="1">
        <v>1057.8499999999999</v>
      </c>
      <c r="F2699" s="2"/>
      <c r="G2699" s="1">
        <v>582.39</v>
      </c>
      <c r="H2699" s="3"/>
      <c r="I2699" s="14" t="s">
        <v>5617</v>
      </c>
    </row>
    <row r="2700" spans="1:9" ht="18.75" customHeight="1" x14ac:dyDescent="0.4">
      <c r="A2700" s="14" t="s">
        <v>1913</v>
      </c>
      <c r="B2700" s="16" t="str">
        <f>TRIM("東淀川区在宅サービスセンター")</f>
        <v>東淀川区在宅サービスセンター</v>
      </c>
      <c r="C2700" s="14" t="s">
        <v>1526</v>
      </c>
      <c r="D2700" s="14" t="s">
        <v>404</v>
      </c>
      <c r="E2700" s="1">
        <v>695.94</v>
      </c>
      <c r="F2700" s="2"/>
      <c r="G2700" s="1"/>
      <c r="H2700" s="3"/>
      <c r="I2700" s="14" t="s">
        <v>1654</v>
      </c>
    </row>
    <row r="2701" spans="1:9" ht="18.75" customHeight="1" x14ac:dyDescent="0.4">
      <c r="A2701" s="14" t="s">
        <v>2883</v>
      </c>
      <c r="B2701" s="16" t="str">
        <f>TRIM("　菅原東公園")</f>
        <v>菅原東公園</v>
      </c>
      <c r="C2701" s="14" t="s">
        <v>1526</v>
      </c>
      <c r="D2701" s="14" t="s">
        <v>404</v>
      </c>
      <c r="E2701" s="1">
        <v>1891.91</v>
      </c>
      <c r="F2701" s="2"/>
      <c r="G2701" s="1"/>
      <c r="H2701" s="3"/>
      <c r="I2701" s="14" t="s">
        <v>2177</v>
      </c>
    </row>
    <row r="2702" spans="1:9" ht="18.75" customHeight="1" x14ac:dyDescent="0.4">
      <c r="A2702" s="14" t="s">
        <v>6248</v>
      </c>
      <c r="B2702" s="16" t="str">
        <f>TRIM("もと菅原住宅")</f>
        <v>もと菅原住宅</v>
      </c>
      <c r="C2702" s="14" t="s">
        <v>1526</v>
      </c>
      <c r="D2702" s="14" t="s">
        <v>708</v>
      </c>
      <c r="E2702" s="1">
        <v>906.72</v>
      </c>
      <c r="F2702" s="2">
        <v>362</v>
      </c>
      <c r="G2702" s="1"/>
      <c r="H2702" s="3"/>
      <c r="I2702" s="14" t="s">
        <v>6177</v>
      </c>
    </row>
    <row r="2703" spans="1:9" ht="18.75" customHeight="1" x14ac:dyDescent="0.4">
      <c r="A2703" s="14" t="s">
        <v>4894</v>
      </c>
      <c r="B2703" s="16" t="str">
        <f>TRIM("菅原小学校")</f>
        <v>菅原小学校</v>
      </c>
      <c r="C2703" s="14" t="s">
        <v>1526</v>
      </c>
      <c r="D2703" s="14" t="s">
        <v>708</v>
      </c>
      <c r="E2703" s="1">
        <v>11541.66</v>
      </c>
      <c r="F2703" s="2"/>
      <c r="G2703" s="1">
        <v>6225.35</v>
      </c>
      <c r="H2703" s="3"/>
      <c r="I2703" s="14" t="s">
        <v>4689</v>
      </c>
    </row>
    <row r="2704" spans="1:9" ht="18.75" customHeight="1" x14ac:dyDescent="0.4">
      <c r="A2704" s="14" t="s">
        <v>6441</v>
      </c>
      <c r="B2704" s="16" t="str">
        <f>TRIM("菅原住宅")</f>
        <v>菅原住宅</v>
      </c>
      <c r="C2704" s="14" t="s">
        <v>1526</v>
      </c>
      <c r="D2704" s="14" t="s">
        <v>708</v>
      </c>
      <c r="E2704" s="1">
        <v>3590.87</v>
      </c>
      <c r="F2704" s="2"/>
      <c r="G2704" s="1">
        <v>3394.36</v>
      </c>
      <c r="H2704" s="3"/>
      <c r="I2704" s="14" t="s">
        <v>6177</v>
      </c>
    </row>
    <row r="2705" spans="1:9" ht="18.75" customHeight="1" x14ac:dyDescent="0.4">
      <c r="A2705" s="14" t="s">
        <v>2881</v>
      </c>
      <c r="B2705" s="16" t="str">
        <f>TRIM("　菅原西公園")</f>
        <v>菅原西公園</v>
      </c>
      <c r="C2705" s="14" t="s">
        <v>1526</v>
      </c>
      <c r="D2705" s="14" t="s">
        <v>708</v>
      </c>
      <c r="E2705" s="1">
        <v>770.24</v>
      </c>
      <c r="F2705" s="2"/>
      <c r="G2705" s="1"/>
      <c r="H2705" s="3"/>
      <c r="I2705" s="14" t="s">
        <v>2177</v>
      </c>
    </row>
    <row r="2706" spans="1:9" ht="18.75" customHeight="1" x14ac:dyDescent="0.4">
      <c r="A2706" s="14" t="s">
        <v>4057</v>
      </c>
      <c r="B2706" s="16" t="str">
        <f>TRIM("新庄材料置場")</f>
        <v>新庄材料置場</v>
      </c>
      <c r="C2706" s="14" t="s">
        <v>1526</v>
      </c>
      <c r="D2706" s="14" t="s">
        <v>388</v>
      </c>
      <c r="E2706" s="1">
        <v>782.91</v>
      </c>
      <c r="F2706" s="2"/>
      <c r="G2706" s="1"/>
      <c r="H2706" s="3"/>
      <c r="I2706" s="14" t="s">
        <v>2177</v>
      </c>
    </row>
    <row r="2707" spans="1:9" ht="18.75" customHeight="1" x14ac:dyDescent="0.4">
      <c r="A2707" s="14" t="s">
        <v>1885</v>
      </c>
      <c r="B2707" s="16" t="str">
        <f>TRIM("菅原地域在宅サービスステーション")</f>
        <v>菅原地域在宅サービスステーション</v>
      </c>
      <c r="C2707" s="14" t="s">
        <v>1526</v>
      </c>
      <c r="D2707" s="14" t="s">
        <v>388</v>
      </c>
      <c r="E2707" s="1">
        <v>327.63</v>
      </c>
      <c r="F2707" s="2"/>
      <c r="G2707" s="1"/>
      <c r="H2707" s="3"/>
      <c r="I2707" s="14" t="s">
        <v>1654</v>
      </c>
    </row>
    <row r="2708" spans="1:9" ht="18.75" customHeight="1" x14ac:dyDescent="0.4">
      <c r="A2708" s="14" t="s">
        <v>2884</v>
      </c>
      <c r="B2708" s="16" t="str">
        <f>TRIM("　菅原北公園")</f>
        <v>菅原北公園</v>
      </c>
      <c r="C2708" s="14" t="s">
        <v>1526</v>
      </c>
      <c r="D2708" s="14" t="s">
        <v>388</v>
      </c>
      <c r="E2708" s="1">
        <v>1993.38</v>
      </c>
      <c r="F2708" s="2"/>
      <c r="G2708" s="1"/>
      <c r="H2708" s="3"/>
      <c r="I2708" s="14" t="s">
        <v>2177</v>
      </c>
    </row>
    <row r="2709" spans="1:9" ht="18.75" customHeight="1" x14ac:dyDescent="0.4">
      <c r="A2709" s="14" t="s">
        <v>3590</v>
      </c>
      <c r="B2709" s="16" t="str">
        <f>TRIM("　菅原北公園")</f>
        <v>菅原北公園</v>
      </c>
      <c r="C2709" s="14" t="s">
        <v>1526</v>
      </c>
      <c r="D2709" s="14" t="s">
        <v>388</v>
      </c>
      <c r="E2709" s="1"/>
      <c r="F2709" s="2"/>
      <c r="G2709" s="1">
        <v>32.4</v>
      </c>
      <c r="H2709" s="3"/>
      <c r="I2709" s="14" t="s">
        <v>2177</v>
      </c>
    </row>
    <row r="2710" spans="1:9" ht="18.75" customHeight="1" x14ac:dyDescent="0.4">
      <c r="A2710" s="14" t="s">
        <v>5594</v>
      </c>
      <c r="B2710" s="16" t="str">
        <f>TRIM("だいどう豊里東用地")</f>
        <v>だいどう豊里東用地</v>
      </c>
      <c r="C2710" s="14" t="s">
        <v>1526</v>
      </c>
      <c r="D2710" s="14" t="s">
        <v>298</v>
      </c>
      <c r="E2710" s="1">
        <v>181.52</v>
      </c>
      <c r="F2710" s="2">
        <v>909</v>
      </c>
      <c r="G2710" s="1"/>
      <c r="H2710" s="3"/>
      <c r="I2710" s="14" t="s">
        <v>5349</v>
      </c>
    </row>
    <row r="2711" spans="1:9" ht="18.75" customHeight="1" x14ac:dyDescent="0.4">
      <c r="A2711" s="14" t="s">
        <v>6482</v>
      </c>
      <c r="B2711" s="16" t="str">
        <f>TRIM("大桐住宅")</f>
        <v>大桐住宅</v>
      </c>
      <c r="C2711" s="14" t="s">
        <v>1526</v>
      </c>
      <c r="D2711" s="14" t="s">
        <v>298</v>
      </c>
      <c r="E2711" s="1">
        <v>31445.08</v>
      </c>
      <c r="F2711" s="2"/>
      <c r="G2711" s="1">
        <v>27227.75</v>
      </c>
      <c r="H2711" s="3"/>
      <c r="I2711" s="14" t="s">
        <v>6177</v>
      </c>
    </row>
    <row r="2712" spans="1:9" ht="18.75" customHeight="1" x14ac:dyDescent="0.4">
      <c r="A2712" s="14" t="s">
        <v>1895</v>
      </c>
      <c r="B2712" s="16" t="str">
        <f>TRIM("大桐地域在宅サービスステーション")</f>
        <v>大桐地域在宅サービスステーション</v>
      </c>
      <c r="C2712" s="14" t="s">
        <v>1526</v>
      </c>
      <c r="D2712" s="14" t="s">
        <v>298</v>
      </c>
      <c r="E2712" s="1">
        <v>519.16999999999996</v>
      </c>
      <c r="F2712" s="2"/>
      <c r="G2712" s="1"/>
      <c r="H2712" s="3"/>
      <c r="I2712" s="14" t="s">
        <v>1654</v>
      </c>
    </row>
    <row r="2713" spans="1:9" ht="18.75" customHeight="1" x14ac:dyDescent="0.4">
      <c r="A2713" s="14" t="s">
        <v>3970</v>
      </c>
      <c r="B2713" s="16" t="str">
        <f>TRIM("だいどう豊里駅自転車駐車場  ")</f>
        <v>だいどう豊里駅自転車駐車場</v>
      </c>
      <c r="C2713" s="14" t="s">
        <v>1526</v>
      </c>
      <c r="D2713" s="14" t="s">
        <v>298</v>
      </c>
      <c r="E2713" s="1"/>
      <c r="F2713" s="2"/>
      <c r="G2713" s="1">
        <v>666.09</v>
      </c>
      <c r="H2713" s="3"/>
      <c r="I2713" s="14" t="s">
        <v>2177</v>
      </c>
    </row>
    <row r="2714" spans="1:9" ht="18.75" customHeight="1" x14ac:dyDescent="0.4">
      <c r="A2714" s="14" t="s">
        <v>6458</v>
      </c>
      <c r="B2714" s="16" t="str">
        <f>TRIM("西大道第3住宅")</f>
        <v>西大道第3住宅</v>
      </c>
      <c r="C2714" s="14" t="s">
        <v>1526</v>
      </c>
      <c r="D2714" s="14" t="s">
        <v>773</v>
      </c>
      <c r="E2714" s="1">
        <v>4152.8100000000004</v>
      </c>
      <c r="F2714" s="2"/>
      <c r="G2714" s="1">
        <v>5671.53</v>
      </c>
      <c r="H2714" s="3"/>
      <c r="I2714" s="14" t="s">
        <v>6177</v>
      </c>
    </row>
    <row r="2715" spans="1:9" ht="18.75" customHeight="1" x14ac:dyDescent="0.4">
      <c r="A2715" s="14" t="s">
        <v>2265</v>
      </c>
      <c r="B2715" s="16" t="str">
        <f>TRIM("大阪高槻線（東淀川）（管財課）")</f>
        <v>大阪高槻線（東淀川）（管財課）</v>
      </c>
      <c r="C2715" s="14" t="s">
        <v>1526</v>
      </c>
      <c r="D2715" s="14" t="s">
        <v>773</v>
      </c>
      <c r="E2715" s="1">
        <v>2.4900000000000002</v>
      </c>
      <c r="F2715" s="2"/>
      <c r="G2715" s="1"/>
      <c r="H2715" s="3"/>
      <c r="I2715" s="14" t="s">
        <v>2177</v>
      </c>
    </row>
    <row r="2716" spans="1:9" ht="18.75" customHeight="1" x14ac:dyDescent="0.4">
      <c r="A2716" s="14" t="s">
        <v>2720</v>
      </c>
      <c r="B2716" s="16" t="str">
        <f>TRIM("　今在家公園")</f>
        <v>今在家公園</v>
      </c>
      <c r="C2716" s="14" t="s">
        <v>1526</v>
      </c>
      <c r="D2716" s="14" t="s">
        <v>773</v>
      </c>
      <c r="E2716" s="1">
        <v>2586.0700000000002</v>
      </c>
      <c r="F2716" s="2"/>
      <c r="G2716" s="1"/>
      <c r="H2716" s="3"/>
      <c r="I2716" s="14" t="s">
        <v>2177</v>
      </c>
    </row>
    <row r="2717" spans="1:9" ht="18.75" customHeight="1" x14ac:dyDescent="0.4">
      <c r="A2717" s="14" t="s">
        <v>2755</v>
      </c>
      <c r="B2717" s="16" t="str">
        <f>TRIM("　三宝寺西公園")</f>
        <v>三宝寺西公園</v>
      </c>
      <c r="C2717" s="14" t="s">
        <v>1526</v>
      </c>
      <c r="D2717" s="14" t="s">
        <v>773</v>
      </c>
      <c r="E2717" s="1">
        <v>469.78</v>
      </c>
      <c r="F2717" s="2"/>
      <c r="G2717" s="1"/>
      <c r="H2717" s="3"/>
      <c r="I2717" s="14" t="s">
        <v>2177</v>
      </c>
    </row>
    <row r="2718" spans="1:9" ht="18.75" customHeight="1" x14ac:dyDescent="0.4">
      <c r="A2718" s="14" t="s">
        <v>5878</v>
      </c>
      <c r="B2718" s="16" t="str">
        <f>TRIM("西大道保育所")</f>
        <v>西大道保育所</v>
      </c>
      <c r="C2718" s="14" t="s">
        <v>1526</v>
      </c>
      <c r="D2718" s="14" t="s">
        <v>773</v>
      </c>
      <c r="E2718" s="1"/>
      <c r="F2718" s="2"/>
      <c r="G2718" s="1">
        <v>440.47</v>
      </c>
      <c r="H2718" s="3"/>
      <c r="I2718" s="14" t="s">
        <v>5617</v>
      </c>
    </row>
    <row r="2719" spans="1:9" ht="18.75" customHeight="1" x14ac:dyDescent="0.4">
      <c r="A2719" s="14" t="s">
        <v>1809</v>
      </c>
      <c r="B2719" s="16" t="str">
        <f>TRIM("大桐老人憩の家")</f>
        <v>大桐老人憩の家</v>
      </c>
      <c r="C2719" s="14" t="s">
        <v>1526</v>
      </c>
      <c r="D2719" s="14" t="s">
        <v>451</v>
      </c>
      <c r="E2719" s="1">
        <v>70.739999999999995</v>
      </c>
      <c r="F2719" s="2"/>
      <c r="G2719" s="1">
        <v>81.73</v>
      </c>
      <c r="H2719" s="3"/>
      <c r="I2719" s="14" t="s">
        <v>1654</v>
      </c>
    </row>
    <row r="2720" spans="1:9" ht="18.75" customHeight="1" x14ac:dyDescent="0.4">
      <c r="A2720" s="14" t="s">
        <v>1808</v>
      </c>
      <c r="B2720" s="16" t="str">
        <f>TRIM("大桐地域ウェルフェアセンター老人憩の家")</f>
        <v>大桐地域ウェルフェアセンター老人憩の家</v>
      </c>
      <c r="C2720" s="14" t="s">
        <v>1526</v>
      </c>
      <c r="D2720" s="14" t="s">
        <v>451</v>
      </c>
      <c r="E2720" s="1">
        <v>275.08</v>
      </c>
      <c r="F2720" s="2"/>
      <c r="G2720" s="1"/>
      <c r="H2720" s="3"/>
      <c r="I2720" s="14" t="s">
        <v>1654</v>
      </c>
    </row>
    <row r="2721" spans="1:9" ht="18.75" customHeight="1" x14ac:dyDescent="0.4">
      <c r="A2721" s="14" t="s">
        <v>2982</v>
      </c>
      <c r="B2721" s="16" t="str">
        <f>TRIM("　大桐公園")</f>
        <v>大桐公園</v>
      </c>
      <c r="C2721" s="14" t="s">
        <v>1526</v>
      </c>
      <c r="D2721" s="14" t="s">
        <v>451</v>
      </c>
      <c r="E2721" s="1">
        <v>1686.49</v>
      </c>
      <c r="F2721" s="2"/>
      <c r="G2721" s="1"/>
      <c r="H2721" s="3"/>
      <c r="I2721" s="14" t="s">
        <v>2177</v>
      </c>
    </row>
    <row r="2722" spans="1:9" ht="18.75" customHeight="1" x14ac:dyDescent="0.4">
      <c r="A2722" s="14" t="s">
        <v>4514</v>
      </c>
      <c r="B2722" s="16" t="str">
        <f>TRIM("大桐地域福祉会館")</f>
        <v>大桐地域福祉会館</v>
      </c>
      <c r="C2722" s="14" t="s">
        <v>1526</v>
      </c>
      <c r="D2722" s="14" t="s">
        <v>451</v>
      </c>
      <c r="E2722" s="1"/>
      <c r="F2722" s="2"/>
      <c r="G2722" s="1">
        <v>81.73</v>
      </c>
      <c r="H2722" s="3"/>
      <c r="I2722" s="14" t="s">
        <v>4503</v>
      </c>
    </row>
    <row r="2723" spans="1:9" ht="18.75" customHeight="1" x14ac:dyDescent="0.4">
      <c r="A2723" s="14" t="s">
        <v>1682</v>
      </c>
      <c r="B2723" s="16" t="str">
        <f>TRIM("救護施設淀川寮")</f>
        <v>救護施設淀川寮</v>
      </c>
      <c r="C2723" s="14" t="s">
        <v>1526</v>
      </c>
      <c r="D2723" s="14" t="s">
        <v>335</v>
      </c>
      <c r="E2723" s="1">
        <v>4378.68</v>
      </c>
      <c r="F2723" s="2"/>
      <c r="G2723" s="1">
        <v>4763.04</v>
      </c>
      <c r="H2723" s="3"/>
      <c r="I2723" s="14" t="s">
        <v>1654</v>
      </c>
    </row>
    <row r="2724" spans="1:9" ht="18.75" customHeight="1" x14ac:dyDescent="0.4">
      <c r="A2724" s="14" t="s">
        <v>4931</v>
      </c>
      <c r="B2724" s="16" t="str">
        <f>TRIM("大桐小学校")</f>
        <v>大桐小学校</v>
      </c>
      <c r="C2724" s="14" t="s">
        <v>1526</v>
      </c>
      <c r="D2724" s="14" t="s">
        <v>335</v>
      </c>
      <c r="E2724" s="1">
        <v>13359.46</v>
      </c>
      <c r="F2724" s="2"/>
      <c r="G2724" s="1">
        <v>7719.49</v>
      </c>
      <c r="H2724" s="3"/>
      <c r="I2724" s="14" t="s">
        <v>4689</v>
      </c>
    </row>
    <row r="2725" spans="1:9" ht="18.75" customHeight="1" x14ac:dyDescent="0.4">
      <c r="A2725" s="14" t="s">
        <v>4932</v>
      </c>
      <c r="B2725" s="16" t="str">
        <f>TRIM("大桐中学校")</f>
        <v>大桐中学校</v>
      </c>
      <c r="C2725" s="14" t="s">
        <v>1526</v>
      </c>
      <c r="D2725" s="14" t="s">
        <v>335</v>
      </c>
      <c r="E2725" s="1">
        <v>15950.66</v>
      </c>
      <c r="F2725" s="2"/>
      <c r="G2725" s="1">
        <v>7436.6</v>
      </c>
      <c r="H2725" s="3"/>
      <c r="I2725" s="14" t="s">
        <v>4689</v>
      </c>
    </row>
    <row r="2726" spans="1:9" ht="18.75" customHeight="1" x14ac:dyDescent="0.4">
      <c r="A2726" s="14" t="s">
        <v>3142</v>
      </c>
      <c r="B2726" s="16" t="str">
        <f>TRIM("　東大道公園")</f>
        <v>東大道公園</v>
      </c>
      <c r="C2726" s="14" t="s">
        <v>1526</v>
      </c>
      <c r="D2726" s="14" t="s">
        <v>335</v>
      </c>
      <c r="E2726" s="1">
        <v>2243.4</v>
      </c>
      <c r="F2726" s="2"/>
      <c r="G2726" s="1"/>
      <c r="H2726" s="3"/>
      <c r="I2726" s="14" t="s">
        <v>2177</v>
      </c>
    </row>
    <row r="2727" spans="1:9" ht="18.75" customHeight="1" x14ac:dyDescent="0.4">
      <c r="A2727" s="14" t="s">
        <v>6658</v>
      </c>
      <c r="B2727" s="16" t="str">
        <f>TRIM("北大桐住宅")</f>
        <v>北大桐住宅</v>
      </c>
      <c r="C2727" s="14" t="s">
        <v>1526</v>
      </c>
      <c r="D2727" s="14" t="s">
        <v>839</v>
      </c>
      <c r="E2727" s="1">
        <v>14324.12</v>
      </c>
      <c r="F2727" s="2"/>
      <c r="G2727" s="1">
        <v>16315.91</v>
      </c>
      <c r="H2727" s="3"/>
      <c r="I2727" s="14" t="s">
        <v>6177</v>
      </c>
    </row>
    <row r="2728" spans="1:9" ht="18.75" customHeight="1" x14ac:dyDescent="0.4">
      <c r="A2728" s="14" t="s">
        <v>2983</v>
      </c>
      <c r="B2728" s="16" t="str">
        <f>TRIM("　大隅公園")</f>
        <v>大隅公園</v>
      </c>
      <c r="C2728" s="14" t="s">
        <v>1526</v>
      </c>
      <c r="D2728" s="14" t="s">
        <v>839</v>
      </c>
      <c r="E2728" s="1">
        <v>3080.99</v>
      </c>
      <c r="F2728" s="2"/>
      <c r="G2728" s="1"/>
      <c r="H2728" s="3"/>
      <c r="I2728" s="14" t="s">
        <v>2177</v>
      </c>
    </row>
    <row r="2729" spans="1:9" ht="18.75" customHeight="1" x14ac:dyDescent="0.4">
      <c r="A2729" s="14" t="s">
        <v>4944</v>
      </c>
      <c r="B2729" s="16" t="str">
        <f>TRIM("大道南小学校")</f>
        <v>大道南小学校</v>
      </c>
      <c r="C2729" s="14" t="s">
        <v>1526</v>
      </c>
      <c r="D2729" s="14" t="s">
        <v>454</v>
      </c>
      <c r="E2729" s="1">
        <v>10000.27</v>
      </c>
      <c r="F2729" s="2"/>
      <c r="G2729" s="1">
        <v>5997.85</v>
      </c>
      <c r="H2729" s="3"/>
      <c r="I2729" s="14" t="s">
        <v>4689</v>
      </c>
    </row>
    <row r="2730" spans="1:9" ht="18.75" customHeight="1" x14ac:dyDescent="0.4">
      <c r="A2730" s="14" t="s">
        <v>6485</v>
      </c>
      <c r="B2730" s="16" t="str">
        <f>TRIM("大道南住宅")</f>
        <v>大道南住宅</v>
      </c>
      <c r="C2730" s="14" t="s">
        <v>1526</v>
      </c>
      <c r="D2730" s="14" t="s">
        <v>454</v>
      </c>
      <c r="E2730" s="1">
        <v>14350.38</v>
      </c>
      <c r="F2730" s="2"/>
      <c r="G2730" s="1">
        <v>20045.59</v>
      </c>
      <c r="H2730" s="3"/>
      <c r="I2730" s="14" t="s">
        <v>6177</v>
      </c>
    </row>
    <row r="2731" spans="1:9" ht="18.75" customHeight="1" x14ac:dyDescent="0.4">
      <c r="A2731" s="14" t="s">
        <v>6602</v>
      </c>
      <c r="B2731" s="16" t="str">
        <f>TRIM("南大道第2住宅")</f>
        <v>南大道第2住宅</v>
      </c>
      <c r="C2731" s="14" t="s">
        <v>1526</v>
      </c>
      <c r="D2731" s="14" t="s">
        <v>454</v>
      </c>
      <c r="E2731" s="1">
        <v>8758.35</v>
      </c>
      <c r="F2731" s="2"/>
      <c r="G2731" s="1">
        <v>8023.61</v>
      </c>
      <c r="H2731" s="3"/>
      <c r="I2731" s="14" t="s">
        <v>6177</v>
      </c>
    </row>
    <row r="2732" spans="1:9" ht="18.75" customHeight="1" x14ac:dyDescent="0.4">
      <c r="A2732" s="14" t="s">
        <v>1815</v>
      </c>
      <c r="B2732" s="16" t="str">
        <f>TRIM("大道南老人憩の家")</f>
        <v>大道南老人憩の家</v>
      </c>
      <c r="C2732" s="14" t="s">
        <v>1526</v>
      </c>
      <c r="D2732" s="14" t="s">
        <v>454</v>
      </c>
      <c r="E2732" s="1">
        <v>200.09</v>
      </c>
      <c r="F2732" s="2"/>
      <c r="G2732" s="1"/>
      <c r="H2732" s="3"/>
      <c r="I2732" s="14" t="s">
        <v>1654</v>
      </c>
    </row>
    <row r="2733" spans="1:9" ht="18.75" customHeight="1" x14ac:dyDescent="0.4">
      <c r="A2733" s="14" t="s">
        <v>2225</v>
      </c>
      <c r="B2733" s="16" t="str">
        <f>TRIM("国道４７９号（東淀川）（管財課）")</f>
        <v>国道４７９号（東淀川）（管財課）</v>
      </c>
      <c r="C2733" s="14" t="s">
        <v>1526</v>
      </c>
      <c r="D2733" s="14" t="s">
        <v>454</v>
      </c>
      <c r="E2733" s="1">
        <v>1134.79</v>
      </c>
      <c r="F2733" s="2"/>
      <c r="G2733" s="1"/>
      <c r="H2733" s="3"/>
      <c r="I2733" s="14" t="s">
        <v>2177</v>
      </c>
    </row>
    <row r="2734" spans="1:9" ht="18.75" customHeight="1" x14ac:dyDescent="0.4">
      <c r="A2734" s="14" t="s">
        <v>3470</v>
      </c>
      <c r="B2734" s="16" t="str">
        <f>TRIM("竹間公園")</f>
        <v>竹間公園</v>
      </c>
      <c r="C2734" s="14" t="s">
        <v>1526</v>
      </c>
      <c r="D2734" s="14" t="s">
        <v>454</v>
      </c>
      <c r="E2734" s="1">
        <v>2500.25</v>
      </c>
      <c r="F2734" s="2"/>
      <c r="G2734" s="1"/>
      <c r="H2734" s="3"/>
      <c r="I2734" s="14" t="s">
        <v>2177</v>
      </c>
    </row>
    <row r="2735" spans="1:9" ht="18.75" customHeight="1" x14ac:dyDescent="0.4">
      <c r="A2735" s="14" t="s">
        <v>3491</v>
      </c>
      <c r="B2735" s="16" t="str">
        <f>TRIM("能条東公園")</f>
        <v>能条東公園</v>
      </c>
      <c r="C2735" s="14" t="s">
        <v>1526</v>
      </c>
      <c r="D2735" s="14" t="s">
        <v>454</v>
      </c>
      <c r="E2735" s="1">
        <v>1500.04</v>
      </c>
      <c r="F2735" s="2"/>
      <c r="G2735" s="1"/>
      <c r="H2735" s="3"/>
      <c r="I2735" s="14" t="s">
        <v>2177</v>
      </c>
    </row>
    <row r="2736" spans="1:9" ht="18.75" customHeight="1" x14ac:dyDescent="0.4">
      <c r="A2736" s="14" t="s">
        <v>6830</v>
      </c>
      <c r="B2736" s="16" t="str">
        <f>TRIM("もと区画整理事業用地（東淀川東部第1工区）")</f>
        <v>もと区画整理事業用地（東淀川東部第1工区）</v>
      </c>
      <c r="C2736" s="14" t="s">
        <v>1526</v>
      </c>
      <c r="D2736" s="14" t="s">
        <v>454</v>
      </c>
      <c r="E2736" s="1">
        <v>152.96</v>
      </c>
      <c r="F2736" s="2"/>
      <c r="G2736" s="1"/>
      <c r="H2736" s="3"/>
      <c r="I2736" s="14" t="s">
        <v>6177</v>
      </c>
    </row>
    <row r="2737" spans="1:9" ht="18.75" customHeight="1" x14ac:dyDescent="0.4">
      <c r="A2737" s="14" t="s">
        <v>3461</v>
      </c>
      <c r="B2737" s="16" t="str">
        <f>TRIM("大道公園")</f>
        <v>大道公園</v>
      </c>
      <c r="C2737" s="14" t="s">
        <v>1526</v>
      </c>
      <c r="D2737" s="14" t="s">
        <v>1288</v>
      </c>
      <c r="E2737" s="1">
        <v>1200.07</v>
      </c>
      <c r="F2737" s="2"/>
      <c r="G2737" s="1"/>
      <c r="H2737" s="3"/>
      <c r="I2737" s="14" t="s">
        <v>2177</v>
      </c>
    </row>
    <row r="2738" spans="1:9" ht="18.75" customHeight="1" x14ac:dyDescent="0.4">
      <c r="A2738" s="14" t="s">
        <v>3492</v>
      </c>
      <c r="B2738" s="16" t="str">
        <f>TRIM("能條公園")</f>
        <v>能條公園</v>
      </c>
      <c r="C2738" s="14" t="s">
        <v>1526</v>
      </c>
      <c r="D2738" s="14" t="s">
        <v>1297</v>
      </c>
      <c r="E2738" s="1">
        <v>1246.71</v>
      </c>
      <c r="F2738" s="2"/>
      <c r="G2738" s="1"/>
      <c r="H2738" s="3"/>
      <c r="I2738" s="14" t="s">
        <v>2177</v>
      </c>
    </row>
    <row r="2739" spans="1:9" ht="18.75" customHeight="1" x14ac:dyDescent="0.4">
      <c r="A2739" s="14" t="s">
        <v>4523</v>
      </c>
      <c r="B2739" s="16" t="str">
        <f>TRIM("豊里西会館")</f>
        <v>豊里西会館</v>
      </c>
      <c r="C2739" s="14" t="s">
        <v>1526</v>
      </c>
      <c r="D2739" s="14" t="s">
        <v>908</v>
      </c>
      <c r="E2739" s="1">
        <v>180.97</v>
      </c>
      <c r="F2739" s="2"/>
      <c r="G2739" s="1">
        <v>118.59</v>
      </c>
      <c r="H2739" s="3"/>
      <c r="I2739" s="14" t="s">
        <v>4503</v>
      </c>
    </row>
    <row r="2740" spans="1:9" ht="18.75" customHeight="1" x14ac:dyDescent="0.4">
      <c r="A2740" s="14" t="s">
        <v>4879</v>
      </c>
      <c r="B2740" s="16" t="str">
        <f>TRIM("新東淀中学校")</f>
        <v>新東淀中学校</v>
      </c>
      <c r="C2740" s="14" t="s">
        <v>1526</v>
      </c>
      <c r="D2740" s="14" t="s">
        <v>908</v>
      </c>
      <c r="E2740" s="1">
        <v>15753.64</v>
      </c>
      <c r="F2740" s="2"/>
      <c r="G2740" s="1">
        <v>7520.08</v>
      </c>
      <c r="H2740" s="3"/>
      <c r="I2740" s="14" t="s">
        <v>4689</v>
      </c>
    </row>
    <row r="2741" spans="1:9" ht="18.75" customHeight="1" x14ac:dyDescent="0.4">
      <c r="A2741" s="14" t="s">
        <v>2199</v>
      </c>
      <c r="B2741" s="16" t="str">
        <f>TRIM("十三吹田線（基金）")</f>
        <v>十三吹田線（基金）</v>
      </c>
      <c r="C2741" s="14" t="s">
        <v>1526</v>
      </c>
      <c r="D2741" s="14" t="s">
        <v>908</v>
      </c>
      <c r="E2741" s="1">
        <v>4786.79</v>
      </c>
      <c r="F2741" s="2"/>
      <c r="G2741" s="1"/>
      <c r="H2741" s="3"/>
      <c r="I2741" s="14" t="s">
        <v>2177</v>
      </c>
    </row>
    <row r="2742" spans="1:9" ht="18.75" customHeight="1" x14ac:dyDescent="0.4">
      <c r="A2742" s="14" t="s">
        <v>2200</v>
      </c>
      <c r="B2742" s="16" t="str">
        <f>TRIM("淀川北岸線（基金）")</f>
        <v>淀川北岸線（基金）</v>
      </c>
      <c r="C2742" s="14" t="s">
        <v>1526</v>
      </c>
      <c r="D2742" s="14" t="s">
        <v>908</v>
      </c>
      <c r="E2742" s="1">
        <v>1815.67</v>
      </c>
      <c r="F2742" s="2"/>
      <c r="G2742" s="1"/>
      <c r="H2742" s="3"/>
      <c r="I2742" s="14" t="s">
        <v>2177</v>
      </c>
    </row>
    <row r="2743" spans="1:9" ht="18.75" customHeight="1" x14ac:dyDescent="0.4">
      <c r="A2743" s="14" t="s">
        <v>2201</v>
      </c>
      <c r="B2743" s="16" t="str">
        <f>TRIM("新庄長柄線（菅原）（基金）")</f>
        <v>新庄長柄線（菅原）（基金）</v>
      </c>
      <c r="C2743" s="14" t="s">
        <v>1526</v>
      </c>
      <c r="D2743" s="14" t="s">
        <v>908</v>
      </c>
      <c r="E2743" s="1">
        <v>466.72</v>
      </c>
      <c r="F2743" s="2"/>
      <c r="G2743" s="1"/>
      <c r="H2743" s="3"/>
      <c r="I2743" s="14" t="s">
        <v>2177</v>
      </c>
    </row>
    <row r="2744" spans="1:9" ht="18.75" customHeight="1" x14ac:dyDescent="0.4">
      <c r="A2744" s="14" t="s">
        <v>2202</v>
      </c>
      <c r="B2744" s="16" t="str">
        <f>TRIM("歌島豊里線（基金）")</f>
        <v>歌島豊里線（基金）</v>
      </c>
      <c r="C2744" s="14" t="s">
        <v>1526</v>
      </c>
      <c r="D2744" s="14" t="s">
        <v>908</v>
      </c>
      <c r="E2744" s="1">
        <v>873.18</v>
      </c>
      <c r="F2744" s="2"/>
      <c r="G2744" s="1"/>
      <c r="H2744" s="3"/>
      <c r="I2744" s="14" t="s">
        <v>2177</v>
      </c>
    </row>
    <row r="2745" spans="1:9" ht="18.75" customHeight="1" x14ac:dyDescent="0.4">
      <c r="A2745" s="14" t="s">
        <v>2312</v>
      </c>
      <c r="B2745" s="16" t="str">
        <f>TRIM("道路（東淀川）（管財課）")</f>
        <v>道路（東淀川）（管財課）</v>
      </c>
      <c r="C2745" s="14" t="s">
        <v>1526</v>
      </c>
      <c r="D2745" s="14" t="s">
        <v>908</v>
      </c>
      <c r="E2745" s="1">
        <v>1060977.6599999999</v>
      </c>
      <c r="F2745" s="2"/>
      <c r="G2745" s="1"/>
      <c r="H2745" s="3"/>
      <c r="I2745" s="14" t="s">
        <v>2177</v>
      </c>
    </row>
    <row r="2746" spans="1:9" ht="18.75" customHeight="1" x14ac:dyDescent="0.4">
      <c r="A2746" s="14" t="s">
        <v>3321</v>
      </c>
      <c r="B2746" s="16" t="str">
        <f>TRIM("　北淀公園")</f>
        <v>北淀公園</v>
      </c>
      <c r="C2746" s="14" t="s">
        <v>1526</v>
      </c>
      <c r="D2746" s="14" t="s">
        <v>908</v>
      </c>
      <c r="E2746" s="1">
        <v>5333.24</v>
      </c>
      <c r="F2746" s="2"/>
      <c r="G2746" s="1"/>
      <c r="H2746" s="3"/>
      <c r="I2746" s="14" t="s">
        <v>2177</v>
      </c>
    </row>
    <row r="2747" spans="1:9" ht="18.75" customHeight="1" x14ac:dyDescent="0.4">
      <c r="A2747" s="14" t="s">
        <v>2754</v>
      </c>
      <c r="B2747" s="16" t="str">
        <f>TRIM("　三番公園")</f>
        <v>三番公園</v>
      </c>
      <c r="C2747" s="14" t="s">
        <v>1526</v>
      </c>
      <c r="D2747" s="14" t="s">
        <v>1062</v>
      </c>
      <c r="E2747" s="1">
        <v>3011.07</v>
      </c>
      <c r="F2747" s="2"/>
      <c r="G2747" s="1"/>
      <c r="H2747" s="3"/>
      <c r="I2747" s="14" t="s">
        <v>2177</v>
      </c>
    </row>
    <row r="2748" spans="1:9" ht="18.75" customHeight="1" x14ac:dyDescent="0.4">
      <c r="A2748" s="14" t="s">
        <v>3289</v>
      </c>
      <c r="B2748" s="16" t="str">
        <f>TRIM("　豊里三角公園")</f>
        <v>豊里三角公園</v>
      </c>
      <c r="C2748" s="14" t="s">
        <v>1526</v>
      </c>
      <c r="D2748" s="14" t="s">
        <v>1062</v>
      </c>
      <c r="E2748" s="1">
        <v>1992.05</v>
      </c>
      <c r="F2748" s="2"/>
      <c r="G2748" s="1"/>
      <c r="H2748" s="3"/>
      <c r="I2748" s="14" t="s">
        <v>2177</v>
      </c>
    </row>
    <row r="2749" spans="1:9" ht="18.75" customHeight="1" x14ac:dyDescent="0.4">
      <c r="A2749" s="14" t="s">
        <v>5925</v>
      </c>
      <c r="B2749" s="16" t="str">
        <f>TRIM("豊里第2保育所")</f>
        <v>豊里第2保育所</v>
      </c>
      <c r="C2749" s="14" t="s">
        <v>1526</v>
      </c>
      <c r="D2749" s="14" t="s">
        <v>1062</v>
      </c>
      <c r="E2749" s="1"/>
      <c r="F2749" s="2"/>
      <c r="G2749" s="1">
        <v>641.04</v>
      </c>
      <c r="H2749" s="3"/>
      <c r="I2749" s="14" t="s">
        <v>5617</v>
      </c>
    </row>
    <row r="2750" spans="1:9" ht="18.75" customHeight="1" x14ac:dyDescent="0.4">
      <c r="A2750" s="14" t="s">
        <v>3343</v>
      </c>
      <c r="B2750" s="16" t="str">
        <f>TRIM("　野村公園")</f>
        <v>野村公園</v>
      </c>
      <c r="C2750" s="14" t="s">
        <v>1526</v>
      </c>
      <c r="D2750" s="14" t="s">
        <v>1256</v>
      </c>
      <c r="E2750" s="1">
        <v>1333.02</v>
      </c>
      <c r="F2750" s="2"/>
      <c r="G2750" s="1"/>
      <c r="H2750" s="3"/>
      <c r="I2750" s="14" t="s">
        <v>2177</v>
      </c>
    </row>
    <row r="2751" spans="1:9" ht="18.75" customHeight="1" x14ac:dyDescent="0.4">
      <c r="A2751" s="14" t="s">
        <v>6870</v>
      </c>
      <c r="B2751" s="16" t="str">
        <f>TRIM("豊里郷土史料館（豊里工区）")</f>
        <v>豊里郷土史料館（豊里工区）</v>
      </c>
      <c r="C2751" s="14" t="s">
        <v>1526</v>
      </c>
      <c r="D2751" s="14" t="s">
        <v>834</v>
      </c>
      <c r="E2751" s="1">
        <v>370.53</v>
      </c>
      <c r="F2751" s="2">
        <v>1806</v>
      </c>
      <c r="G2751" s="1"/>
      <c r="H2751" s="3"/>
      <c r="I2751" s="14" t="s">
        <v>6177</v>
      </c>
    </row>
    <row r="2752" spans="1:9" ht="18.75" customHeight="1" x14ac:dyDescent="0.4">
      <c r="A2752" s="14" t="s">
        <v>5099</v>
      </c>
      <c r="B2752" s="16" t="str">
        <f>TRIM("豊里小学校")</f>
        <v>豊里小学校</v>
      </c>
      <c r="C2752" s="14" t="s">
        <v>1526</v>
      </c>
      <c r="D2752" s="14" t="s">
        <v>834</v>
      </c>
      <c r="E2752" s="1">
        <v>14680.01</v>
      </c>
      <c r="F2752" s="2"/>
      <c r="G2752" s="1">
        <v>7630.05</v>
      </c>
      <c r="H2752" s="3"/>
      <c r="I2752" s="14" t="s">
        <v>4689</v>
      </c>
    </row>
    <row r="2753" spans="1:9" ht="18.75" customHeight="1" x14ac:dyDescent="0.4">
      <c r="A2753" s="14" t="s">
        <v>5100</v>
      </c>
      <c r="B2753" s="16" t="str">
        <f>TRIM("豊里南小学校")</f>
        <v>豊里南小学校</v>
      </c>
      <c r="C2753" s="14" t="s">
        <v>1526</v>
      </c>
      <c r="D2753" s="14" t="s">
        <v>834</v>
      </c>
      <c r="E2753" s="1">
        <v>9960.98</v>
      </c>
      <c r="F2753" s="2"/>
      <c r="G2753" s="1">
        <v>5909</v>
      </c>
      <c r="H2753" s="3"/>
      <c r="I2753" s="14" t="s">
        <v>4689</v>
      </c>
    </row>
    <row r="2754" spans="1:9" ht="18.75" customHeight="1" x14ac:dyDescent="0.4">
      <c r="A2754" s="14" t="s">
        <v>6649</v>
      </c>
      <c r="B2754" s="16" t="str">
        <f>TRIM("豊里住宅")</f>
        <v>豊里住宅</v>
      </c>
      <c r="C2754" s="14" t="s">
        <v>1526</v>
      </c>
      <c r="D2754" s="14" t="s">
        <v>834</v>
      </c>
      <c r="E2754" s="1">
        <v>43142.13</v>
      </c>
      <c r="F2754" s="2"/>
      <c r="G2754" s="1">
        <v>37753.86</v>
      </c>
      <c r="H2754" s="3"/>
      <c r="I2754" s="14" t="s">
        <v>6177</v>
      </c>
    </row>
    <row r="2755" spans="1:9" ht="18.75" customHeight="1" x14ac:dyDescent="0.4">
      <c r="A2755" s="14" t="s">
        <v>3290</v>
      </c>
      <c r="B2755" s="16" t="str">
        <f>TRIM("　豊里中央公園")</f>
        <v>豊里中央公園</v>
      </c>
      <c r="C2755" s="14" t="s">
        <v>1526</v>
      </c>
      <c r="D2755" s="14" t="s">
        <v>834</v>
      </c>
      <c r="E2755" s="1">
        <v>18146.13</v>
      </c>
      <c r="F2755" s="2"/>
      <c r="G2755" s="1"/>
      <c r="H2755" s="3"/>
      <c r="I2755" s="14" t="s">
        <v>2177</v>
      </c>
    </row>
    <row r="2756" spans="1:9" ht="18.75" customHeight="1" x14ac:dyDescent="0.4">
      <c r="A2756" s="14" t="s">
        <v>3673</v>
      </c>
      <c r="B2756" s="16" t="str">
        <f>TRIM("　豊里中央公園")</f>
        <v>豊里中央公園</v>
      </c>
      <c r="C2756" s="14" t="s">
        <v>1526</v>
      </c>
      <c r="D2756" s="14" t="s">
        <v>834</v>
      </c>
      <c r="E2756" s="1"/>
      <c r="F2756" s="2"/>
      <c r="G2756" s="1">
        <v>19.2</v>
      </c>
      <c r="H2756" s="3"/>
      <c r="I2756" s="14" t="s">
        <v>2177</v>
      </c>
    </row>
    <row r="2757" spans="1:9" ht="18.75" customHeight="1" x14ac:dyDescent="0.4">
      <c r="A2757" s="14" t="s">
        <v>4522</v>
      </c>
      <c r="B2757" s="16" t="str">
        <f>TRIM("豊里会館")</f>
        <v>豊里会館</v>
      </c>
      <c r="C2757" s="14" t="s">
        <v>1526</v>
      </c>
      <c r="D2757" s="14" t="s">
        <v>834</v>
      </c>
      <c r="E2757" s="1">
        <v>284</v>
      </c>
      <c r="F2757" s="2"/>
      <c r="G2757" s="1"/>
      <c r="H2757" s="3"/>
      <c r="I2757" s="14" t="s">
        <v>4503</v>
      </c>
    </row>
    <row r="2758" spans="1:9" ht="18.75" customHeight="1" x14ac:dyDescent="0.4">
      <c r="A2758" s="14" t="s">
        <v>6838</v>
      </c>
      <c r="B2758" s="16" t="str">
        <f>TRIM("もと区画整理事業用地（豊里工区）")</f>
        <v>もと区画整理事業用地（豊里工区）</v>
      </c>
      <c r="C2758" s="14" t="s">
        <v>1526</v>
      </c>
      <c r="D2758" s="14" t="s">
        <v>834</v>
      </c>
      <c r="E2758" s="1">
        <v>614.79999999999995</v>
      </c>
      <c r="F2758" s="2"/>
      <c r="G2758" s="1"/>
      <c r="H2758" s="3"/>
      <c r="I2758" s="14" t="s">
        <v>6177</v>
      </c>
    </row>
    <row r="2759" spans="1:9" ht="18.75" customHeight="1" x14ac:dyDescent="0.4">
      <c r="A2759" s="14" t="s">
        <v>6862</v>
      </c>
      <c r="B2759" s="16" t="str">
        <f>TRIM("豊里郷土史料館（豊里工区）")</f>
        <v>豊里郷土史料館（豊里工区）</v>
      </c>
      <c r="C2759" s="14" t="s">
        <v>1526</v>
      </c>
      <c r="D2759" s="14" t="s">
        <v>834</v>
      </c>
      <c r="E2759" s="1"/>
      <c r="F2759" s="2"/>
      <c r="G2759" s="1">
        <v>297.14999999999998</v>
      </c>
      <c r="H2759" s="3" t="s">
        <v>7353</v>
      </c>
      <c r="I2759" s="14" t="s">
        <v>6177</v>
      </c>
    </row>
    <row r="2760" spans="1:9" ht="18.75" customHeight="1" x14ac:dyDescent="0.4">
      <c r="A2760" s="14" t="s">
        <v>5033</v>
      </c>
      <c r="B2760" s="16" t="str">
        <f>TRIM("東淀中学校")</f>
        <v>東淀中学校</v>
      </c>
      <c r="C2760" s="14" t="s">
        <v>1526</v>
      </c>
      <c r="D2760" s="14" t="s">
        <v>1423</v>
      </c>
      <c r="E2760" s="1">
        <v>20049.599999999999</v>
      </c>
      <c r="F2760" s="2"/>
      <c r="G2760" s="1">
        <v>7740.73</v>
      </c>
      <c r="H2760" s="3"/>
      <c r="I2760" s="14" t="s">
        <v>4689</v>
      </c>
    </row>
    <row r="2761" spans="1:9" ht="18.75" customHeight="1" x14ac:dyDescent="0.4">
      <c r="A2761" s="14" t="s">
        <v>4511</v>
      </c>
      <c r="B2761" s="16" t="str">
        <f>TRIM("三番町会館")</f>
        <v>三番町会館</v>
      </c>
      <c r="C2761" s="14" t="s">
        <v>1526</v>
      </c>
      <c r="D2761" s="14" t="s">
        <v>1423</v>
      </c>
      <c r="E2761" s="1">
        <v>76</v>
      </c>
      <c r="F2761" s="2"/>
      <c r="G2761" s="1"/>
      <c r="H2761" s="3"/>
      <c r="I2761" s="14" t="s">
        <v>4503</v>
      </c>
    </row>
    <row r="2762" spans="1:9" ht="18.75" customHeight="1" x14ac:dyDescent="0.4">
      <c r="A2762" s="14" t="s">
        <v>6650</v>
      </c>
      <c r="B2762" s="16" t="str">
        <f>TRIM("豊里第2住宅")</f>
        <v>豊里第2住宅</v>
      </c>
      <c r="C2762" s="14" t="s">
        <v>1526</v>
      </c>
      <c r="D2762" s="14" t="s">
        <v>599</v>
      </c>
      <c r="E2762" s="1">
        <v>10039.02</v>
      </c>
      <c r="F2762" s="2"/>
      <c r="G2762" s="1">
        <v>13586.48</v>
      </c>
      <c r="H2762" s="3"/>
      <c r="I2762" s="14" t="s">
        <v>6177</v>
      </c>
    </row>
    <row r="2763" spans="1:9" ht="18.75" customHeight="1" x14ac:dyDescent="0.4">
      <c r="A2763" s="14" t="s">
        <v>3288</v>
      </c>
      <c r="B2763" s="16" t="str">
        <f>TRIM("　豊里さつき公園")</f>
        <v>豊里さつき公園</v>
      </c>
      <c r="C2763" s="14" t="s">
        <v>1526</v>
      </c>
      <c r="D2763" s="14" t="s">
        <v>599</v>
      </c>
      <c r="E2763" s="1">
        <v>2493.37</v>
      </c>
      <c r="F2763" s="2"/>
      <c r="G2763" s="1"/>
      <c r="H2763" s="3"/>
      <c r="I2763" s="14" t="s">
        <v>2177</v>
      </c>
    </row>
    <row r="2764" spans="1:9" ht="18.75" customHeight="1" x14ac:dyDescent="0.4">
      <c r="A2764" s="14" t="s">
        <v>5924</v>
      </c>
      <c r="B2764" s="16" t="str">
        <f>TRIM("豊里第1保育所")</f>
        <v>豊里第1保育所</v>
      </c>
      <c r="C2764" s="14" t="s">
        <v>1526</v>
      </c>
      <c r="D2764" s="14" t="s">
        <v>599</v>
      </c>
      <c r="E2764" s="1">
        <v>650.96</v>
      </c>
      <c r="F2764" s="2"/>
      <c r="G2764" s="1"/>
      <c r="H2764" s="3"/>
      <c r="I2764" s="14" t="s">
        <v>5617</v>
      </c>
    </row>
    <row r="2765" spans="1:9" ht="18.75" customHeight="1" x14ac:dyDescent="0.4">
      <c r="A2765" s="14" t="s">
        <v>5946</v>
      </c>
      <c r="B2765" s="16" t="str">
        <f>TRIM("豊里第1保育所")</f>
        <v>豊里第1保育所</v>
      </c>
      <c r="C2765" s="14" t="s">
        <v>1526</v>
      </c>
      <c r="D2765" s="14" t="s">
        <v>599</v>
      </c>
      <c r="E2765" s="1"/>
      <c r="F2765" s="2"/>
      <c r="G2765" s="1">
        <v>657.28</v>
      </c>
      <c r="H2765" s="3"/>
      <c r="I2765" s="14" t="s">
        <v>5617</v>
      </c>
    </row>
    <row r="2766" spans="1:9" ht="18.75" customHeight="1" x14ac:dyDescent="0.4">
      <c r="A2766" s="14" t="s">
        <v>6871</v>
      </c>
      <c r="B2766" s="16" t="str">
        <f>TRIM("西大道児童遊園")</f>
        <v>西大道児童遊園</v>
      </c>
      <c r="C2766" s="14" t="s">
        <v>1526</v>
      </c>
      <c r="D2766" s="14" t="s">
        <v>599</v>
      </c>
      <c r="E2766" s="1">
        <v>205.02</v>
      </c>
      <c r="F2766" s="2"/>
      <c r="G2766" s="1"/>
      <c r="H2766" s="3"/>
      <c r="I2766" s="14" t="s">
        <v>6177</v>
      </c>
    </row>
    <row r="2767" spans="1:9" ht="18.75" customHeight="1" x14ac:dyDescent="0.4">
      <c r="A2767" s="14" t="s">
        <v>7086</v>
      </c>
      <c r="B2767" s="16" t="str">
        <f>TRIM("もと運送業振興施設")</f>
        <v>もと運送業振興施設</v>
      </c>
      <c r="C2767" s="14" t="s">
        <v>1526</v>
      </c>
      <c r="D2767" s="14" t="s">
        <v>36</v>
      </c>
      <c r="E2767" s="1">
        <v>247.09</v>
      </c>
      <c r="F2767" s="2">
        <v>1478</v>
      </c>
      <c r="G2767" s="1"/>
      <c r="H2767" s="3"/>
      <c r="I2767" s="14" t="s">
        <v>4115</v>
      </c>
    </row>
    <row r="2768" spans="1:9" ht="18.75" customHeight="1" x14ac:dyDescent="0.4">
      <c r="A2768" s="14" t="s">
        <v>1604</v>
      </c>
      <c r="B2768" s="16" t="str">
        <f>TRIM("もと市民交流センターひがしよどがわ")</f>
        <v>もと市民交流センターひがしよどがわ</v>
      </c>
      <c r="C2768" s="14" t="s">
        <v>1526</v>
      </c>
      <c r="D2768" s="14" t="s">
        <v>36</v>
      </c>
      <c r="E2768" s="1">
        <v>2449.21</v>
      </c>
      <c r="F2768" s="2">
        <v>1710</v>
      </c>
      <c r="G2768" s="1">
        <v>3317.58</v>
      </c>
      <c r="H2768" s="3" t="s">
        <v>7353</v>
      </c>
      <c r="I2768" s="14" t="s">
        <v>1598</v>
      </c>
    </row>
    <row r="2769" spans="1:9" ht="18.75" customHeight="1" x14ac:dyDescent="0.4">
      <c r="A2769" s="14" t="s">
        <v>6613</v>
      </c>
      <c r="B2769" s="16" t="str">
        <f>TRIM("日之出住宅附帯駐車場")</f>
        <v>日之出住宅附帯駐車場</v>
      </c>
      <c r="C2769" s="14" t="s">
        <v>1526</v>
      </c>
      <c r="D2769" s="14" t="s">
        <v>36</v>
      </c>
      <c r="E2769" s="1">
        <v>1484.2</v>
      </c>
      <c r="F2769" s="2">
        <v>2122</v>
      </c>
      <c r="G2769" s="1"/>
      <c r="H2769" s="3"/>
      <c r="I2769" s="14" t="s">
        <v>6177</v>
      </c>
    </row>
    <row r="2770" spans="1:9" ht="18.75" customHeight="1" x14ac:dyDescent="0.4">
      <c r="A2770" s="14" t="s">
        <v>6612</v>
      </c>
      <c r="B2770" s="16" t="str">
        <f>TRIM("日之出住宅")</f>
        <v>日之出住宅</v>
      </c>
      <c r="C2770" s="14" t="s">
        <v>1526</v>
      </c>
      <c r="D2770" s="14" t="s">
        <v>36</v>
      </c>
      <c r="E2770" s="1">
        <v>16131.64</v>
      </c>
      <c r="F2770" s="2" t="s">
        <v>7325</v>
      </c>
      <c r="G2770" s="1">
        <v>11149.71</v>
      </c>
      <c r="H2770" s="3"/>
      <c r="I2770" s="14" t="s">
        <v>6177</v>
      </c>
    </row>
    <row r="2771" spans="1:9" ht="18.75" customHeight="1" x14ac:dyDescent="0.4">
      <c r="A2771" s="14" t="s">
        <v>6617</v>
      </c>
      <c r="B2771" s="16" t="str">
        <f>TRIM("日之出北住宅")</f>
        <v>日之出北住宅</v>
      </c>
      <c r="C2771" s="14" t="s">
        <v>1526</v>
      </c>
      <c r="D2771" s="14" t="s">
        <v>36</v>
      </c>
      <c r="E2771" s="1">
        <v>5925.73</v>
      </c>
      <c r="F2771" s="2"/>
      <c r="G2771" s="1">
        <v>22703.26</v>
      </c>
      <c r="H2771" s="3"/>
      <c r="I2771" s="14" t="s">
        <v>6177</v>
      </c>
    </row>
    <row r="2772" spans="1:9" ht="18.75" customHeight="1" x14ac:dyDescent="0.4">
      <c r="A2772" s="14" t="s">
        <v>1669</v>
      </c>
      <c r="B2772" s="16" t="str">
        <f>TRIM("日之出墓地")</f>
        <v>日之出墓地</v>
      </c>
      <c r="C2772" s="14" t="s">
        <v>1526</v>
      </c>
      <c r="D2772" s="14" t="s">
        <v>36</v>
      </c>
      <c r="E2772" s="1">
        <v>297.52</v>
      </c>
      <c r="F2772" s="2"/>
      <c r="G2772" s="1"/>
      <c r="H2772" s="3"/>
      <c r="I2772" s="14" t="s">
        <v>1654</v>
      </c>
    </row>
    <row r="2773" spans="1:9" ht="18.75" customHeight="1" x14ac:dyDescent="0.4">
      <c r="A2773" s="14" t="s">
        <v>1748</v>
      </c>
      <c r="B2773" s="16" t="str">
        <f>TRIM("知的障がい者授産施設　西淡路希望の家")</f>
        <v>知的障がい者授産施設　西淡路希望の家</v>
      </c>
      <c r="C2773" s="14" t="s">
        <v>1526</v>
      </c>
      <c r="D2773" s="14" t="s">
        <v>36</v>
      </c>
      <c r="E2773" s="1">
        <v>562.84</v>
      </c>
      <c r="F2773" s="2"/>
      <c r="G2773" s="1"/>
      <c r="H2773" s="3"/>
      <c r="I2773" s="14" t="s">
        <v>1654</v>
      </c>
    </row>
    <row r="2774" spans="1:9" ht="18.75" customHeight="1" x14ac:dyDescent="0.4">
      <c r="A2774" s="14" t="s">
        <v>2407</v>
      </c>
      <c r="B2774" s="16" t="str">
        <f>TRIM("新大阪ポンプ場")</f>
        <v>新大阪ポンプ場</v>
      </c>
      <c r="C2774" s="14" t="s">
        <v>1526</v>
      </c>
      <c r="D2774" s="14" t="s">
        <v>36</v>
      </c>
      <c r="E2774" s="1"/>
      <c r="F2774" s="2"/>
      <c r="G2774" s="1">
        <v>92.13</v>
      </c>
      <c r="H2774" s="3"/>
      <c r="I2774" s="14" t="s">
        <v>2177</v>
      </c>
    </row>
    <row r="2775" spans="1:9" ht="18.75" customHeight="1" x14ac:dyDescent="0.4">
      <c r="A2775" s="14" t="s">
        <v>2835</v>
      </c>
      <c r="B2775" s="16" t="str">
        <f>TRIM("　新駅工区開発2号広場")</f>
        <v>新駅工区開発2号広場</v>
      </c>
      <c r="C2775" s="14" t="s">
        <v>1526</v>
      </c>
      <c r="D2775" s="14" t="s">
        <v>36</v>
      </c>
      <c r="E2775" s="1">
        <v>1587.72</v>
      </c>
      <c r="F2775" s="2"/>
      <c r="G2775" s="1"/>
      <c r="H2775" s="3"/>
      <c r="I2775" s="14" t="s">
        <v>2177</v>
      </c>
    </row>
    <row r="2776" spans="1:9" ht="18.75" customHeight="1" x14ac:dyDescent="0.4">
      <c r="A2776" s="14" t="s">
        <v>2836</v>
      </c>
      <c r="B2776" s="16" t="str">
        <f>TRIM("　新駅工区開発3号広場")</f>
        <v>新駅工区開発3号広場</v>
      </c>
      <c r="C2776" s="14" t="s">
        <v>1526</v>
      </c>
      <c r="D2776" s="14" t="s">
        <v>36</v>
      </c>
      <c r="E2776" s="1">
        <v>3183.1</v>
      </c>
      <c r="F2776" s="2"/>
      <c r="G2776" s="1"/>
      <c r="H2776" s="3"/>
      <c r="I2776" s="14" t="s">
        <v>2177</v>
      </c>
    </row>
    <row r="2777" spans="1:9" ht="18.75" customHeight="1" x14ac:dyDescent="0.4">
      <c r="A2777" s="14" t="s">
        <v>3216</v>
      </c>
      <c r="B2777" s="16" t="str">
        <f>TRIM("　日之出公園")</f>
        <v>日之出公園</v>
      </c>
      <c r="C2777" s="14" t="s">
        <v>1526</v>
      </c>
      <c r="D2777" s="14" t="s">
        <v>36</v>
      </c>
      <c r="E2777" s="1">
        <v>8409.7999999999993</v>
      </c>
      <c r="F2777" s="2"/>
      <c r="G2777" s="1"/>
      <c r="H2777" s="3"/>
      <c r="I2777" s="14" t="s">
        <v>2177</v>
      </c>
    </row>
    <row r="2778" spans="1:9" ht="18.75" customHeight="1" x14ac:dyDescent="0.4">
      <c r="A2778" s="14" t="s">
        <v>3219</v>
      </c>
      <c r="B2778" s="16" t="str">
        <f>TRIM("　日之出北公園")</f>
        <v>日之出北公園</v>
      </c>
      <c r="C2778" s="14" t="s">
        <v>1526</v>
      </c>
      <c r="D2778" s="14" t="s">
        <v>36</v>
      </c>
      <c r="E2778" s="1">
        <v>1248.0999999999999</v>
      </c>
      <c r="F2778" s="2"/>
      <c r="G2778" s="1"/>
      <c r="H2778" s="3"/>
      <c r="I2778" s="14" t="s">
        <v>2177</v>
      </c>
    </row>
    <row r="2779" spans="1:9" ht="18.75" customHeight="1" x14ac:dyDescent="0.4">
      <c r="A2779" s="14" t="s">
        <v>3658</v>
      </c>
      <c r="B2779" s="16" t="str">
        <f>TRIM("　日之出公園")</f>
        <v>日之出公園</v>
      </c>
      <c r="C2779" s="14" t="s">
        <v>1526</v>
      </c>
      <c r="D2779" s="14" t="s">
        <v>36</v>
      </c>
      <c r="E2779" s="1"/>
      <c r="F2779" s="2"/>
      <c r="G2779" s="1">
        <v>19.2</v>
      </c>
      <c r="H2779" s="3"/>
      <c r="I2779" s="14" t="s">
        <v>2177</v>
      </c>
    </row>
    <row r="2780" spans="1:9" ht="18.75" customHeight="1" x14ac:dyDescent="0.4">
      <c r="A2780" s="14" t="s">
        <v>3757</v>
      </c>
      <c r="B2780" s="16" t="str">
        <f>TRIM("ＪＲ新大阪駅自転車駐車場")</f>
        <v>ＪＲ新大阪駅自転車駐車場</v>
      </c>
      <c r="C2780" s="14" t="s">
        <v>1526</v>
      </c>
      <c r="D2780" s="14" t="s">
        <v>36</v>
      </c>
      <c r="E2780" s="1"/>
      <c r="F2780" s="2"/>
      <c r="G2780" s="1">
        <v>662.13</v>
      </c>
      <c r="H2780" s="3"/>
      <c r="I2780" s="14" t="s">
        <v>2177</v>
      </c>
    </row>
    <row r="2781" spans="1:9" ht="18.75" customHeight="1" x14ac:dyDescent="0.4">
      <c r="A2781" s="14" t="s">
        <v>3849</v>
      </c>
      <c r="B2781" s="16" t="str">
        <f>TRIM("新大阪駅東口自転車駐車場管理ボックス")</f>
        <v>新大阪駅東口自転車駐車場管理ボックス</v>
      </c>
      <c r="C2781" s="14" t="s">
        <v>1526</v>
      </c>
      <c r="D2781" s="14" t="s">
        <v>36</v>
      </c>
      <c r="E2781" s="1"/>
      <c r="F2781" s="2"/>
      <c r="G2781" s="1">
        <v>1.44</v>
      </c>
      <c r="H2781" s="3"/>
      <c r="I2781" s="14" t="s">
        <v>2177</v>
      </c>
    </row>
    <row r="2782" spans="1:9" ht="18.75" customHeight="1" x14ac:dyDescent="0.4">
      <c r="A2782" s="14" t="s">
        <v>3917</v>
      </c>
      <c r="B2782" s="16" t="str">
        <f>TRIM("東淀川駅自転車駐車場管理ボックス")</f>
        <v>東淀川駅自転車駐車場管理ボックス</v>
      </c>
      <c r="C2782" s="14" t="s">
        <v>1526</v>
      </c>
      <c r="D2782" s="14" t="s">
        <v>36</v>
      </c>
      <c r="E2782" s="1"/>
      <c r="F2782" s="2"/>
      <c r="G2782" s="1">
        <v>12.96</v>
      </c>
      <c r="H2782" s="3"/>
      <c r="I2782" s="14" t="s">
        <v>2177</v>
      </c>
    </row>
    <row r="2783" spans="1:9" ht="18.75" customHeight="1" x14ac:dyDescent="0.4">
      <c r="A2783" s="14" t="s">
        <v>4525</v>
      </c>
      <c r="B2783" s="16" t="str">
        <f>TRIM("西淡路集会所")</f>
        <v>西淡路集会所</v>
      </c>
      <c r="C2783" s="14" t="s">
        <v>1526</v>
      </c>
      <c r="D2783" s="14" t="s">
        <v>36</v>
      </c>
      <c r="E2783" s="1">
        <v>245.15</v>
      </c>
      <c r="F2783" s="2"/>
      <c r="G2783" s="1"/>
      <c r="H2783" s="3"/>
      <c r="I2783" s="14" t="s">
        <v>4503</v>
      </c>
    </row>
    <row r="2784" spans="1:9" ht="18.75" customHeight="1" x14ac:dyDescent="0.4">
      <c r="A2784" s="14" t="s">
        <v>5464</v>
      </c>
      <c r="B2784" s="16" t="str">
        <f>TRIM("区画整理取得地")</f>
        <v>区画整理取得地</v>
      </c>
      <c r="C2784" s="14" t="s">
        <v>1526</v>
      </c>
      <c r="D2784" s="14" t="s">
        <v>36</v>
      </c>
      <c r="E2784" s="1">
        <v>889.45</v>
      </c>
      <c r="F2784" s="2"/>
      <c r="G2784" s="1"/>
      <c r="H2784" s="3"/>
      <c r="I2784" s="14" t="s">
        <v>5349</v>
      </c>
    </row>
    <row r="2785" spans="1:9" ht="18.75" customHeight="1" x14ac:dyDescent="0.4">
      <c r="A2785" s="14" t="s">
        <v>6246</v>
      </c>
      <c r="B2785" s="16" t="str">
        <f>TRIM("もと日之出住宅")</f>
        <v>もと日之出住宅</v>
      </c>
      <c r="C2785" s="14" t="s">
        <v>1526</v>
      </c>
      <c r="D2785" s="14" t="s">
        <v>36</v>
      </c>
      <c r="E2785" s="1">
        <v>2003.07</v>
      </c>
      <c r="F2785" s="2"/>
      <c r="G2785" s="1"/>
      <c r="H2785" s="3"/>
      <c r="I2785" s="14" t="s">
        <v>6177</v>
      </c>
    </row>
    <row r="2786" spans="1:9" ht="18.75" customHeight="1" x14ac:dyDescent="0.4">
      <c r="A2786" s="14" t="s">
        <v>6789</v>
      </c>
      <c r="B2786" s="16" t="str">
        <f>TRIM("もと日之出住宅")</f>
        <v>もと日之出住宅</v>
      </c>
      <c r="C2786" s="14" t="s">
        <v>1526</v>
      </c>
      <c r="D2786" s="14" t="s">
        <v>36</v>
      </c>
      <c r="E2786" s="1"/>
      <c r="F2786" s="2"/>
      <c r="G2786" s="1">
        <v>9781.6200000000008</v>
      </c>
      <c r="H2786" s="3"/>
      <c r="I2786" s="14" t="s">
        <v>6177</v>
      </c>
    </row>
    <row r="2787" spans="1:9" ht="18.75" customHeight="1" x14ac:dyDescent="0.4">
      <c r="A2787" s="14" t="s">
        <v>1705</v>
      </c>
      <c r="B2787" s="16" t="str">
        <f>TRIM("もと日之出共同作業場")</f>
        <v>もと日之出共同作業場</v>
      </c>
      <c r="C2787" s="14" t="s">
        <v>1526</v>
      </c>
      <c r="D2787" s="14" t="s">
        <v>342</v>
      </c>
      <c r="E2787" s="1">
        <v>237.21</v>
      </c>
      <c r="F2787" s="2">
        <v>992</v>
      </c>
      <c r="G2787" s="1">
        <v>449.9</v>
      </c>
      <c r="H2787" s="3" t="s">
        <v>7353</v>
      </c>
      <c r="I2787" s="14" t="s">
        <v>1654</v>
      </c>
    </row>
    <row r="2788" spans="1:9" ht="18.75" customHeight="1" x14ac:dyDescent="0.4">
      <c r="A2788" s="14" t="s">
        <v>6987</v>
      </c>
      <c r="B2788" s="16" t="str">
        <f>TRIM("もと日之出診療所")</f>
        <v>もと日之出診療所</v>
      </c>
      <c r="C2788" s="14" t="s">
        <v>1526</v>
      </c>
      <c r="D2788" s="14" t="s">
        <v>342</v>
      </c>
      <c r="E2788" s="1">
        <v>401.33</v>
      </c>
      <c r="F2788" s="2">
        <v>993</v>
      </c>
      <c r="G2788" s="1">
        <v>633.22</v>
      </c>
      <c r="H2788" s="3" t="s">
        <v>7353</v>
      </c>
      <c r="I2788" s="14" t="s">
        <v>2402</v>
      </c>
    </row>
    <row r="2789" spans="1:9" ht="18.75" customHeight="1" x14ac:dyDescent="0.4">
      <c r="A2789" s="14" t="s">
        <v>1771</v>
      </c>
      <c r="B2789" s="16" t="str">
        <f>TRIM("もと軽費老人ホーム日之出荘・地域活動支援プラザ新大阪")</f>
        <v>もと軽費老人ホーム日之出荘・地域活動支援プラザ新大阪</v>
      </c>
      <c r="C2789" s="14" t="s">
        <v>1526</v>
      </c>
      <c r="D2789" s="14" t="s">
        <v>342</v>
      </c>
      <c r="E2789" s="1">
        <v>1138.81</v>
      </c>
      <c r="F2789" s="2">
        <v>1330</v>
      </c>
      <c r="G2789" s="1">
        <v>2164.13</v>
      </c>
      <c r="H2789" s="3" t="s">
        <v>7353</v>
      </c>
      <c r="I2789" s="14" t="s">
        <v>1654</v>
      </c>
    </row>
    <row r="2790" spans="1:9" ht="18.75" customHeight="1" x14ac:dyDescent="0.4">
      <c r="A2790" s="14" t="s">
        <v>6615</v>
      </c>
      <c r="B2790" s="16" t="str">
        <f>TRIM("日之出第3住宅")</f>
        <v>日之出第3住宅</v>
      </c>
      <c r="C2790" s="14" t="s">
        <v>1526</v>
      </c>
      <c r="D2790" s="14" t="s">
        <v>342</v>
      </c>
      <c r="E2790" s="1">
        <v>690.55</v>
      </c>
      <c r="F2790" s="2">
        <v>2126</v>
      </c>
      <c r="G2790" s="1"/>
      <c r="H2790" s="3"/>
      <c r="I2790" s="14" t="s">
        <v>6177</v>
      </c>
    </row>
    <row r="2791" spans="1:9" ht="18.75" customHeight="1" x14ac:dyDescent="0.4">
      <c r="A2791" s="14" t="s">
        <v>5295</v>
      </c>
      <c r="B2791" s="16" t="str">
        <f>TRIM("東淀川消防署西淡路出張所")</f>
        <v>東淀川消防署西淡路出張所</v>
      </c>
      <c r="C2791" s="14" t="s">
        <v>1526</v>
      </c>
      <c r="D2791" s="14" t="s">
        <v>342</v>
      </c>
      <c r="E2791" s="1">
        <v>278.79000000000002</v>
      </c>
      <c r="F2791" s="2"/>
      <c r="G2791" s="1">
        <v>706.22</v>
      </c>
      <c r="H2791" s="3"/>
      <c r="I2791" s="14" t="s">
        <v>5219</v>
      </c>
    </row>
    <row r="2792" spans="1:9" ht="18.75" customHeight="1" x14ac:dyDescent="0.4">
      <c r="A2792" s="14" t="s">
        <v>1674</v>
      </c>
      <c r="B2792" s="16" t="str">
        <f>TRIM("　もと日之出理髪館")</f>
        <v>もと日之出理髪館</v>
      </c>
      <c r="C2792" s="14" t="s">
        <v>1526</v>
      </c>
      <c r="D2792" s="14" t="s">
        <v>342</v>
      </c>
      <c r="E2792" s="1"/>
      <c r="F2792" s="2"/>
      <c r="G2792" s="1">
        <v>40.799999999999997</v>
      </c>
      <c r="H2792" s="3" t="s">
        <v>7353</v>
      </c>
      <c r="I2792" s="14" t="s">
        <v>1654</v>
      </c>
    </row>
    <row r="2793" spans="1:9" ht="18.75" customHeight="1" x14ac:dyDescent="0.4">
      <c r="A2793" s="14" t="s">
        <v>2185</v>
      </c>
      <c r="B2793" s="16" t="str">
        <f>TRIM("建設局資材置場")</f>
        <v>建設局資材置場</v>
      </c>
      <c r="C2793" s="14" t="s">
        <v>1526</v>
      </c>
      <c r="D2793" s="14" t="s">
        <v>342</v>
      </c>
      <c r="E2793" s="1">
        <v>7.91</v>
      </c>
      <c r="F2793" s="2"/>
      <c r="G2793" s="1"/>
      <c r="H2793" s="3"/>
      <c r="I2793" s="14" t="s">
        <v>2177</v>
      </c>
    </row>
    <row r="2794" spans="1:9" ht="18.75" customHeight="1" x14ac:dyDescent="0.4">
      <c r="A2794" s="14" t="s">
        <v>3217</v>
      </c>
      <c r="B2794" s="16" t="str">
        <f>TRIM("淡路地域在宅サービスステーション")</f>
        <v>淡路地域在宅サービスステーション</v>
      </c>
      <c r="C2794" s="14" t="s">
        <v>1526</v>
      </c>
      <c r="D2794" s="14" t="s">
        <v>342</v>
      </c>
      <c r="E2794" s="1">
        <v>339.35</v>
      </c>
      <c r="F2794" s="2"/>
      <c r="G2794" s="1"/>
      <c r="H2794" s="3"/>
      <c r="I2794" s="14" t="s">
        <v>1654</v>
      </c>
    </row>
    <row r="2795" spans="1:9" ht="18.75" customHeight="1" x14ac:dyDescent="0.4">
      <c r="A2795" s="14" t="s">
        <v>3218</v>
      </c>
      <c r="B2795" s="16" t="str">
        <f>TRIM("　日之出南公園")</f>
        <v>日之出南公園</v>
      </c>
      <c r="C2795" s="14" t="s">
        <v>1526</v>
      </c>
      <c r="D2795" s="14" t="s">
        <v>342</v>
      </c>
      <c r="E2795" s="1">
        <v>2622.49</v>
      </c>
      <c r="F2795" s="2"/>
      <c r="G2795" s="1"/>
      <c r="H2795" s="3"/>
      <c r="I2795" s="14" t="s">
        <v>2177</v>
      </c>
    </row>
    <row r="2796" spans="1:9" ht="18.75" customHeight="1" x14ac:dyDescent="0.4">
      <c r="A2796" s="14" t="s">
        <v>4030</v>
      </c>
      <c r="B2796" s="16" t="str">
        <f>TRIM("下水道用地（東淀川）")</f>
        <v>下水道用地（東淀川）</v>
      </c>
      <c r="C2796" s="14" t="s">
        <v>1526</v>
      </c>
      <c r="D2796" s="14" t="s">
        <v>342</v>
      </c>
      <c r="E2796" s="1">
        <v>147675.29</v>
      </c>
      <c r="F2796" s="2"/>
      <c r="G2796" s="1"/>
      <c r="H2796" s="3"/>
      <c r="I2796" s="14" t="s">
        <v>2177</v>
      </c>
    </row>
    <row r="2797" spans="1:9" ht="18.75" customHeight="1" x14ac:dyDescent="0.4">
      <c r="A2797" s="14" t="s">
        <v>6790</v>
      </c>
      <c r="B2797" s="16" t="str">
        <f>TRIM("もと日之出第３住宅")</f>
        <v>もと日之出第３住宅</v>
      </c>
      <c r="C2797" s="14" t="s">
        <v>1526</v>
      </c>
      <c r="D2797" s="14" t="s">
        <v>342</v>
      </c>
      <c r="E2797" s="1"/>
      <c r="F2797" s="2"/>
      <c r="G2797" s="1">
        <v>2086.06</v>
      </c>
      <c r="H2797" s="3"/>
      <c r="I2797" s="14" t="s">
        <v>6177</v>
      </c>
    </row>
    <row r="2798" spans="1:9" ht="18.75" customHeight="1" x14ac:dyDescent="0.4">
      <c r="A2798" s="14" t="s">
        <v>4913</v>
      </c>
      <c r="B2798" s="16" t="str">
        <f>TRIM("もと西淡路小学校（西淡路3丁目）")</f>
        <v>もと西淡路小学校（西淡路3丁目）</v>
      </c>
      <c r="C2798" s="14" t="s">
        <v>1526</v>
      </c>
      <c r="D2798" s="14" t="s">
        <v>1115</v>
      </c>
      <c r="E2798" s="1">
        <v>13227.75</v>
      </c>
      <c r="F2798" s="2">
        <v>1711</v>
      </c>
      <c r="G2798" s="1">
        <v>8265.5400000000009</v>
      </c>
      <c r="H2798" s="3" t="s">
        <v>7353</v>
      </c>
      <c r="I2798" s="14" t="s">
        <v>4689</v>
      </c>
    </row>
    <row r="2799" spans="1:9" ht="18.75" customHeight="1" x14ac:dyDescent="0.4">
      <c r="A2799" s="14" t="s">
        <v>2930</v>
      </c>
      <c r="B2799" s="16" t="str">
        <f>TRIM("　西淡路公園")</f>
        <v>西淡路公園</v>
      </c>
      <c r="C2799" s="14" t="s">
        <v>1526</v>
      </c>
      <c r="D2799" s="14" t="s">
        <v>1115</v>
      </c>
      <c r="E2799" s="1">
        <v>3722.88</v>
      </c>
      <c r="F2799" s="2"/>
      <c r="G2799" s="1"/>
      <c r="H2799" s="3"/>
      <c r="I2799" s="14" t="s">
        <v>2177</v>
      </c>
    </row>
    <row r="2800" spans="1:9" ht="18.75" customHeight="1" x14ac:dyDescent="0.4">
      <c r="A2800" s="14" t="s">
        <v>3700</v>
      </c>
      <c r="B2800" s="16" t="str">
        <f>TRIM("西淡路公園")</f>
        <v>西淡路公園</v>
      </c>
      <c r="C2800" s="14" t="s">
        <v>1526</v>
      </c>
      <c r="D2800" s="14" t="s">
        <v>1115</v>
      </c>
      <c r="E2800" s="1"/>
      <c r="F2800" s="2"/>
      <c r="G2800" s="1">
        <v>19.2</v>
      </c>
      <c r="H2800" s="3"/>
      <c r="I2800" s="14" t="s">
        <v>2177</v>
      </c>
    </row>
    <row r="2801" spans="1:9" ht="18.75" customHeight="1" x14ac:dyDescent="0.4">
      <c r="A2801" s="14" t="s">
        <v>6202</v>
      </c>
      <c r="B2801" s="16" t="str">
        <f>TRIM("西淡路住宅用地")</f>
        <v>西淡路住宅用地</v>
      </c>
      <c r="C2801" s="14" t="s">
        <v>1526</v>
      </c>
      <c r="D2801" s="14" t="s">
        <v>699</v>
      </c>
      <c r="E2801" s="1">
        <v>2983.11</v>
      </c>
      <c r="F2801" s="2" t="s">
        <v>7287</v>
      </c>
      <c r="G2801" s="1"/>
      <c r="H2801" s="3"/>
      <c r="I2801" s="14" t="s">
        <v>6177</v>
      </c>
    </row>
    <row r="2802" spans="1:9" ht="18.75" customHeight="1" x14ac:dyDescent="0.4">
      <c r="A2802" s="14" t="s">
        <v>4958</v>
      </c>
      <c r="B2802" s="16" t="str">
        <f>TRIM("淡路中学校")</f>
        <v>淡路中学校</v>
      </c>
      <c r="C2802" s="14" t="s">
        <v>1526</v>
      </c>
      <c r="D2802" s="14" t="s">
        <v>699</v>
      </c>
      <c r="E2802" s="1">
        <v>21483.599999999999</v>
      </c>
      <c r="F2802" s="2"/>
      <c r="G2802" s="1">
        <v>14482.41</v>
      </c>
      <c r="H2802" s="3"/>
      <c r="I2802" s="14" t="s">
        <v>4689</v>
      </c>
    </row>
    <row r="2803" spans="1:9" ht="18.75" customHeight="1" x14ac:dyDescent="0.4">
      <c r="A2803" s="14" t="s">
        <v>2875</v>
      </c>
      <c r="B2803" s="16" t="str">
        <f>TRIM("　須賀森公園")</f>
        <v>須賀森公園</v>
      </c>
      <c r="C2803" s="14" t="s">
        <v>1526</v>
      </c>
      <c r="D2803" s="14" t="s">
        <v>699</v>
      </c>
      <c r="E2803" s="1">
        <v>2862.76</v>
      </c>
      <c r="F2803" s="2"/>
      <c r="G2803" s="1"/>
      <c r="H2803" s="3"/>
      <c r="I2803" s="14" t="s">
        <v>2177</v>
      </c>
    </row>
    <row r="2804" spans="1:9" ht="18.75" customHeight="1" x14ac:dyDescent="0.4">
      <c r="A2804" s="14" t="s">
        <v>3588</v>
      </c>
      <c r="B2804" s="16" t="str">
        <f>TRIM("　須賀森公園")</f>
        <v>須賀森公園</v>
      </c>
      <c r="C2804" s="14" t="s">
        <v>1526</v>
      </c>
      <c r="D2804" s="14" t="s">
        <v>699</v>
      </c>
      <c r="E2804" s="1"/>
      <c r="F2804" s="2"/>
      <c r="G2804" s="1">
        <v>20.59</v>
      </c>
      <c r="H2804" s="3"/>
      <c r="I2804" s="14" t="s">
        <v>2177</v>
      </c>
    </row>
    <row r="2805" spans="1:9" ht="18.75" customHeight="1" x14ac:dyDescent="0.4">
      <c r="A2805" s="14" t="s">
        <v>4509</v>
      </c>
      <c r="B2805" s="16" t="str">
        <f>TRIM("引江集会所")</f>
        <v>引江集会所</v>
      </c>
      <c r="C2805" s="14" t="s">
        <v>1526</v>
      </c>
      <c r="D2805" s="14" t="s">
        <v>699</v>
      </c>
      <c r="E2805" s="1">
        <v>150</v>
      </c>
      <c r="F2805" s="2"/>
      <c r="G2805" s="1"/>
      <c r="H2805" s="3"/>
      <c r="I2805" s="14" t="s">
        <v>4503</v>
      </c>
    </row>
    <row r="2806" spans="1:9" ht="18.75" customHeight="1" x14ac:dyDescent="0.4">
      <c r="A2806" s="14" t="s">
        <v>6664</v>
      </c>
      <c r="B2806" s="16" t="str">
        <f>TRIM("北陽第2住宅")</f>
        <v>北陽第2住宅</v>
      </c>
      <c r="C2806" s="14" t="s">
        <v>1526</v>
      </c>
      <c r="D2806" s="14" t="s">
        <v>359</v>
      </c>
      <c r="E2806" s="1">
        <v>7000.31</v>
      </c>
      <c r="F2806" s="2">
        <v>376</v>
      </c>
      <c r="G2806" s="1">
        <v>2823.33</v>
      </c>
      <c r="H2806" s="3"/>
      <c r="I2806" s="14" t="s">
        <v>6177</v>
      </c>
    </row>
    <row r="2807" spans="1:9" ht="18.75" customHeight="1" x14ac:dyDescent="0.4">
      <c r="A2807" s="14" t="s">
        <v>4957</v>
      </c>
      <c r="B2807" s="16" t="str">
        <f>TRIM("西淡路小学校")</f>
        <v>西淡路小学校</v>
      </c>
      <c r="C2807" s="14" t="s">
        <v>1526</v>
      </c>
      <c r="D2807" s="14" t="s">
        <v>359</v>
      </c>
      <c r="E2807" s="1">
        <v>8897.7800000000007</v>
      </c>
      <c r="F2807" s="2"/>
      <c r="G2807" s="1">
        <v>6438.22</v>
      </c>
      <c r="H2807" s="3"/>
      <c r="I2807" s="14" t="s">
        <v>4689</v>
      </c>
    </row>
    <row r="2808" spans="1:9" ht="18.75" customHeight="1" x14ac:dyDescent="0.4">
      <c r="A2808" s="14" t="s">
        <v>5880</v>
      </c>
      <c r="B2808" s="16" t="str">
        <f>TRIM("西淡路第2保育所")</f>
        <v>西淡路第2保育所</v>
      </c>
      <c r="C2808" s="14" t="s">
        <v>1526</v>
      </c>
      <c r="D2808" s="14" t="s">
        <v>359</v>
      </c>
      <c r="E2808" s="1">
        <v>1003.79</v>
      </c>
      <c r="F2808" s="2"/>
      <c r="G2808" s="1">
        <v>555.26</v>
      </c>
      <c r="H2808" s="3"/>
      <c r="I2808" s="14" t="s">
        <v>5617</v>
      </c>
    </row>
    <row r="2809" spans="1:9" ht="18.75" customHeight="1" x14ac:dyDescent="0.4">
      <c r="A2809" s="14" t="s">
        <v>6744</v>
      </c>
      <c r="B2809" s="16" t="str">
        <f>TRIM("淡路住宅")</f>
        <v>淡路住宅</v>
      </c>
      <c r="C2809" s="14" t="s">
        <v>1526</v>
      </c>
      <c r="D2809" s="14" t="s">
        <v>359</v>
      </c>
      <c r="E2809" s="1">
        <v>11334.69</v>
      </c>
      <c r="F2809" s="2"/>
      <c r="G2809" s="1">
        <v>9029.92</v>
      </c>
      <c r="H2809" s="3"/>
      <c r="I2809" s="14" t="s">
        <v>6177</v>
      </c>
    </row>
    <row r="2810" spans="1:9" ht="18.75" customHeight="1" x14ac:dyDescent="0.4">
      <c r="A2810" s="14" t="s">
        <v>1740</v>
      </c>
      <c r="B2810" s="16" t="str">
        <f>TRIM("淡路こども園")</f>
        <v>淡路こども園</v>
      </c>
      <c r="C2810" s="14" t="s">
        <v>1526</v>
      </c>
      <c r="D2810" s="14" t="s">
        <v>359</v>
      </c>
      <c r="E2810" s="1">
        <v>1200.06</v>
      </c>
      <c r="F2810" s="2"/>
      <c r="G2810" s="1"/>
      <c r="H2810" s="3"/>
      <c r="I2810" s="14" t="s">
        <v>1654</v>
      </c>
    </row>
    <row r="2811" spans="1:9" ht="18.75" customHeight="1" x14ac:dyDescent="0.4">
      <c r="A2811" s="14" t="s">
        <v>2454</v>
      </c>
      <c r="B2811" s="16" t="str">
        <f>TRIM("十三吹田線")</f>
        <v>十三吹田線</v>
      </c>
      <c r="C2811" s="14" t="s">
        <v>1526</v>
      </c>
      <c r="D2811" s="14" t="s">
        <v>359</v>
      </c>
      <c r="E2811" s="1">
        <v>1887.5</v>
      </c>
      <c r="F2811" s="2"/>
      <c r="G2811" s="1"/>
      <c r="H2811" s="3"/>
      <c r="I2811" s="14" t="s">
        <v>2177</v>
      </c>
    </row>
    <row r="2812" spans="1:9" ht="18.75" customHeight="1" x14ac:dyDescent="0.4">
      <c r="A2812" s="14" t="s">
        <v>5684</v>
      </c>
      <c r="B2812" s="16" t="str">
        <f>TRIM("もと東淀川児童館")</f>
        <v>もと東淀川児童館</v>
      </c>
      <c r="C2812" s="14" t="s">
        <v>1526</v>
      </c>
      <c r="D2812" s="14" t="s">
        <v>359</v>
      </c>
      <c r="E2812" s="1"/>
      <c r="F2812" s="2"/>
      <c r="G2812" s="1">
        <v>531.5</v>
      </c>
      <c r="H2812" s="3" t="s">
        <v>7353</v>
      </c>
      <c r="I2812" s="14" t="s">
        <v>5617</v>
      </c>
    </row>
    <row r="2813" spans="1:9" ht="18.75" customHeight="1" x14ac:dyDescent="0.4">
      <c r="A2813" s="14" t="s">
        <v>6115</v>
      </c>
      <c r="B2813" s="16" t="str">
        <f>TRIM("国次霊園")</f>
        <v>国次霊園</v>
      </c>
      <c r="C2813" s="14" t="s">
        <v>1526</v>
      </c>
      <c r="D2813" s="14" t="s">
        <v>359</v>
      </c>
      <c r="E2813" s="1">
        <v>2105.5700000000002</v>
      </c>
      <c r="F2813" s="2"/>
      <c r="G2813" s="1"/>
      <c r="H2813" s="3"/>
      <c r="I2813" s="14" t="s">
        <v>5977</v>
      </c>
    </row>
    <row r="2814" spans="1:9" ht="18.75" customHeight="1" x14ac:dyDescent="0.4">
      <c r="A2814" s="14" t="s">
        <v>4042</v>
      </c>
      <c r="B2814" s="16" t="str">
        <f>TRIM("国次抽水所")</f>
        <v>国次抽水所</v>
      </c>
      <c r="C2814" s="14" t="s">
        <v>1526</v>
      </c>
      <c r="D2814" s="14" t="s">
        <v>841</v>
      </c>
      <c r="E2814" s="1">
        <v>3875.73</v>
      </c>
      <c r="F2814" s="2">
        <v>1994</v>
      </c>
      <c r="G2814" s="1">
        <v>2685.42</v>
      </c>
      <c r="H2814" s="3"/>
      <c r="I2814" s="14" t="s">
        <v>2177</v>
      </c>
    </row>
    <row r="2815" spans="1:9" ht="18.75" customHeight="1" x14ac:dyDescent="0.4">
      <c r="A2815" s="14" t="s">
        <v>6663</v>
      </c>
      <c r="B2815" s="16" t="str">
        <f>TRIM("北陽住宅")</f>
        <v>北陽住宅</v>
      </c>
      <c r="C2815" s="14" t="s">
        <v>1526</v>
      </c>
      <c r="D2815" s="14" t="s">
        <v>841</v>
      </c>
      <c r="E2815" s="1">
        <v>19292.88</v>
      </c>
      <c r="F2815" s="2"/>
      <c r="G2815" s="1">
        <v>27274.58</v>
      </c>
      <c r="H2815" s="3"/>
      <c r="I2815" s="14" t="s">
        <v>6177</v>
      </c>
    </row>
    <row r="2816" spans="1:9" ht="18.75" customHeight="1" x14ac:dyDescent="0.4">
      <c r="A2816" s="14" t="s">
        <v>6741</v>
      </c>
      <c r="B2816" s="16" t="str">
        <f>TRIM("西淡路住宅")</f>
        <v>西淡路住宅</v>
      </c>
      <c r="C2816" s="14" t="s">
        <v>1526</v>
      </c>
      <c r="D2816" s="14" t="s">
        <v>841</v>
      </c>
      <c r="E2816" s="1">
        <v>12894.2</v>
      </c>
      <c r="F2816" s="2"/>
      <c r="G2816" s="1">
        <v>12995</v>
      </c>
      <c r="H2816" s="3"/>
      <c r="I2816" s="14" t="s">
        <v>6177</v>
      </c>
    </row>
    <row r="2817" spans="1:9" ht="18.75" customHeight="1" x14ac:dyDescent="0.4">
      <c r="A2817" s="14" t="s">
        <v>1613</v>
      </c>
      <c r="B2817" s="16" t="str">
        <f>TRIM("もと男女共同参画センター北部館 クレオ大阪北")</f>
        <v>もと男女共同参画センター北部館 クレオ大阪北</v>
      </c>
      <c r="C2817" s="14" t="s">
        <v>1526</v>
      </c>
      <c r="D2817" s="14" t="s">
        <v>83</v>
      </c>
      <c r="E2817" s="1">
        <v>1953.58</v>
      </c>
      <c r="F2817" s="2"/>
      <c r="G2817" s="1">
        <v>1617.65</v>
      </c>
      <c r="H2817" s="3" t="s">
        <v>7353</v>
      </c>
      <c r="I2817" s="14" t="s">
        <v>1598</v>
      </c>
    </row>
    <row r="2818" spans="1:9" ht="18.75" customHeight="1" x14ac:dyDescent="0.4">
      <c r="A2818" s="14" t="s">
        <v>5185</v>
      </c>
      <c r="B2818" s="16" t="str">
        <f>TRIM("特別教育支援センター（インクルーシブ教育推進室）")</f>
        <v>特別教育支援センター（インクルーシブ教育推進室）</v>
      </c>
      <c r="C2818" s="14" t="s">
        <v>1526</v>
      </c>
      <c r="D2818" s="14" t="s">
        <v>83</v>
      </c>
      <c r="E2818" s="1">
        <v>1732.42</v>
      </c>
      <c r="F2818" s="2"/>
      <c r="G2818" s="1">
        <v>1432.55</v>
      </c>
      <c r="H2818" s="3"/>
      <c r="I2818" s="14" t="s">
        <v>4689</v>
      </c>
    </row>
    <row r="2819" spans="1:9" ht="18.75" customHeight="1" x14ac:dyDescent="0.4">
      <c r="A2819" s="14" t="s">
        <v>6580</v>
      </c>
      <c r="B2819" s="16" t="str">
        <f>TRIM("東淡路第2住宅")</f>
        <v>東淡路第2住宅</v>
      </c>
      <c r="C2819" s="14" t="s">
        <v>1526</v>
      </c>
      <c r="D2819" s="14" t="s">
        <v>83</v>
      </c>
      <c r="E2819" s="1">
        <v>27489.53</v>
      </c>
      <c r="F2819" s="2"/>
      <c r="G2819" s="1">
        <v>32159.08</v>
      </c>
      <c r="H2819" s="3"/>
      <c r="I2819" s="14" t="s">
        <v>6177</v>
      </c>
    </row>
    <row r="2820" spans="1:9" ht="18.75" customHeight="1" x14ac:dyDescent="0.4">
      <c r="A2820" s="14" t="s">
        <v>7127</v>
      </c>
      <c r="B2820" s="16" t="str">
        <f>TRIM("東淀川スポーツセンター")</f>
        <v>東淀川スポーツセンター</v>
      </c>
      <c r="C2820" s="14" t="s">
        <v>1526</v>
      </c>
      <c r="D2820" s="14" t="s">
        <v>83</v>
      </c>
      <c r="E2820" s="1">
        <v>3311.86</v>
      </c>
      <c r="F2820" s="2"/>
      <c r="G2820" s="1">
        <v>3619.71</v>
      </c>
      <c r="H2820" s="3"/>
      <c r="I2820" s="14" t="s">
        <v>4115</v>
      </c>
    </row>
    <row r="2821" spans="1:9" ht="18.75" customHeight="1" x14ac:dyDescent="0.4">
      <c r="A2821" s="14" t="s">
        <v>7128</v>
      </c>
      <c r="B2821" s="16" t="str">
        <f>TRIM("東淀川屋内プール")</f>
        <v>東淀川屋内プール</v>
      </c>
      <c r="C2821" s="14" t="s">
        <v>1526</v>
      </c>
      <c r="D2821" s="14" t="s">
        <v>83</v>
      </c>
      <c r="E2821" s="1">
        <v>4848.6899999999996</v>
      </c>
      <c r="F2821" s="2"/>
      <c r="G2821" s="1">
        <v>6217.3</v>
      </c>
      <c r="H2821" s="3"/>
      <c r="I2821" s="14" t="s">
        <v>4115</v>
      </c>
    </row>
    <row r="2822" spans="1:9" ht="18.75" customHeight="1" x14ac:dyDescent="0.4">
      <c r="A2822" s="14" t="s">
        <v>1932</v>
      </c>
      <c r="B2822" s="16" t="str">
        <f>TRIM("特別養護老人ホームジュネス・柴島地域在宅サービスステーション・障がい福祉サービス事業所エフォール")</f>
        <v>特別養護老人ホームジュネス・柴島地域在宅サービスステーション・障がい福祉サービス事業所エフォール</v>
      </c>
      <c r="C2822" s="14" t="s">
        <v>1526</v>
      </c>
      <c r="D2822" s="14" t="s">
        <v>83</v>
      </c>
      <c r="E2822" s="1">
        <v>3400.12</v>
      </c>
      <c r="F2822" s="2"/>
      <c r="G2822" s="1"/>
      <c r="H2822" s="3"/>
      <c r="I2822" s="14" t="s">
        <v>1654</v>
      </c>
    </row>
    <row r="2823" spans="1:9" ht="18.75" customHeight="1" x14ac:dyDescent="0.4">
      <c r="A2823" s="14" t="s">
        <v>2450</v>
      </c>
      <c r="B2823" s="16" t="str">
        <f>TRIM("淀川北岸線")</f>
        <v>淀川北岸線</v>
      </c>
      <c r="C2823" s="14" t="s">
        <v>1526</v>
      </c>
      <c r="D2823" s="14" t="s">
        <v>83</v>
      </c>
      <c r="E2823" s="1">
        <v>3157.74</v>
      </c>
      <c r="F2823" s="2"/>
      <c r="G2823" s="1"/>
      <c r="H2823" s="3"/>
      <c r="I2823" s="14" t="s">
        <v>2177</v>
      </c>
    </row>
    <row r="2824" spans="1:9" ht="18.75" customHeight="1" x14ac:dyDescent="0.4">
      <c r="A2824" s="14" t="s">
        <v>4518</v>
      </c>
      <c r="B2824" s="16" t="str">
        <f>TRIM("東淀川区民会館")</f>
        <v>東淀川区民会館</v>
      </c>
      <c r="C2824" s="14" t="s">
        <v>1526</v>
      </c>
      <c r="D2824" s="14" t="s">
        <v>83</v>
      </c>
      <c r="E2824" s="1"/>
      <c r="F2824" s="2"/>
      <c r="G2824" s="1">
        <v>1002.23</v>
      </c>
      <c r="H2824" s="3"/>
      <c r="I2824" s="14" t="s">
        <v>4503</v>
      </c>
    </row>
    <row r="2825" spans="1:9" ht="18.75" customHeight="1" x14ac:dyDescent="0.4">
      <c r="A2825" s="14" t="s">
        <v>5202</v>
      </c>
      <c r="B2825" s="16" t="str">
        <f>TRIM("東淀川図書館")</f>
        <v>東淀川図書館</v>
      </c>
      <c r="C2825" s="14" t="s">
        <v>1526</v>
      </c>
      <c r="D2825" s="14" t="s">
        <v>83</v>
      </c>
      <c r="E2825" s="1"/>
      <c r="F2825" s="2"/>
      <c r="G2825" s="1">
        <v>1208.53</v>
      </c>
      <c r="H2825" s="3"/>
      <c r="I2825" s="14" t="s">
        <v>4689</v>
      </c>
    </row>
    <row r="2826" spans="1:9" ht="18.75" customHeight="1" x14ac:dyDescent="0.4">
      <c r="A2826" s="14" t="s">
        <v>2434</v>
      </c>
      <c r="B2826" s="16" t="str">
        <f>TRIM("歌島豊里線")</f>
        <v>歌島豊里線</v>
      </c>
      <c r="C2826" s="14" t="s">
        <v>1526</v>
      </c>
      <c r="D2826" s="14" t="s">
        <v>459</v>
      </c>
      <c r="E2826" s="1">
        <v>873.18</v>
      </c>
      <c r="F2826" s="2"/>
      <c r="G2826" s="1"/>
      <c r="H2826" s="3"/>
      <c r="I2826" s="14" t="s">
        <v>2177</v>
      </c>
    </row>
    <row r="2827" spans="1:9" ht="18.75" customHeight="1" x14ac:dyDescent="0.4">
      <c r="A2827" s="14" t="s">
        <v>3144</v>
      </c>
      <c r="B2827" s="16" t="str">
        <f>TRIM("　東淡路南公園")</f>
        <v>東淡路南公園</v>
      </c>
      <c r="C2827" s="14" t="s">
        <v>1526</v>
      </c>
      <c r="D2827" s="14" t="s">
        <v>459</v>
      </c>
      <c r="E2827" s="1">
        <v>2217.25</v>
      </c>
      <c r="F2827" s="2"/>
      <c r="G2827" s="1"/>
      <c r="H2827" s="3"/>
      <c r="I2827" s="14" t="s">
        <v>2177</v>
      </c>
    </row>
    <row r="2828" spans="1:9" ht="18.75" customHeight="1" x14ac:dyDescent="0.4">
      <c r="A2828" s="14" t="s">
        <v>4516</v>
      </c>
      <c r="B2828" s="16" t="str">
        <f>TRIM("東淡路会館")</f>
        <v>東淡路会館</v>
      </c>
      <c r="C2828" s="14" t="s">
        <v>1526</v>
      </c>
      <c r="D2828" s="14" t="s">
        <v>459</v>
      </c>
      <c r="E2828" s="1">
        <v>261.05</v>
      </c>
      <c r="F2828" s="2"/>
      <c r="G2828" s="1"/>
      <c r="H2828" s="3"/>
      <c r="I2828" s="14" t="s">
        <v>4503</v>
      </c>
    </row>
    <row r="2829" spans="1:9" ht="18.75" customHeight="1" x14ac:dyDescent="0.4">
      <c r="A2829" s="14" t="s">
        <v>6032</v>
      </c>
      <c r="B2829" s="16" t="str">
        <f>TRIM("もと東淡路詰所")</f>
        <v>もと東淡路詰所</v>
      </c>
      <c r="C2829" s="14" t="s">
        <v>1526</v>
      </c>
      <c r="D2829" s="14" t="s">
        <v>459</v>
      </c>
      <c r="E2829" s="1">
        <v>338.62</v>
      </c>
      <c r="F2829" s="2"/>
      <c r="G2829" s="1"/>
      <c r="H2829" s="3"/>
      <c r="I2829" s="14" t="s">
        <v>5977</v>
      </c>
    </row>
    <row r="2830" spans="1:9" ht="18.75" customHeight="1" x14ac:dyDescent="0.4">
      <c r="A2830" s="14" t="s">
        <v>6943</v>
      </c>
      <c r="B2830" s="16" t="str">
        <f>TRIM("減歩緩和用地（淡路駅周辺地区）")</f>
        <v>減歩緩和用地（淡路駅周辺地区）</v>
      </c>
      <c r="C2830" s="14" t="s">
        <v>1526</v>
      </c>
      <c r="D2830" s="14" t="s">
        <v>459</v>
      </c>
      <c r="E2830" s="1">
        <v>102.41</v>
      </c>
      <c r="F2830" s="2"/>
      <c r="G2830" s="1"/>
      <c r="H2830" s="3"/>
      <c r="I2830" s="14" t="s">
        <v>6177</v>
      </c>
    </row>
    <row r="2831" spans="1:9" ht="18.75" customHeight="1" x14ac:dyDescent="0.4">
      <c r="A2831" s="14" t="s">
        <v>4526</v>
      </c>
      <c r="B2831" s="16" t="str">
        <f>TRIM("東淡路集会所")</f>
        <v>東淡路集会所</v>
      </c>
      <c r="C2831" s="14" t="s">
        <v>1526</v>
      </c>
      <c r="D2831" s="14" t="s">
        <v>807</v>
      </c>
      <c r="E2831" s="1">
        <v>318.68</v>
      </c>
      <c r="F2831" s="2"/>
      <c r="G2831" s="1">
        <v>85.58</v>
      </c>
      <c r="H2831" s="3"/>
      <c r="I2831" s="14" t="s">
        <v>4503</v>
      </c>
    </row>
    <row r="2832" spans="1:9" ht="18.75" customHeight="1" x14ac:dyDescent="0.4">
      <c r="A2832" s="14" t="s">
        <v>5023</v>
      </c>
      <c r="B2832" s="16" t="str">
        <f>TRIM("東淡路小学校")</f>
        <v>東淡路小学校</v>
      </c>
      <c r="C2832" s="14" t="s">
        <v>1526</v>
      </c>
      <c r="D2832" s="14" t="s">
        <v>807</v>
      </c>
      <c r="E2832" s="1">
        <v>12662.09</v>
      </c>
      <c r="F2832" s="2"/>
      <c r="G2832" s="1">
        <v>7799.93</v>
      </c>
      <c r="H2832" s="3"/>
      <c r="I2832" s="14" t="s">
        <v>4689</v>
      </c>
    </row>
    <row r="2833" spans="1:9" ht="18.75" customHeight="1" x14ac:dyDescent="0.4">
      <c r="A2833" s="14" t="s">
        <v>6579</v>
      </c>
      <c r="B2833" s="16" t="str">
        <f>TRIM("東淡路住宅")</f>
        <v>東淡路住宅</v>
      </c>
      <c r="C2833" s="14" t="s">
        <v>1526</v>
      </c>
      <c r="D2833" s="14" t="s">
        <v>807</v>
      </c>
      <c r="E2833" s="1">
        <v>12542.41</v>
      </c>
      <c r="F2833" s="2"/>
      <c r="G2833" s="1">
        <v>11340.33</v>
      </c>
      <c r="H2833" s="3"/>
      <c r="I2833" s="14" t="s">
        <v>6177</v>
      </c>
    </row>
    <row r="2834" spans="1:9" ht="18.75" customHeight="1" x14ac:dyDescent="0.4">
      <c r="A2834" s="14" t="s">
        <v>6581</v>
      </c>
      <c r="B2834" s="16" t="str">
        <f>TRIM("東淡路第3住宅")</f>
        <v>東淡路第3住宅</v>
      </c>
      <c r="C2834" s="14" t="s">
        <v>1526</v>
      </c>
      <c r="D2834" s="14" t="s">
        <v>808</v>
      </c>
      <c r="E2834" s="1">
        <v>1114.8699999999999</v>
      </c>
      <c r="F2834" s="2"/>
      <c r="G2834" s="1">
        <v>6447.29</v>
      </c>
      <c r="H2834" s="3"/>
      <c r="I2834" s="14" t="s">
        <v>6177</v>
      </c>
    </row>
    <row r="2835" spans="1:9" ht="18.75" customHeight="1" x14ac:dyDescent="0.4">
      <c r="A2835" s="14" t="s">
        <v>3143</v>
      </c>
      <c r="B2835" s="16" t="str">
        <f>TRIM("　東淡路町公園")</f>
        <v>東淡路町公園</v>
      </c>
      <c r="C2835" s="14" t="s">
        <v>1526</v>
      </c>
      <c r="D2835" s="14" t="s">
        <v>808</v>
      </c>
      <c r="E2835" s="1">
        <v>4761.32</v>
      </c>
      <c r="F2835" s="2"/>
      <c r="G2835" s="1"/>
      <c r="H2835" s="3"/>
      <c r="I2835" s="14" t="s">
        <v>2177</v>
      </c>
    </row>
    <row r="2836" spans="1:9" ht="18.75" customHeight="1" x14ac:dyDescent="0.4">
      <c r="A2836" s="14" t="s">
        <v>3963</v>
      </c>
      <c r="B2836" s="16" t="str">
        <f>TRIM("淡路駅自転車駐車場")</f>
        <v>淡路駅自転車駐車場</v>
      </c>
      <c r="C2836" s="14" t="s">
        <v>1526</v>
      </c>
      <c r="D2836" s="14" t="s">
        <v>808</v>
      </c>
      <c r="E2836" s="1"/>
      <c r="F2836" s="2"/>
      <c r="G2836" s="1">
        <v>158</v>
      </c>
      <c r="H2836" s="3"/>
      <c r="I2836" s="14" t="s">
        <v>2177</v>
      </c>
    </row>
    <row r="2837" spans="1:9" ht="18.75" customHeight="1" x14ac:dyDescent="0.4">
      <c r="A2837" s="14" t="s">
        <v>6944</v>
      </c>
      <c r="B2837" s="16" t="str">
        <f>TRIM("公共施設充当用地（淡路駅周辺地区）")</f>
        <v>公共施設充当用地（淡路駅周辺地区）</v>
      </c>
      <c r="C2837" s="14" t="s">
        <v>1526</v>
      </c>
      <c r="D2837" s="14" t="s">
        <v>808</v>
      </c>
      <c r="E2837" s="1">
        <v>15860.98</v>
      </c>
      <c r="F2837" s="2"/>
      <c r="G2837" s="1"/>
      <c r="H2837" s="3"/>
      <c r="I2837" s="14" t="s">
        <v>6177</v>
      </c>
    </row>
    <row r="2838" spans="1:9" ht="18.75" customHeight="1" x14ac:dyDescent="0.4">
      <c r="A2838" s="14" t="s">
        <v>6945</v>
      </c>
      <c r="B2838" s="16" t="str">
        <f>TRIM("淡路駅周辺地区土地区画整理事業　仮設建物（2）")</f>
        <v>淡路駅周辺地区土地区画整理事業　仮設建物（2）</v>
      </c>
      <c r="C2838" s="14" t="s">
        <v>1526</v>
      </c>
      <c r="D2838" s="14" t="s">
        <v>808</v>
      </c>
      <c r="E2838" s="1"/>
      <c r="F2838" s="2"/>
      <c r="G2838" s="1">
        <v>492.03</v>
      </c>
      <c r="H2838" s="3"/>
      <c r="I2838" s="14" t="s">
        <v>6177</v>
      </c>
    </row>
    <row r="2839" spans="1:9" ht="18.75" customHeight="1" x14ac:dyDescent="0.4">
      <c r="A2839" s="14" t="s">
        <v>6946</v>
      </c>
      <c r="B2839" s="16" t="str">
        <f>TRIM("淡路駅周辺地区土地区画整理事業仮設建物")</f>
        <v>淡路駅周辺地区土地区画整理事業仮設建物</v>
      </c>
      <c r="C2839" s="14" t="s">
        <v>1526</v>
      </c>
      <c r="D2839" s="14" t="s">
        <v>808</v>
      </c>
      <c r="E2839" s="1"/>
      <c r="F2839" s="2"/>
      <c r="G2839" s="1">
        <v>298.01</v>
      </c>
      <c r="H2839" s="3"/>
      <c r="I2839" s="14" t="s">
        <v>6177</v>
      </c>
    </row>
    <row r="2840" spans="1:9" ht="18.75" customHeight="1" x14ac:dyDescent="0.4">
      <c r="A2840" s="14" t="s">
        <v>6947</v>
      </c>
      <c r="B2840" s="16" t="str">
        <f>TRIM("区画整理事業用地（もと公園用地・淡路駅周辺地区）")</f>
        <v>区画整理事業用地（もと公園用地・淡路駅周辺地区）</v>
      </c>
      <c r="C2840" s="14" t="s">
        <v>1526</v>
      </c>
      <c r="D2840" s="14" t="s">
        <v>808</v>
      </c>
      <c r="E2840" s="1">
        <v>751.35</v>
      </c>
      <c r="F2840" s="2"/>
      <c r="G2840" s="1"/>
      <c r="H2840" s="3"/>
      <c r="I2840" s="14" t="s">
        <v>6177</v>
      </c>
    </row>
    <row r="2841" spans="1:9" ht="18.75" customHeight="1" x14ac:dyDescent="0.4">
      <c r="A2841" s="14" t="s">
        <v>6389</v>
      </c>
      <c r="B2841" s="16" t="str">
        <f>TRIM("山口第2住宅")</f>
        <v>山口第2住宅</v>
      </c>
      <c r="C2841" s="14" t="s">
        <v>1526</v>
      </c>
      <c r="D2841" s="14" t="s">
        <v>477</v>
      </c>
      <c r="E2841" s="1">
        <v>3587.2</v>
      </c>
      <c r="F2841" s="2"/>
      <c r="G2841" s="1">
        <v>3499.42</v>
      </c>
      <c r="H2841" s="3"/>
      <c r="I2841" s="14" t="s">
        <v>6177</v>
      </c>
    </row>
    <row r="2842" spans="1:9" ht="18.75" customHeight="1" x14ac:dyDescent="0.4">
      <c r="A2842" s="14" t="s">
        <v>2411</v>
      </c>
      <c r="B2842" s="16" t="str">
        <f>TRIM("東中島ポンプ場")</f>
        <v>東中島ポンプ場</v>
      </c>
      <c r="C2842" s="14" t="s">
        <v>1526</v>
      </c>
      <c r="D2842" s="14" t="s">
        <v>477</v>
      </c>
      <c r="E2842" s="1"/>
      <c r="F2842" s="2"/>
      <c r="G2842" s="1">
        <v>47.44</v>
      </c>
      <c r="H2842" s="3"/>
      <c r="I2842" s="14" t="s">
        <v>2177</v>
      </c>
    </row>
    <row r="2843" spans="1:9" ht="18.75" customHeight="1" x14ac:dyDescent="0.4">
      <c r="A2843" s="14" t="s">
        <v>2758</v>
      </c>
      <c r="B2843" s="16" t="str">
        <f>TRIM("　山口本町公園")</f>
        <v>山口本町公園</v>
      </c>
      <c r="C2843" s="14" t="s">
        <v>1526</v>
      </c>
      <c r="D2843" s="14" t="s">
        <v>477</v>
      </c>
      <c r="E2843" s="1">
        <v>1439.94</v>
      </c>
      <c r="F2843" s="2"/>
      <c r="G2843" s="1"/>
      <c r="H2843" s="3"/>
      <c r="I2843" s="14" t="s">
        <v>2177</v>
      </c>
    </row>
    <row r="2844" spans="1:9" ht="18.75" customHeight="1" x14ac:dyDescent="0.4">
      <c r="A2844" s="14" t="s">
        <v>5624</v>
      </c>
      <c r="B2844" s="16" t="str">
        <f>TRIM("青少年センター")</f>
        <v>青少年センター</v>
      </c>
      <c r="C2844" s="14" t="s">
        <v>1526</v>
      </c>
      <c r="D2844" s="14" t="s">
        <v>477</v>
      </c>
      <c r="E2844" s="1"/>
      <c r="F2844" s="2"/>
      <c r="G2844" s="1">
        <v>8667.1299999999992</v>
      </c>
      <c r="H2844" s="3"/>
      <c r="I2844" s="14" t="s">
        <v>5617</v>
      </c>
    </row>
    <row r="2845" spans="1:9" ht="18.75" customHeight="1" x14ac:dyDescent="0.4">
      <c r="A2845" s="14" t="s">
        <v>5625</v>
      </c>
      <c r="B2845" s="16" t="str">
        <f>TRIM("青少年センター")</f>
        <v>青少年センター</v>
      </c>
      <c r="C2845" s="14" t="s">
        <v>1526</v>
      </c>
      <c r="D2845" s="14" t="s">
        <v>477</v>
      </c>
      <c r="E2845" s="1">
        <v>3385.44</v>
      </c>
      <c r="F2845" s="2"/>
      <c r="G2845" s="1"/>
      <c r="H2845" s="3"/>
      <c r="I2845" s="14" t="s">
        <v>5617</v>
      </c>
    </row>
    <row r="2846" spans="1:9" ht="18.75" customHeight="1" x14ac:dyDescent="0.4">
      <c r="A2846" s="14" t="s">
        <v>6986</v>
      </c>
      <c r="B2846" s="16" t="str">
        <f>TRIM("もと南方診療所")</f>
        <v>もと南方診療所</v>
      </c>
      <c r="C2846" s="14" t="s">
        <v>1526</v>
      </c>
      <c r="D2846" s="14" t="s">
        <v>48</v>
      </c>
      <c r="E2846" s="1">
        <v>511.42</v>
      </c>
      <c r="F2846" s="2">
        <v>994</v>
      </c>
      <c r="G2846" s="1">
        <v>376.72</v>
      </c>
      <c r="H2846" s="3" t="s">
        <v>7353</v>
      </c>
      <c r="I2846" s="14" t="s">
        <v>2402</v>
      </c>
    </row>
    <row r="2847" spans="1:9" ht="18.75" customHeight="1" x14ac:dyDescent="0.4">
      <c r="A2847" s="14" t="s">
        <v>6609</v>
      </c>
      <c r="B2847" s="16" t="str">
        <f>TRIM("南方住宅")</f>
        <v>南方住宅</v>
      </c>
      <c r="C2847" s="14" t="s">
        <v>1526</v>
      </c>
      <c r="D2847" s="14" t="s">
        <v>48</v>
      </c>
      <c r="E2847" s="1">
        <v>15716.07</v>
      </c>
      <c r="F2847" s="2">
        <v>2078</v>
      </c>
      <c r="G2847" s="1">
        <v>25883.3</v>
      </c>
      <c r="H2847" s="3"/>
      <c r="I2847" s="14" t="s">
        <v>6177</v>
      </c>
    </row>
    <row r="2848" spans="1:9" ht="18.75" customHeight="1" x14ac:dyDescent="0.4">
      <c r="A2848" s="14" t="s">
        <v>7065</v>
      </c>
      <c r="B2848" s="16" t="str">
        <f>TRIM("南方商業施設")</f>
        <v>南方商業施設</v>
      </c>
      <c r="C2848" s="14" t="s">
        <v>1526</v>
      </c>
      <c r="D2848" s="14" t="s">
        <v>48</v>
      </c>
      <c r="E2848" s="1">
        <v>609.85</v>
      </c>
      <c r="F2848" s="2"/>
      <c r="G2848" s="1">
        <v>622.15</v>
      </c>
      <c r="H2848" s="3"/>
      <c r="I2848" s="14" t="s">
        <v>4115</v>
      </c>
    </row>
    <row r="2849" spans="1:9" ht="18.75" customHeight="1" x14ac:dyDescent="0.4">
      <c r="A2849" s="14" t="s">
        <v>1658</v>
      </c>
      <c r="B2849" s="16" t="str">
        <f>TRIM("もと南方地区共同浴場")</f>
        <v>もと南方地区共同浴場</v>
      </c>
      <c r="C2849" s="14" t="s">
        <v>1526</v>
      </c>
      <c r="D2849" s="14" t="s">
        <v>48</v>
      </c>
      <c r="E2849" s="1">
        <v>4.97</v>
      </c>
      <c r="F2849" s="2"/>
      <c r="G2849" s="1"/>
      <c r="H2849" s="3"/>
      <c r="I2849" s="14" t="s">
        <v>1654</v>
      </c>
    </row>
    <row r="2850" spans="1:9" ht="18.75" customHeight="1" x14ac:dyDescent="0.4">
      <c r="A2850" s="14" t="s">
        <v>1877</v>
      </c>
      <c r="B2850" s="16" t="str">
        <f>TRIM("南方地域在宅サービスステーション")</f>
        <v>南方地域在宅サービスステーション</v>
      </c>
      <c r="C2850" s="14" t="s">
        <v>1526</v>
      </c>
      <c r="D2850" s="14" t="s">
        <v>48</v>
      </c>
      <c r="E2850" s="1">
        <v>599.86</v>
      </c>
      <c r="F2850" s="2"/>
      <c r="G2850" s="1"/>
      <c r="H2850" s="3"/>
      <c r="I2850" s="14" t="s">
        <v>1654</v>
      </c>
    </row>
    <row r="2851" spans="1:9" ht="18.75" customHeight="1" x14ac:dyDescent="0.4">
      <c r="A2851" s="14" t="s">
        <v>3207</v>
      </c>
      <c r="B2851" s="16" t="str">
        <f>TRIM("　南方公園")</f>
        <v>南方公園</v>
      </c>
      <c r="C2851" s="14" t="s">
        <v>1526</v>
      </c>
      <c r="D2851" s="14" t="s">
        <v>48</v>
      </c>
      <c r="E2851" s="1">
        <v>2793.22</v>
      </c>
      <c r="F2851" s="2"/>
      <c r="G2851" s="1"/>
      <c r="H2851" s="3"/>
      <c r="I2851" s="14" t="s">
        <v>2177</v>
      </c>
    </row>
    <row r="2852" spans="1:9" ht="18.75" customHeight="1" x14ac:dyDescent="0.4">
      <c r="A2852" s="14" t="s">
        <v>3208</v>
      </c>
      <c r="B2852" s="16" t="str">
        <f>TRIM("　南方南公園")</f>
        <v>南方南公園</v>
      </c>
      <c r="C2852" s="14" t="s">
        <v>1526</v>
      </c>
      <c r="D2852" s="14" t="s">
        <v>48</v>
      </c>
      <c r="E2852" s="1">
        <v>1636.04</v>
      </c>
      <c r="F2852" s="2"/>
      <c r="G2852" s="1"/>
      <c r="H2852" s="3"/>
      <c r="I2852" s="14" t="s">
        <v>2177</v>
      </c>
    </row>
    <row r="2853" spans="1:9" ht="18.75" customHeight="1" x14ac:dyDescent="0.4">
      <c r="A2853" s="14" t="s">
        <v>3209</v>
      </c>
      <c r="B2853" s="16" t="str">
        <f>TRIM("　南方北公園")</f>
        <v>南方北公園</v>
      </c>
      <c r="C2853" s="14" t="s">
        <v>1526</v>
      </c>
      <c r="D2853" s="14" t="s">
        <v>48</v>
      </c>
      <c r="E2853" s="1">
        <v>474.8</v>
      </c>
      <c r="F2853" s="2"/>
      <c r="G2853" s="1"/>
      <c r="H2853" s="3"/>
      <c r="I2853" s="14" t="s">
        <v>2177</v>
      </c>
    </row>
    <row r="2854" spans="1:9" ht="18.75" customHeight="1" x14ac:dyDescent="0.4">
      <c r="A2854" s="14" t="s">
        <v>3487</v>
      </c>
      <c r="B2854" s="16" t="str">
        <f>TRIM("南方公園整備事業")</f>
        <v>南方公園整備事業</v>
      </c>
      <c r="C2854" s="14" t="s">
        <v>1526</v>
      </c>
      <c r="D2854" s="14" t="s">
        <v>48</v>
      </c>
      <c r="E2854" s="1">
        <v>98.29</v>
      </c>
      <c r="F2854" s="2"/>
      <c r="G2854" s="1"/>
      <c r="H2854" s="3"/>
      <c r="I2854" s="14" t="s">
        <v>2177</v>
      </c>
    </row>
    <row r="2855" spans="1:9" ht="18.75" customHeight="1" x14ac:dyDescent="0.4">
      <c r="A2855" s="14" t="s">
        <v>6181</v>
      </c>
      <c r="B2855" s="16" t="str">
        <f>TRIM("もと南方住宅")</f>
        <v>もと南方住宅</v>
      </c>
      <c r="C2855" s="14" t="s">
        <v>1526</v>
      </c>
      <c r="D2855" s="14" t="s">
        <v>48</v>
      </c>
      <c r="E2855" s="1">
        <v>53.43</v>
      </c>
      <c r="F2855" s="2"/>
      <c r="G2855" s="1"/>
      <c r="H2855" s="3"/>
      <c r="I2855" s="14" t="s">
        <v>6177</v>
      </c>
    </row>
    <row r="2856" spans="1:9" ht="18.75" customHeight="1" x14ac:dyDescent="0.4">
      <c r="A2856" s="14" t="s">
        <v>7066</v>
      </c>
      <c r="B2856" s="16" t="str">
        <f>TRIM("南方商業振興施設")</f>
        <v>南方商業振興施設</v>
      </c>
      <c r="C2856" s="14" t="s">
        <v>1526</v>
      </c>
      <c r="D2856" s="14" t="s">
        <v>48</v>
      </c>
      <c r="E2856" s="1"/>
      <c r="F2856" s="2"/>
      <c r="G2856" s="1">
        <v>274.45999999999998</v>
      </c>
      <c r="H2856" s="3"/>
      <c r="I2856" s="14" t="s">
        <v>4115</v>
      </c>
    </row>
    <row r="2857" spans="1:9" ht="18.75" customHeight="1" x14ac:dyDescent="0.4">
      <c r="A2857" s="14" t="s">
        <v>6172</v>
      </c>
      <c r="B2857" s="16" t="str">
        <f>TRIM("もと山口霊園")</f>
        <v>もと山口霊園</v>
      </c>
      <c r="C2857" s="14" t="s">
        <v>1526</v>
      </c>
      <c r="D2857" s="14" t="s">
        <v>327</v>
      </c>
      <c r="E2857" s="1">
        <v>318.11</v>
      </c>
      <c r="F2857" s="2">
        <v>386</v>
      </c>
      <c r="G2857" s="1"/>
      <c r="H2857" s="3"/>
      <c r="I2857" s="14" t="s">
        <v>5977</v>
      </c>
    </row>
    <row r="2858" spans="1:9" ht="18.75" customHeight="1" x14ac:dyDescent="0.4">
      <c r="A2858" s="14" t="s">
        <v>5958</v>
      </c>
      <c r="B2858" s="16" t="str">
        <f>TRIM("もとあすか保育所")</f>
        <v>もとあすか保育所</v>
      </c>
      <c r="C2858" s="14" t="s">
        <v>1526</v>
      </c>
      <c r="D2858" s="14" t="s">
        <v>327</v>
      </c>
      <c r="E2858" s="1">
        <v>1524.96</v>
      </c>
      <c r="F2858" s="2">
        <v>1714</v>
      </c>
      <c r="G2858" s="1"/>
      <c r="H2858" s="3"/>
      <c r="I2858" s="14" t="s">
        <v>5617</v>
      </c>
    </row>
    <row r="2859" spans="1:9" ht="18.75" customHeight="1" x14ac:dyDescent="0.4">
      <c r="A2859" s="14" t="s">
        <v>2878</v>
      </c>
      <c r="B2859" s="16" t="str">
        <f>TRIM("　崇禅寺公園")</f>
        <v>崇禅寺公園</v>
      </c>
      <c r="C2859" s="14" t="s">
        <v>1526</v>
      </c>
      <c r="D2859" s="14" t="s">
        <v>327</v>
      </c>
      <c r="E2859" s="1">
        <v>1627.73</v>
      </c>
      <c r="F2859" s="2">
        <v>1875</v>
      </c>
      <c r="G2859" s="1"/>
      <c r="H2859" s="3"/>
      <c r="I2859" s="14" t="s">
        <v>2177</v>
      </c>
    </row>
    <row r="2860" spans="1:9" ht="18.75" customHeight="1" x14ac:dyDescent="0.4">
      <c r="A2860" s="14" t="s">
        <v>6632</v>
      </c>
      <c r="B2860" s="16" t="str">
        <f>TRIM("飛鳥住宅")</f>
        <v>飛鳥住宅</v>
      </c>
      <c r="C2860" s="14" t="s">
        <v>1526</v>
      </c>
      <c r="D2860" s="14" t="s">
        <v>327</v>
      </c>
      <c r="E2860" s="1">
        <v>14616.47</v>
      </c>
      <c r="F2860" s="2">
        <v>2085</v>
      </c>
      <c r="G2860" s="1">
        <v>18862.63</v>
      </c>
      <c r="H2860" s="3"/>
      <c r="I2860" s="14" t="s">
        <v>6177</v>
      </c>
    </row>
    <row r="2861" spans="1:9" ht="18.75" customHeight="1" x14ac:dyDescent="0.4">
      <c r="A2861" s="14" t="s">
        <v>1668</v>
      </c>
      <c r="B2861" s="16" t="str">
        <f>TRIM("もと東淀川区東中島事業用地")</f>
        <v>もと東淀川区東中島事業用地</v>
      </c>
      <c r="C2861" s="14" t="s">
        <v>1526</v>
      </c>
      <c r="D2861" s="14" t="s">
        <v>327</v>
      </c>
      <c r="E2861" s="1">
        <v>376.35</v>
      </c>
      <c r="F2861" s="2" t="s">
        <v>7338</v>
      </c>
      <c r="G2861" s="1"/>
      <c r="H2861" s="3"/>
      <c r="I2861" s="14" t="s">
        <v>1654</v>
      </c>
    </row>
    <row r="2862" spans="1:9" ht="18.75" customHeight="1" x14ac:dyDescent="0.4">
      <c r="A2862" s="14" t="s">
        <v>3485</v>
      </c>
      <c r="B2862" s="16" t="str">
        <f>TRIM("もと東淀川区東中島事業用地")</f>
        <v>もと東淀川区東中島事業用地</v>
      </c>
      <c r="C2862" s="14" t="s">
        <v>1526</v>
      </c>
      <c r="D2862" s="14" t="s">
        <v>327</v>
      </c>
      <c r="E2862" s="1">
        <v>426.29</v>
      </c>
      <c r="F2862" s="2" t="s">
        <v>7338</v>
      </c>
      <c r="G2862" s="1"/>
      <c r="H2862" s="3"/>
      <c r="I2862" s="14" t="s">
        <v>2177</v>
      </c>
    </row>
    <row r="2863" spans="1:9" ht="18.75" customHeight="1" x14ac:dyDescent="0.4">
      <c r="A2863" s="14" t="s">
        <v>5173</v>
      </c>
      <c r="B2863" s="16" t="str">
        <f>TRIM("もと東淀川区東中島事業用地")</f>
        <v>もと東淀川区東中島事業用地</v>
      </c>
      <c r="C2863" s="14" t="s">
        <v>1526</v>
      </c>
      <c r="D2863" s="14" t="s">
        <v>327</v>
      </c>
      <c r="E2863" s="1">
        <v>430.17</v>
      </c>
      <c r="F2863" s="2" t="s">
        <v>7338</v>
      </c>
      <c r="G2863" s="1"/>
      <c r="H2863" s="3"/>
      <c r="I2863" s="14" t="s">
        <v>4689</v>
      </c>
    </row>
    <row r="2864" spans="1:9" ht="18.75" customHeight="1" x14ac:dyDescent="0.4">
      <c r="A2864" s="14" t="s">
        <v>5174</v>
      </c>
      <c r="B2864" s="16" t="str">
        <f>TRIM("もと飛鳥青少年会館")</f>
        <v>もと飛鳥青少年会館</v>
      </c>
      <c r="C2864" s="14" t="s">
        <v>1526</v>
      </c>
      <c r="D2864" s="14" t="s">
        <v>327</v>
      </c>
      <c r="E2864" s="1">
        <v>292.74</v>
      </c>
      <c r="F2864" s="2"/>
      <c r="G2864" s="1">
        <v>264.82</v>
      </c>
      <c r="H2864" s="3" t="s">
        <v>7353</v>
      </c>
      <c r="I2864" s="14" t="s">
        <v>4689</v>
      </c>
    </row>
    <row r="2865" spans="1:9" ht="18.75" customHeight="1" x14ac:dyDescent="0.4">
      <c r="A2865" s="14" t="s">
        <v>6633</v>
      </c>
      <c r="B2865" s="16" t="str">
        <f>TRIM("飛鳥西住宅")</f>
        <v>飛鳥西住宅</v>
      </c>
      <c r="C2865" s="14" t="s">
        <v>1526</v>
      </c>
      <c r="D2865" s="14" t="s">
        <v>327</v>
      </c>
      <c r="E2865" s="1">
        <v>9186.5400000000009</v>
      </c>
      <c r="F2865" s="2"/>
      <c r="G2865" s="1">
        <v>18437.62</v>
      </c>
      <c r="H2865" s="3"/>
      <c r="I2865" s="14" t="s">
        <v>6177</v>
      </c>
    </row>
    <row r="2866" spans="1:9" ht="18.75" customHeight="1" x14ac:dyDescent="0.4">
      <c r="A2866" s="14" t="s">
        <v>1887</v>
      </c>
      <c r="B2866" s="16" t="str">
        <f>TRIM("生活支援ハウス飛鳥ともしび苑・認知症高齢者グループホーム飛鳥ともしび苑")</f>
        <v>生活支援ハウス飛鳥ともしび苑・認知症高齢者グループホーム飛鳥ともしび苑</v>
      </c>
      <c r="C2866" s="14" t="s">
        <v>1526</v>
      </c>
      <c r="D2866" s="14" t="s">
        <v>327</v>
      </c>
      <c r="E2866" s="1">
        <v>1087.98</v>
      </c>
      <c r="F2866" s="2"/>
      <c r="G2866" s="1"/>
      <c r="H2866" s="3"/>
      <c r="I2866" s="14" t="s">
        <v>1654</v>
      </c>
    </row>
    <row r="2867" spans="1:9" ht="18.75" customHeight="1" x14ac:dyDescent="0.4">
      <c r="A2867" s="14" t="s">
        <v>4967</v>
      </c>
      <c r="B2867" s="16" t="str">
        <f>TRIM("もと東淀川特別支援学校")</f>
        <v>もと東淀川特別支援学校</v>
      </c>
      <c r="C2867" s="14" t="s">
        <v>1526</v>
      </c>
      <c r="D2867" s="14" t="s">
        <v>327</v>
      </c>
      <c r="E2867" s="1">
        <v>502.12</v>
      </c>
      <c r="F2867" s="2"/>
      <c r="G2867" s="1"/>
      <c r="H2867" s="3"/>
      <c r="I2867" s="14" t="s">
        <v>4689</v>
      </c>
    </row>
    <row r="2868" spans="1:9" ht="18.75" customHeight="1" x14ac:dyDescent="0.4">
      <c r="A2868" s="14" t="s">
        <v>5954</v>
      </c>
      <c r="B2868" s="16" t="str">
        <f>TRIM("あすか保育園")</f>
        <v>あすか保育園</v>
      </c>
      <c r="C2868" s="14" t="s">
        <v>1526</v>
      </c>
      <c r="D2868" s="14" t="s">
        <v>327</v>
      </c>
      <c r="E2868" s="1">
        <v>577.6</v>
      </c>
      <c r="F2868" s="2"/>
      <c r="G2868" s="1"/>
      <c r="H2868" s="3"/>
      <c r="I2868" s="14" t="s">
        <v>5617</v>
      </c>
    </row>
    <row r="2869" spans="1:9" ht="18.75" customHeight="1" x14ac:dyDescent="0.4">
      <c r="A2869" s="14" t="s">
        <v>6122</v>
      </c>
      <c r="B2869" s="16" t="str">
        <f>TRIM("山口霊園")</f>
        <v>山口霊園</v>
      </c>
      <c r="C2869" s="14" t="s">
        <v>1526</v>
      </c>
      <c r="D2869" s="14" t="s">
        <v>327</v>
      </c>
      <c r="E2869" s="1">
        <v>2109.21</v>
      </c>
      <c r="F2869" s="2"/>
      <c r="G2869" s="1"/>
      <c r="H2869" s="3"/>
      <c r="I2869" s="14" t="s">
        <v>5977</v>
      </c>
    </row>
    <row r="2870" spans="1:9" ht="18.75" customHeight="1" x14ac:dyDescent="0.4">
      <c r="A2870" s="14" t="s">
        <v>6239</v>
      </c>
      <c r="B2870" s="16" t="str">
        <f>TRIM("飛鳥住宅")</f>
        <v>飛鳥住宅</v>
      </c>
      <c r="C2870" s="14" t="s">
        <v>1526</v>
      </c>
      <c r="D2870" s="14" t="s">
        <v>327</v>
      </c>
      <c r="E2870" s="1">
        <v>528.91</v>
      </c>
      <c r="F2870" s="2"/>
      <c r="G2870" s="1"/>
      <c r="H2870" s="3"/>
      <c r="I2870" s="14" t="s">
        <v>6177</v>
      </c>
    </row>
    <row r="2871" spans="1:9" ht="18.75" customHeight="1" x14ac:dyDescent="0.4">
      <c r="A2871" s="14" t="s">
        <v>6232</v>
      </c>
      <c r="B2871" s="16" t="str">
        <f>TRIM("もと東中島住宅")</f>
        <v>もと東中島住宅</v>
      </c>
      <c r="C2871" s="14" t="s">
        <v>1526</v>
      </c>
      <c r="D2871" s="14" t="s">
        <v>84</v>
      </c>
      <c r="E2871" s="1">
        <v>2329.2800000000002</v>
      </c>
      <c r="F2871" s="2" t="s">
        <v>7346</v>
      </c>
      <c r="G2871" s="1"/>
      <c r="H2871" s="3"/>
      <c r="I2871" s="14" t="s">
        <v>6177</v>
      </c>
    </row>
    <row r="2872" spans="1:9" ht="18.75" customHeight="1" x14ac:dyDescent="0.4">
      <c r="A2872" s="14" t="s">
        <v>4791</v>
      </c>
      <c r="B2872" s="16" t="str">
        <f>TRIM("啓発小学校　中島中学校")</f>
        <v>啓発小学校　中島中学校</v>
      </c>
      <c r="C2872" s="14" t="s">
        <v>1526</v>
      </c>
      <c r="D2872" s="14" t="s">
        <v>84</v>
      </c>
      <c r="E2872" s="1">
        <v>17839.919999999998</v>
      </c>
      <c r="F2872" s="2"/>
      <c r="G2872" s="1">
        <v>12288.73</v>
      </c>
      <c r="H2872" s="3"/>
      <c r="I2872" s="14" t="s">
        <v>4689</v>
      </c>
    </row>
    <row r="2873" spans="1:9" ht="18.75" customHeight="1" x14ac:dyDescent="0.4">
      <c r="A2873" s="14" t="s">
        <v>5915</v>
      </c>
      <c r="B2873" s="16" t="str">
        <f>TRIM("日之出保育所")</f>
        <v>日之出保育所</v>
      </c>
      <c r="C2873" s="14" t="s">
        <v>1526</v>
      </c>
      <c r="D2873" s="14" t="s">
        <v>84</v>
      </c>
      <c r="E2873" s="1">
        <v>2845.41</v>
      </c>
      <c r="F2873" s="2"/>
      <c r="G2873" s="1">
        <v>1763.51</v>
      </c>
      <c r="H2873" s="3"/>
      <c r="I2873" s="14" t="s">
        <v>5617</v>
      </c>
    </row>
    <row r="2874" spans="1:9" ht="18.75" customHeight="1" x14ac:dyDescent="0.4">
      <c r="A2874" s="14" t="s">
        <v>7129</v>
      </c>
      <c r="B2874" s="16" t="str">
        <f>TRIM("東淀川体育館")</f>
        <v>東淀川体育館</v>
      </c>
      <c r="C2874" s="14" t="s">
        <v>1526</v>
      </c>
      <c r="D2874" s="14" t="s">
        <v>84</v>
      </c>
      <c r="E2874" s="1">
        <v>3535.87</v>
      </c>
      <c r="F2874" s="2"/>
      <c r="G2874" s="1">
        <v>3093.38</v>
      </c>
      <c r="H2874" s="3"/>
      <c r="I2874" s="14" t="s">
        <v>4115</v>
      </c>
    </row>
    <row r="2875" spans="1:9" ht="18.75" customHeight="1" x14ac:dyDescent="0.4">
      <c r="A2875" s="14" t="s">
        <v>2834</v>
      </c>
      <c r="B2875" s="16" t="str">
        <f>TRIM("　新駅2号公園")</f>
        <v>新駅2号公園</v>
      </c>
      <c r="C2875" s="14" t="s">
        <v>1526</v>
      </c>
      <c r="D2875" s="14" t="s">
        <v>84</v>
      </c>
      <c r="E2875" s="1">
        <v>3985.77</v>
      </c>
      <c r="F2875" s="2"/>
      <c r="G2875" s="1"/>
      <c r="H2875" s="3"/>
      <c r="I2875" s="14" t="s">
        <v>2177</v>
      </c>
    </row>
    <row r="2876" spans="1:9" ht="18.75" customHeight="1" x14ac:dyDescent="0.4">
      <c r="A2876" s="14" t="s">
        <v>5158</v>
      </c>
      <c r="B2876" s="16" t="str">
        <f>TRIM("埋蔵文化財発掘調査・収蔵施設")</f>
        <v>埋蔵文化財発掘調査・収蔵施設</v>
      </c>
      <c r="C2876" s="14" t="s">
        <v>1526</v>
      </c>
      <c r="D2876" s="14" t="s">
        <v>84</v>
      </c>
      <c r="E2876" s="1"/>
      <c r="F2876" s="2"/>
      <c r="G2876" s="1">
        <v>993.15</v>
      </c>
      <c r="H2876" s="3"/>
      <c r="I2876" s="14" t="s">
        <v>4689</v>
      </c>
    </row>
    <row r="2877" spans="1:9" ht="18.75" customHeight="1" x14ac:dyDescent="0.4">
      <c r="A2877" s="14" t="s">
        <v>6216</v>
      </c>
      <c r="B2877" s="16" t="str">
        <f>TRIM("東中島住宅")</f>
        <v>東中島住宅</v>
      </c>
      <c r="C2877" s="14" t="s">
        <v>1526</v>
      </c>
      <c r="D2877" s="14" t="s">
        <v>84</v>
      </c>
      <c r="E2877" s="1">
        <v>2623.47</v>
      </c>
      <c r="F2877" s="2" t="s">
        <v>7342</v>
      </c>
      <c r="G2877" s="1"/>
      <c r="H2877" s="3"/>
      <c r="I2877" s="14" t="s">
        <v>6177</v>
      </c>
    </row>
    <row r="2878" spans="1:9" ht="18.75" customHeight="1" x14ac:dyDescent="0.4">
      <c r="A2878" s="14" t="s">
        <v>6217</v>
      </c>
      <c r="B2878" s="16" t="str">
        <f>TRIM("東中島定期借地権事業用地")</f>
        <v>東中島定期借地権事業用地</v>
      </c>
      <c r="C2878" s="14" t="s">
        <v>1526</v>
      </c>
      <c r="D2878" s="14" t="s">
        <v>84</v>
      </c>
      <c r="E2878" s="1">
        <v>805</v>
      </c>
      <c r="F2878" s="2"/>
      <c r="G2878" s="1"/>
      <c r="H2878" s="3"/>
      <c r="I2878" s="14" t="s">
        <v>6177</v>
      </c>
    </row>
    <row r="2879" spans="1:9" ht="18.75" customHeight="1" x14ac:dyDescent="0.4">
      <c r="A2879" s="14" t="s">
        <v>6805</v>
      </c>
      <c r="B2879" s="16" t="str">
        <f>TRIM("都市整備局淡路倉庫")</f>
        <v>都市整備局淡路倉庫</v>
      </c>
      <c r="C2879" s="14" t="s">
        <v>1526</v>
      </c>
      <c r="D2879" s="14" t="s">
        <v>84</v>
      </c>
      <c r="E2879" s="1"/>
      <c r="F2879" s="2"/>
      <c r="G2879" s="1">
        <v>669.23</v>
      </c>
      <c r="H2879" s="3"/>
      <c r="I2879" s="14" t="s">
        <v>6177</v>
      </c>
    </row>
    <row r="2880" spans="1:9" ht="18.75" customHeight="1" x14ac:dyDescent="0.4">
      <c r="A2880" s="14" t="s">
        <v>2184</v>
      </c>
      <c r="B2880" s="16" t="str">
        <f>TRIM("熊野大阪線代替地")</f>
        <v>熊野大阪線代替地</v>
      </c>
      <c r="C2880" s="14" t="s">
        <v>1526</v>
      </c>
      <c r="D2880" s="14" t="s">
        <v>440</v>
      </c>
      <c r="E2880" s="1">
        <v>187.36</v>
      </c>
      <c r="F2880" s="2">
        <v>398</v>
      </c>
      <c r="G2880" s="1"/>
      <c r="H2880" s="3"/>
      <c r="I2880" s="14" t="s">
        <v>2177</v>
      </c>
    </row>
    <row r="2881" spans="1:9" ht="18.75" customHeight="1" x14ac:dyDescent="0.4">
      <c r="A2881" s="14" t="s">
        <v>6616</v>
      </c>
      <c r="B2881" s="16" t="str">
        <f>TRIM("日之出第4住宅")</f>
        <v>日之出第4住宅</v>
      </c>
      <c r="C2881" s="14" t="s">
        <v>1526</v>
      </c>
      <c r="D2881" s="14" t="s">
        <v>440</v>
      </c>
      <c r="E2881" s="1">
        <v>3729.84</v>
      </c>
      <c r="F2881" s="2">
        <v>1480</v>
      </c>
      <c r="G2881" s="1">
        <v>2670.65</v>
      </c>
      <c r="H2881" s="3"/>
      <c r="I2881" s="14" t="s">
        <v>6177</v>
      </c>
    </row>
    <row r="2882" spans="1:9" ht="18.75" customHeight="1" x14ac:dyDescent="0.4">
      <c r="A2882" s="14" t="s">
        <v>6388</v>
      </c>
      <c r="B2882" s="16" t="str">
        <f>TRIM("山口住宅")</f>
        <v>山口住宅</v>
      </c>
      <c r="C2882" s="14" t="s">
        <v>1526</v>
      </c>
      <c r="D2882" s="14" t="s">
        <v>440</v>
      </c>
      <c r="E2882" s="1">
        <v>1336.51</v>
      </c>
      <c r="F2882" s="2">
        <v>2127</v>
      </c>
      <c r="G2882" s="1"/>
      <c r="H2882" s="3"/>
      <c r="I2882" s="14" t="s">
        <v>6177</v>
      </c>
    </row>
    <row r="2883" spans="1:9" ht="18.75" customHeight="1" x14ac:dyDescent="0.4">
      <c r="A2883" s="14" t="s">
        <v>6753</v>
      </c>
      <c r="B2883" s="16" t="str">
        <f>TRIM("東中島住宅")</f>
        <v>東中島住宅</v>
      </c>
      <c r="C2883" s="14" t="s">
        <v>1526</v>
      </c>
      <c r="D2883" s="14" t="s">
        <v>440</v>
      </c>
      <c r="E2883" s="1">
        <v>3268.14</v>
      </c>
      <c r="F2883" s="2"/>
      <c r="G2883" s="1">
        <v>2389.7800000000002</v>
      </c>
      <c r="H2883" s="3"/>
      <c r="I2883" s="14" t="s">
        <v>6177</v>
      </c>
    </row>
    <row r="2884" spans="1:9" ht="18.75" customHeight="1" x14ac:dyDescent="0.4">
      <c r="A2884" s="14" t="s">
        <v>6012</v>
      </c>
      <c r="B2884" s="16" t="str">
        <f>TRIM("共同利用施設（啓発センター）")</f>
        <v>共同利用施設（啓発センター）</v>
      </c>
      <c r="C2884" s="14" t="s">
        <v>1526</v>
      </c>
      <c r="D2884" s="14" t="s">
        <v>440</v>
      </c>
      <c r="E2884" s="1">
        <v>492.52</v>
      </c>
      <c r="F2884" s="2"/>
      <c r="G2884" s="1">
        <v>505.75</v>
      </c>
      <c r="H2884" s="3"/>
      <c r="I2884" s="14" t="s">
        <v>5977</v>
      </c>
    </row>
    <row r="2885" spans="1:9" ht="18.75" customHeight="1" x14ac:dyDescent="0.4">
      <c r="A2885" s="14" t="s">
        <v>6737</v>
      </c>
      <c r="B2885" s="16" t="str">
        <f>TRIM("崇禅寺住宅")</f>
        <v>崇禅寺住宅</v>
      </c>
      <c r="C2885" s="14" t="s">
        <v>1526</v>
      </c>
      <c r="D2885" s="14" t="s">
        <v>440</v>
      </c>
      <c r="E2885" s="1">
        <v>27071.87</v>
      </c>
      <c r="F2885" s="2"/>
      <c r="G2885" s="1">
        <v>16188.82</v>
      </c>
      <c r="H2885" s="3"/>
      <c r="I2885" s="14" t="s">
        <v>6177</v>
      </c>
    </row>
    <row r="2886" spans="1:9" ht="18.75" customHeight="1" x14ac:dyDescent="0.4">
      <c r="A2886" s="14" t="s">
        <v>1786</v>
      </c>
      <c r="B2886" s="16" t="str">
        <f>TRIM("啓発老人憩の家")</f>
        <v>啓発老人憩の家</v>
      </c>
      <c r="C2886" s="14" t="s">
        <v>1526</v>
      </c>
      <c r="D2886" s="14" t="s">
        <v>440</v>
      </c>
      <c r="E2886" s="1">
        <v>565.03</v>
      </c>
      <c r="F2886" s="2"/>
      <c r="G2886" s="1"/>
      <c r="H2886" s="3"/>
      <c r="I2886" s="14" t="s">
        <v>1654</v>
      </c>
    </row>
    <row r="2887" spans="1:9" ht="18.75" customHeight="1" x14ac:dyDescent="0.4">
      <c r="A2887" s="14" t="s">
        <v>6792</v>
      </c>
      <c r="B2887" s="16" t="str">
        <f>TRIM("もと山口住宅")</f>
        <v>もと山口住宅</v>
      </c>
      <c r="C2887" s="14" t="s">
        <v>1526</v>
      </c>
      <c r="D2887" s="14" t="s">
        <v>440</v>
      </c>
      <c r="E2887" s="1"/>
      <c r="F2887" s="2"/>
      <c r="G2887" s="1">
        <v>3033.05</v>
      </c>
      <c r="H2887" s="3"/>
      <c r="I2887" s="14" t="s">
        <v>6177</v>
      </c>
    </row>
    <row r="2888" spans="1:9" ht="18.75" customHeight="1" x14ac:dyDescent="0.4">
      <c r="A2888" s="14" t="s">
        <v>6634</v>
      </c>
      <c r="B2888" s="16" t="str">
        <f>TRIM("飛鳥北住宅")</f>
        <v>飛鳥北住宅</v>
      </c>
      <c r="C2888" s="14" t="s">
        <v>1526</v>
      </c>
      <c r="D2888" s="14" t="s">
        <v>711</v>
      </c>
      <c r="E2888" s="1">
        <v>435.82</v>
      </c>
      <c r="F2888" s="2">
        <v>401</v>
      </c>
      <c r="G2888" s="1"/>
      <c r="H2888" s="3"/>
      <c r="I2888" s="14" t="s">
        <v>6177</v>
      </c>
    </row>
    <row r="2889" spans="1:9" ht="18.75" customHeight="1" x14ac:dyDescent="0.4">
      <c r="A2889" s="14" t="s">
        <v>6258</v>
      </c>
      <c r="B2889" s="16" t="str">
        <f>TRIM("もと崇禅寺住宅")</f>
        <v>もと崇禅寺住宅</v>
      </c>
      <c r="C2889" s="14" t="s">
        <v>1526</v>
      </c>
      <c r="D2889" s="14" t="s">
        <v>711</v>
      </c>
      <c r="E2889" s="1">
        <v>330.45</v>
      </c>
      <c r="F2889" s="2">
        <v>1918</v>
      </c>
      <c r="G2889" s="1"/>
      <c r="H2889" s="3"/>
      <c r="I2889" s="14" t="s">
        <v>6177</v>
      </c>
    </row>
    <row r="2890" spans="1:9" ht="18.75" customHeight="1" x14ac:dyDescent="0.4">
      <c r="A2890" s="14" t="s">
        <v>6791</v>
      </c>
      <c r="B2890" s="16" t="str">
        <f>TRIM("東中島北住宅")</f>
        <v>東中島北住宅</v>
      </c>
      <c r="C2890" s="14" t="s">
        <v>1526</v>
      </c>
      <c r="D2890" s="14" t="s">
        <v>711</v>
      </c>
      <c r="E2890" s="1">
        <v>5644.71</v>
      </c>
      <c r="F2890" s="2"/>
      <c r="G2890" s="1">
        <v>7208.12</v>
      </c>
      <c r="H2890" s="3"/>
      <c r="I2890" s="14" t="s">
        <v>6177</v>
      </c>
    </row>
    <row r="2891" spans="1:9" ht="18.75" customHeight="1" x14ac:dyDescent="0.4">
      <c r="A2891" s="14" t="s">
        <v>1599</v>
      </c>
      <c r="B2891" s="16" t="str">
        <f>TRIM("東淀川区民センター建設用地")</f>
        <v>東淀川区民センター建設用地</v>
      </c>
      <c r="C2891" s="14" t="s">
        <v>1526</v>
      </c>
      <c r="D2891" s="14" t="s">
        <v>97</v>
      </c>
      <c r="E2891" s="1">
        <v>172.52</v>
      </c>
      <c r="F2891" s="2">
        <v>405</v>
      </c>
      <c r="G2891" s="1"/>
      <c r="H2891" s="3"/>
      <c r="I2891" s="14" t="s">
        <v>1598</v>
      </c>
    </row>
    <row r="2892" spans="1:9" ht="18.75" customHeight="1" x14ac:dyDescent="0.4">
      <c r="A2892" s="14" t="s">
        <v>1597</v>
      </c>
      <c r="B2892" s="16" t="str">
        <f>TRIM(" 東淀川区民センター保有地")</f>
        <v>東淀川区民センター保有地</v>
      </c>
      <c r="C2892" s="14" t="s">
        <v>1526</v>
      </c>
      <c r="D2892" s="14" t="s">
        <v>97</v>
      </c>
      <c r="E2892" s="1">
        <v>3774.9</v>
      </c>
      <c r="F2892" s="2" t="s">
        <v>7337</v>
      </c>
      <c r="G2892" s="1"/>
      <c r="H2892" s="3"/>
      <c r="I2892" s="14" t="s">
        <v>1598</v>
      </c>
    </row>
    <row r="2893" spans="1:9" ht="18.75" customHeight="1" x14ac:dyDescent="0.4">
      <c r="A2893" s="14" t="s">
        <v>3287</v>
      </c>
      <c r="B2893" s="16" t="str">
        <f>TRIM("　豊北公園")</f>
        <v>豊北公園</v>
      </c>
      <c r="C2893" s="14" t="s">
        <v>1526</v>
      </c>
      <c r="D2893" s="14" t="s">
        <v>97</v>
      </c>
      <c r="E2893" s="1">
        <v>980.58</v>
      </c>
      <c r="F2893" s="2"/>
      <c r="G2893" s="1"/>
      <c r="H2893" s="3"/>
      <c r="I2893" s="14" t="s">
        <v>2177</v>
      </c>
    </row>
    <row r="2894" spans="1:9" ht="18.75" customHeight="1" x14ac:dyDescent="0.4">
      <c r="A2894" s="14" t="s">
        <v>5524</v>
      </c>
      <c r="B2894" s="16" t="str">
        <f>TRIM("東淀川警察署")</f>
        <v>東淀川警察署</v>
      </c>
      <c r="C2894" s="14" t="s">
        <v>1526</v>
      </c>
      <c r="D2894" s="14" t="s">
        <v>97</v>
      </c>
      <c r="E2894" s="1">
        <v>1489</v>
      </c>
      <c r="F2894" s="2"/>
      <c r="G2894" s="1"/>
      <c r="H2894" s="3"/>
      <c r="I2894" s="14" t="s">
        <v>5349</v>
      </c>
    </row>
    <row r="2895" spans="1:9" ht="18.75" customHeight="1" x14ac:dyDescent="0.4">
      <c r="A2895" s="14" t="s">
        <v>4502</v>
      </c>
      <c r="B2895" s="16" t="str">
        <f>TRIM("東淀川区役所")</f>
        <v>東淀川区役所</v>
      </c>
      <c r="C2895" s="14" t="s">
        <v>1526</v>
      </c>
      <c r="D2895" s="14" t="s">
        <v>353</v>
      </c>
      <c r="E2895" s="1">
        <v>5188.22</v>
      </c>
      <c r="F2895" s="2"/>
      <c r="G2895" s="1">
        <v>5603.16</v>
      </c>
      <c r="H2895" s="3"/>
      <c r="I2895" s="14" t="s">
        <v>4503</v>
      </c>
    </row>
    <row r="2896" spans="1:9" ht="18.75" customHeight="1" x14ac:dyDescent="0.4">
      <c r="A2896" s="14" t="s">
        <v>4521</v>
      </c>
      <c r="B2896" s="16" t="str">
        <f>TRIM("豊新福祉会館")</f>
        <v>豊新福祉会館</v>
      </c>
      <c r="C2896" s="14" t="s">
        <v>1526</v>
      </c>
      <c r="D2896" s="14" t="s">
        <v>353</v>
      </c>
      <c r="E2896" s="1">
        <v>281.95999999999998</v>
      </c>
      <c r="F2896" s="2"/>
      <c r="G2896" s="1">
        <v>135.35</v>
      </c>
      <c r="H2896" s="3"/>
      <c r="I2896" s="14" t="s">
        <v>4503</v>
      </c>
    </row>
    <row r="2897" spans="1:9" ht="18.75" customHeight="1" x14ac:dyDescent="0.4">
      <c r="A2897" s="14" t="s">
        <v>1726</v>
      </c>
      <c r="B2897" s="16" t="str">
        <f>TRIM("障がい福祉サービス事業所　ワークセンター豊新")</f>
        <v>障がい福祉サービス事業所　ワークセンター豊新</v>
      </c>
      <c r="C2897" s="14" t="s">
        <v>1526</v>
      </c>
      <c r="D2897" s="14" t="s">
        <v>353</v>
      </c>
      <c r="E2897" s="1">
        <v>500.62</v>
      </c>
      <c r="F2897" s="2"/>
      <c r="G2897" s="1"/>
      <c r="H2897" s="3"/>
      <c r="I2897" s="14" t="s">
        <v>1654</v>
      </c>
    </row>
    <row r="2898" spans="1:9" ht="18.75" customHeight="1" x14ac:dyDescent="0.4">
      <c r="A2898" s="14" t="s">
        <v>1929</v>
      </c>
      <c r="B2898" s="16" t="str">
        <f>TRIM("特別養護老人ホームさわやか苑")</f>
        <v>特別養護老人ホームさわやか苑</v>
      </c>
      <c r="C2898" s="14" t="s">
        <v>1526</v>
      </c>
      <c r="D2898" s="14" t="s">
        <v>353</v>
      </c>
      <c r="E2898" s="1">
        <v>3348.87</v>
      </c>
      <c r="F2898" s="2"/>
      <c r="G2898" s="1"/>
      <c r="H2898" s="3"/>
      <c r="I2898" s="14" t="s">
        <v>1654</v>
      </c>
    </row>
    <row r="2899" spans="1:9" ht="18.75" customHeight="1" x14ac:dyDescent="0.4">
      <c r="A2899" s="14" t="s">
        <v>2973</v>
      </c>
      <c r="B2899" s="16" t="str">
        <f>TRIM("　多幸公園")</f>
        <v>多幸公園</v>
      </c>
      <c r="C2899" s="14" t="s">
        <v>1526</v>
      </c>
      <c r="D2899" s="14" t="s">
        <v>353</v>
      </c>
      <c r="E2899" s="1">
        <v>4100.3999999999996</v>
      </c>
      <c r="F2899" s="2"/>
      <c r="G2899" s="1"/>
      <c r="H2899" s="3"/>
      <c r="I2899" s="14" t="s">
        <v>2177</v>
      </c>
    </row>
    <row r="2900" spans="1:9" ht="18.75" customHeight="1" x14ac:dyDescent="0.4">
      <c r="A2900" s="14" t="s">
        <v>4505</v>
      </c>
      <c r="B2900" s="16" t="str">
        <f>TRIM("東淀川区保健福祉センター")</f>
        <v>東淀川区保健福祉センター</v>
      </c>
      <c r="C2900" s="14" t="s">
        <v>1526</v>
      </c>
      <c r="D2900" s="14" t="s">
        <v>353</v>
      </c>
      <c r="E2900" s="1"/>
      <c r="F2900" s="2"/>
      <c r="G2900" s="1">
        <v>1332.65</v>
      </c>
      <c r="H2900" s="3"/>
      <c r="I2900" s="14" t="s">
        <v>4503</v>
      </c>
    </row>
    <row r="2901" spans="1:9" ht="18.75" customHeight="1" x14ac:dyDescent="0.4">
      <c r="A2901" s="14" t="s">
        <v>4517</v>
      </c>
      <c r="B2901" s="16" t="str">
        <f>TRIM("東淀川区民ホール")</f>
        <v>東淀川区民ホール</v>
      </c>
      <c r="C2901" s="14" t="s">
        <v>1526</v>
      </c>
      <c r="D2901" s="14" t="s">
        <v>353</v>
      </c>
      <c r="E2901" s="1"/>
      <c r="F2901" s="2"/>
      <c r="G2901" s="1">
        <v>940.1</v>
      </c>
      <c r="H2901" s="3"/>
      <c r="I2901" s="14" t="s">
        <v>4503</v>
      </c>
    </row>
    <row r="2902" spans="1:9" ht="18.75" customHeight="1" x14ac:dyDescent="0.4">
      <c r="A2902" s="14" t="s">
        <v>4520</v>
      </c>
      <c r="B2902" s="16" t="str">
        <f>TRIM("豊新会館")</f>
        <v>豊新会館</v>
      </c>
      <c r="C2902" s="14" t="s">
        <v>1526</v>
      </c>
      <c r="D2902" s="14" t="s">
        <v>353</v>
      </c>
      <c r="E2902" s="1">
        <v>216.78</v>
      </c>
      <c r="F2902" s="2"/>
      <c r="G2902" s="1"/>
      <c r="H2902" s="3"/>
      <c r="I2902" s="14" t="s">
        <v>4503</v>
      </c>
    </row>
    <row r="2903" spans="1:9" ht="18.75" customHeight="1" x14ac:dyDescent="0.4">
      <c r="A2903" s="14" t="s">
        <v>5683</v>
      </c>
      <c r="B2903" s="16" t="str">
        <f>TRIM("もと東淀川勤労青少年ホーム")</f>
        <v>もと東淀川勤労青少年ホーム</v>
      </c>
      <c r="C2903" s="14" t="s">
        <v>1526</v>
      </c>
      <c r="D2903" s="14" t="s">
        <v>353</v>
      </c>
      <c r="E2903" s="1"/>
      <c r="F2903" s="2"/>
      <c r="G2903" s="1">
        <v>654.46</v>
      </c>
      <c r="H2903" s="3" t="s">
        <v>7353</v>
      </c>
      <c r="I2903" s="14" t="s">
        <v>5617</v>
      </c>
    </row>
    <row r="2904" spans="1:9" ht="18.75" customHeight="1" x14ac:dyDescent="0.4">
      <c r="A2904" s="14" t="s">
        <v>3385</v>
      </c>
      <c r="B2904" s="16" t="str">
        <f>TRIM("　六原公園")</f>
        <v>六原公園</v>
      </c>
      <c r="C2904" s="14" t="s">
        <v>1526</v>
      </c>
      <c r="D2904" s="14" t="s">
        <v>1267</v>
      </c>
      <c r="E2904" s="1">
        <v>1988.33</v>
      </c>
      <c r="F2904" s="2"/>
      <c r="G2904" s="1"/>
      <c r="H2904" s="3"/>
      <c r="I2904" s="14" t="s">
        <v>2177</v>
      </c>
    </row>
    <row r="2905" spans="1:9" ht="18.75" customHeight="1" x14ac:dyDescent="0.4">
      <c r="A2905" s="14" t="s">
        <v>1836</v>
      </c>
      <c r="B2905" s="16" t="str">
        <f>TRIM("豊新老人憩の家")</f>
        <v>豊新老人憩の家</v>
      </c>
      <c r="C2905" s="14" t="s">
        <v>1526</v>
      </c>
      <c r="D2905" s="14" t="s">
        <v>464</v>
      </c>
      <c r="E2905" s="1">
        <v>207.89</v>
      </c>
      <c r="F2905" s="2"/>
      <c r="G2905" s="1">
        <v>111.78</v>
      </c>
      <c r="H2905" s="3"/>
      <c r="I2905" s="14" t="s">
        <v>1654</v>
      </c>
    </row>
    <row r="2906" spans="1:9" ht="18.75" customHeight="1" x14ac:dyDescent="0.4">
      <c r="A2906" s="14" t="s">
        <v>5097</v>
      </c>
      <c r="B2906" s="16" t="str">
        <f>TRIM("豊新小学校")</f>
        <v>豊新小学校</v>
      </c>
      <c r="C2906" s="14" t="s">
        <v>1526</v>
      </c>
      <c r="D2906" s="14" t="s">
        <v>464</v>
      </c>
      <c r="E2906" s="1">
        <v>10184.09</v>
      </c>
      <c r="F2906" s="2"/>
      <c r="G2906" s="1">
        <v>6216.67</v>
      </c>
      <c r="H2906" s="3"/>
      <c r="I2906" s="14" t="s">
        <v>4689</v>
      </c>
    </row>
    <row r="2907" spans="1:9" ht="18.75" customHeight="1" x14ac:dyDescent="0.4">
      <c r="A2907" s="14" t="s">
        <v>2539</v>
      </c>
      <c r="B2907" s="16" t="str">
        <f>TRIM("　かぶと公園")</f>
        <v>かぶと公園</v>
      </c>
      <c r="C2907" s="14" t="s">
        <v>1526</v>
      </c>
      <c r="D2907" s="14" t="s">
        <v>464</v>
      </c>
      <c r="E2907" s="1">
        <v>4605.99</v>
      </c>
      <c r="F2907" s="2"/>
      <c r="G2907" s="1"/>
      <c r="H2907" s="3"/>
      <c r="I2907" s="14" t="s">
        <v>2177</v>
      </c>
    </row>
    <row r="2908" spans="1:9" ht="18.75" customHeight="1" x14ac:dyDescent="0.4">
      <c r="A2908" s="14" t="s">
        <v>5296</v>
      </c>
      <c r="B2908" s="16" t="str">
        <f>TRIM("東淀川消防署豊里出張所")</f>
        <v>東淀川消防署豊里出張所</v>
      </c>
      <c r="C2908" s="14" t="s">
        <v>1526</v>
      </c>
      <c r="D2908" s="14" t="s">
        <v>864</v>
      </c>
      <c r="E2908" s="1">
        <v>433.1</v>
      </c>
      <c r="F2908" s="2"/>
      <c r="G2908" s="1">
        <v>201.51</v>
      </c>
      <c r="H2908" s="3"/>
      <c r="I2908" s="14" t="s">
        <v>5219</v>
      </c>
    </row>
    <row r="2909" spans="1:9" ht="18.75" customHeight="1" x14ac:dyDescent="0.4">
      <c r="A2909" s="14" t="s">
        <v>6759</v>
      </c>
      <c r="B2909" s="16" t="str">
        <f>TRIM("豊新住宅")</f>
        <v>豊新住宅</v>
      </c>
      <c r="C2909" s="14" t="s">
        <v>1526</v>
      </c>
      <c r="D2909" s="14" t="s">
        <v>864</v>
      </c>
      <c r="E2909" s="1">
        <v>8108.68</v>
      </c>
      <c r="F2909" s="2"/>
      <c r="G2909" s="1">
        <v>9194.51</v>
      </c>
      <c r="H2909" s="3"/>
      <c r="I2909" s="14" t="s">
        <v>6177</v>
      </c>
    </row>
    <row r="2910" spans="1:9" ht="18.75" customHeight="1" x14ac:dyDescent="0.4">
      <c r="A2910" s="14" t="s">
        <v>6872</v>
      </c>
      <c r="B2910" s="16" t="str">
        <f>TRIM("アポロ児童遊園")</f>
        <v>アポロ児童遊園</v>
      </c>
      <c r="C2910" s="14" t="s">
        <v>1526</v>
      </c>
      <c r="D2910" s="14" t="s">
        <v>864</v>
      </c>
      <c r="E2910" s="1">
        <v>196.91</v>
      </c>
      <c r="F2910" s="2"/>
      <c r="G2910" s="1"/>
      <c r="H2910" s="3"/>
      <c r="I2910" s="14" t="s">
        <v>6177</v>
      </c>
    </row>
    <row r="2911" spans="1:9" ht="18.75" customHeight="1" x14ac:dyDescent="0.4">
      <c r="A2911" s="14" t="s">
        <v>6591</v>
      </c>
      <c r="B2911" s="16" t="str">
        <f>TRIM("南江口第2住宅")</f>
        <v>南江口第2住宅</v>
      </c>
      <c r="C2911" s="14" t="s">
        <v>1526</v>
      </c>
      <c r="D2911" s="14" t="s">
        <v>816</v>
      </c>
      <c r="E2911" s="1">
        <v>41976.94</v>
      </c>
      <c r="F2911" s="2"/>
      <c r="G2911" s="1">
        <v>48236.32</v>
      </c>
      <c r="H2911" s="3"/>
      <c r="I2911" s="14" t="s">
        <v>6177</v>
      </c>
    </row>
    <row r="2912" spans="1:9" ht="18.75" customHeight="1" x14ac:dyDescent="0.4">
      <c r="A2912" s="14" t="s">
        <v>6590</v>
      </c>
      <c r="B2912" s="16" t="str">
        <f>TRIM("南江口第1住宅")</f>
        <v>南江口第1住宅</v>
      </c>
      <c r="C2912" s="14" t="s">
        <v>1526</v>
      </c>
      <c r="D2912" s="14" t="s">
        <v>815</v>
      </c>
      <c r="E2912" s="1">
        <v>24727.57</v>
      </c>
      <c r="F2912" s="2"/>
      <c r="G2912" s="1">
        <v>26334.92</v>
      </c>
      <c r="H2912" s="3"/>
      <c r="I2912" s="14" t="s">
        <v>6177</v>
      </c>
    </row>
    <row r="2913" spans="1:9" ht="18.75" customHeight="1" x14ac:dyDescent="0.4">
      <c r="A2913" s="14" t="s">
        <v>6756</v>
      </c>
      <c r="B2913" s="16" t="str">
        <f>TRIM("南江口住宅")</f>
        <v>南江口住宅</v>
      </c>
      <c r="C2913" s="14" t="s">
        <v>1526</v>
      </c>
      <c r="D2913" s="14" t="s">
        <v>815</v>
      </c>
      <c r="E2913" s="1">
        <v>19141.39</v>
      </c>
      <c r="F2913" s="2"/>
      <c r="G2913" s="1">
        <v>16068.97</v>
      </c>
      <c r="H2913" s="3"/>
      <c r="I2913" s="14" t="s">
        <v>6177</v>
      </c>
    </row>
    <row r="2914" spans="1:9" ht="18.75" customHeight="1" x14ac:dyDescent="0.4">
      <c r="A2914" s="14" t="s">
        <v>4049</v>
      </c>
      <c r="B2914" s="16" t="str">
        <f>TRIM("三千樋揚水場")</f>
        <v>三千樋揚水場</v>
      </c>
      <c r="C2914" s="14" t="s">
        <v>1526</v>
      </c>
      <c r="D2914" s="14" t="s">
        <v>686</v>
      </c>
      <c r="E2914" s="1">
        <v>472.24</v>
      </c>
      <c r="F2914" s="2"/>
      <c r="G2914" s="1">
        <v>214.53</v>
      </c>
      <c r="H2914" s="3"/>
      <c r="I2914" s="14" t="s">
        <v>2177</v>
      </c>
    </row>
    <row r="2915" spans="1:9" ht="18.75" customHeight="1" x14ac:dyDescent="0.4">
      <c r="A2915" s="14" t="s">
        <v>6082</v>
      </c>
      <c r="B2915" s="16" t="str">
        <f>TRIM("東淀工場附帯施設 エコホール江口")</f>
        <v>東淀工場附帯施設 エコホール江口</v>
      </c>
      <c r="C2915" s="14" t="s">
        <v>1526</v>
      </c>
      <c r="D2915" s="14" t="s">
        <v>686</v>
      </c>
      <c r="E2915" s="1">
        <v>1415.08</v>
      </c>
      <c r="F2915" s="2"/>
      <c r="G2915" s="1">
        <v>560.91</v>
      </c>
      <c r="H2915" s="3"/>
      <c r="I2915" s="14" t="s">
        <v>5977</v>
      </c>
    </row>
    <row r="2916" spans="1:9" ht="18.75" customHeight="1" x14ac:dyDescent="0.4">
      <c r="A2916" s="14" t="s">
        <v>6592</v>
      </c>
      <c r="B2916" s="16" t="str">
        <f>TRIM("南江口第5住宅")</f>
        <v>南江口第5住宅</v>
      </c>
      <c r="C2916" s="14" t="s">
        <v>1526</v>
      </c>
      <c r="D2916" s="14" t="s">
        <v>686</v>
      </c>
      <c r="E2916" s="1">
        <v>14704.48</v>
      </c>
      <c r="F2916" s="2"/>
      <c r="G2916" s="1">
        <v>13183.1</v>
      </c>
      <c r="H2916" s="3"/>
      <c r="I2916" s="14" t="s">
        <v>6177</v>
      </c>
    </row>
    <row r="2917" spans="1:9" ht="18.75" customHeight="1" x14ac:dyDescent="0.4">
      <c r="A2917" s="14" t="s">
        <v>3182</v>
      </c>
      <c r="B2917" s="16" t="str">
        <f>TRIM("　南江口公園")</f>
        <v>南江口公園</v>
      </c>
      <c r="C2917" s="14" t="s">
        <v>1526</v>
      </c>
      <c r="D2917" s="14" t="s">
        <v>686</v>
      </c>
      <c r="E2917" s="1">
        <v>1906.18</v>
      </c>
      <c r="F2917" s="2"/>
      <c r="G2917" s="1"/>
      <c r="H2917" s="3"/>
      <c r="I2917" s="14" t="s">
        <v>2177</v>
      </c>
    </row>
    <row r="2918" spans="1:9" ht="18.75" customHeight="1" x14ac:dyDescent="0.4">
      <c r="A2918" s="14" t="s">
        <v>3183</v>
      </c>
      <c r="B2918" s="16" t="str">
        <f>TRIM("　南江口北公園")</f>
        <v>南江口北公園</v>
      </c>
      <c r="C2918" s="14" t="s">
        <v>1526</v>
      </c>
      <c r="D2918" s="14" t="s">
        <v>686</v>
      </c>
      <c r="E2918" s="1">
        <v>915.26</v>
      </c>
      <c r="F2918" s="2"/>
      <c r="G2918" s="1"/>
      <c r="H2918" s="3"/>
      <c r="I2918" s="14" t="s">
        <v>2177</v>
      </c>
    </row>
    <row r="2919" spans="1:9" ht="18.75" customHeight="1" x14ac:dyDescent="0.4">
      <c r="A2919" s="14" t="s">
        <v>6074</v>
      </c>
      <c r="B2919" s="16" t="str">
        <f>TRIM("東淀工場")</f>
        <v>東淀工場</v>
      </c>
      <c r="C2919" s="14" t="s">
        <v>1526</v>
      </c>
      <c r="D2919" s="14" t="s">
        <v>686</v>
      </c>
      <c r="E2919" s="1">
        <v>16485.87</v>
      </c>
      <c r="F2919" s="2"/>
      <c r="G2919" s="1"/>
      <c r="H2919" s="3"/>
      <c r="I2919" s="14" t="s">
        <v>5977</v>
      </c>
    </row>
    <row r="2920" spans="1:9" ht="18.75" customHeight="1" x14ac:dyDescent="0.4">
      <c r="A2920" s="14" t="s">
        <v>6091</v>
      </c>
      <c r="B2920" s="16" t="str">
        <f>TRIM("東淀工場（局管理分）")</f>
        <v>東淀工場（局管理分）</v>
      </c>
      <c r="C2920" s="14" t="s">
        <v>1526</v>
      </c>
      <c r="D2920" s="14" t="s">
        <v>686</v>
      </c>
      <c r="E2920" s="1">
        <v>387.62</v>
      </c>
      <c r="F2920" s="2"/>
      <c r="G2920" s="1"/>
      <c r="H2920" s="3"/>
      <c r="I2920" s="14" t="s">
        <v>5977</v>
      </c>
    </row>
    <row r="2921" spans="1:9" ht="18.75" customHeight="1" x14ac:dyDescent="0.4">
      <c r="A2921" s="14" t="s">
        <v>4820</v>
      </c>
      <c r="B2921" s="16" t="str">
        <f>TRIM("今里小学校")</f>
        <v>今里小学校</v>
      </c>
      <c r="C2921" s="14" t="s">
        <v>1516</v>
      </c>
      <c r="D2921" s="14" t="s">
        <v>499</v>
      </c>
      <c r="E2921" s="1">
        <v>6755.49</v>
      </c>
      <c r="F2921" s="2"/>
      <c r="G2921" s="1">
        <v>4140.5200000000004</v>
      </c>
      <c r="H2921" s="3"/>
      <c r="I2921" s="14" t="s">
        <v>4689</v>
      </c>
    </row>
    <row r="2922" spans="1:9" ht="18.75" customHeight="1" x14ac:dyDescent="0.4">
      <c r="A2922" s="14" t="s">
        <v>5786</v>
      </c>
      <c r="B2922" s="16" t="str">
        <f>TRIM("今里幼稚園")</f>
        <v>今里幼稚園</v>
      </c>
      <c r="C2922" s="14" t="s">
        <v>1516</v>
      </c>
      <c r="D2922" s="14" t="s">
        <v>499</v>
      </c>
      <c r="E2922" s="1">
        <v>953.57</v>
      </c>
      <c r="F2922" s="2"/>
      <c r="G2922" s="1">
        <v>797.11</v>
      </c>
      <c r="H2922" s="3"/>
      <c r="I2922" s="14" t="s">
        <v>5617</v>
      </c>
    </row>
    <row r="2923" spans="1:9" ht="18.75" customHeight="1" x14ac:dyDescent="0.4">
      <c r="A2923" s="14" t="s">
        <v>3813</v>
      </c>
      <c r="B2923" s="16" t="str">
        <f>TRIM("今里駅第2自転車駐車場管理事務所")</f>
        <v>今里駅第2自転車駐車場管理事務所</v>
      </c>
      <c r="C2923" s="14" t="s">
        <v>1516</v>
      </c>
      <c r="D2923" s="14" t="s">
        <v>499</v>
      </c>
      <c r="E2923" s="1"/>
      <c r="F2923" s="2"/>
      <c r="G2923" s="1">
        <v>13.39</v>
      </c>
      <c r="H2923" s="3"/>
      <c r="I2923" s="14" t="s">
        <v>2177</v>
      </c>
    </row>
    <row r="2924" spans="1:9" ht="18.75" customHeight="1" x14ac:dyDescent="0.4">
      <c r="A2924" s="14" t="s">
        <v>3459</v>
      </c>
      <c r="B2924" s="16" t="str">
        <f>TRIM("大今里ふれあい公園")</f>
        <v>大今里ふれあい公園</v>
      </c>
      <c r="C2924" s="14" t="s">
        <v>1516</v>
      </c>
      <c r="D2924" s="14" t="s">
        <v>1287</v>
      </c>
      <c r="E2924" s="1">
        <v>1090.26</v>
      </c>
      <c r="F2924" s="2"/>
      <c r="G2924" s="1"/>
      <c r="H2924" s="3"/>
      <c r="I2924" s="14" t="s">
        <v>2177</v>
      </c>
    </row>
    <row r="2925" spans="1:9" ht="18.75" customHeight="1" x14ac:dyDescent="0.4">
      <c r="A2925" s="14" t="s">
        <v>4531</v>
      </c>
      <c r="B2925" s="16" t="str">
        <f>TRIM("神路連合地域集会所")</f>
        <v>神路連合地域集会所</v>
      </c>
      <c r="C2925" s="14" t="s">
        <v>1516</v>
      </c>
      <c r="D2925" s="14" t="s">
        <v>1287</v>
      </c>
      <c r="E2925" s="1">
        <v>217.71</v>
      </c>
      <c r="F2925" s="2"/>
      <c r="G2925" s="1"/>
      <c r="H2925" s="3"/>
      <c r="I2925" s="14" t="s">
        <v>2054</v>
      </c>
    </row>
    <row r="2926" spans="1:9" ht="18.75" customHeight="1" x14ac:dyDescent="0.4">
      <c r="A2926" s="14" t="s">
        <v>2728</v>
      </c>
      <c r="B2926" s="16" t="str">
        <f>TRIM("　今里西之口公園")</f>
        <v>今里西之口公園</v>
      </c>
      <c r="C2926" s="14" t="s">
        <v>1516</v>
      </c>
      <c r="D2926" s="14" t="s">
        <v>268</v>
      </c>
      <c r="E2926" s="1">
        <v>1814.84</v>
      </c>
      <c r="F2926" s="2"/>
      <c r="G2926" s="1"/>
      <c r="H2926" s="3"/>
      <c r="I2926" s="14" t="s">
        <v>2177</v>
      </c>
    </row>
    <row r="2927" spans="1:9" ht="18.75" customHeight="1" x14ac:dyDescent="0.4">
      <c r="A2927" s="14" t="s">
        <v>3812</v>
      </c>
      <c r="B2927" s="16" t="str">
        <f>TRIM("今里駅第1自転車駐車場管理事務所")</f>
        <v>今里駅第1自転車駐車場管理事務所</v>
      </c>
      <c r="C2927" s="14" t="s">
        <v>1516</v>
      </c>
      <c r="D2927" s="14" t="s">
        <v>268</v>
      </c>
      <c r="E2927" s="1"/>
      <c r="F2927" s="2"/>
      <c r="G2927" s="1">
        <v>13.39</v>
      </c>
      <c r="H2927" s="3"/>
      <c r="I2927" s="14" t="s">
        <v>2177</v>
      </c>
    </row>
    <row r="2928" spans="1:9" ht="18.75" customHeight="1" x14ac:dyDescent="0.4">
      <c r="A2928" s="14" t="s">
        <v>3964</v>
      </c>
      <c r="B2928" s="16" t="str">
        <f>TRIM("地下鉄今里駅自転車駐車場")</f>
        <v>地下鉄今里駅自転車駐車場</v>
      </c>
      <c r="C2928" s="14" t="s">
        <v>1516</v>
      </c>
      <c r="D2928" s="14" t="s">
        <v>268</v>
      </c>
      <c r="E2928" s="1"/>
      <c r="F2928" s="2"/>
      <c r="G2928" s="1">
        <v>604.13</v>
      </c>
      <c r="H2928" s="3"/>
      <c r="I2928" s="14" t="s">
        <v>2177</v>
      </c>
    </row>
    <row r="2929" spans="1:9" ht="18.75" customHeight="1" x14ac:dyDescent="0.4">
      <c r="A2929" s="14" t="s">
        <v>5549</v>
      </c>
      <c r="B2929" s="16" t="str">
        <f>TRIM("廃道（東成）")</f>
        <v>廃道（東成）</v>
      </c>
      <c r="C2929" s="14" t="s">
        <v>1516</v>
      </c>
      <c r="D2929" s="14" t="s">
        <v>268</v>
      </c>
      <c r="E2929" s="1">
        <v>56.35</v>
      </c>
      <c r="F2929" s="2"/>
      <c r="G2929" s="1"/>
      <c r="H2929" s="3"/>
      <c r="I2929" s="14" t="s">
        <v>5349</v>
      </c>
    </row>
    <row r="2930" spans="1:9" ht="18.75" customHeight="1" x14ac:dyDescent="0.4">
      <c r="A2930" s="14" t="s">
        <v>2056</v>
      </c>
      <c r="B2930" s="16" t="str">
        <f>TRIM("神路憩の家（もと神路老人憩の家）")</f>
        <v>神路憩の家（もと神路老人憩の家）</v>
      </c>
      <c r="C2930" s="14" t="s">
        <v>1516</v>
      </c>
      <c r="D2930" s="14" t="s">
        <v>1129</v>
      </c>
      <c r="E2930" s="1">
        <v>259.37</v>
      </c>
      <c r="F2930" s="2"/>
      <c r="G2930" s="1">
        <v>112</v>
      </c>
      <c r="H2930" s="3"/>
      <c r="I2930" s="14" t="s">
        <v>2054</v>
      </c>
    </row>
    <row r="2931" spans="1:9" ht="18.75" customHeight="1" x14ac:dyDescent="0.4">
      <c r="A2931" s="14" t="s">
        <v>4891</v>
      </c>
      <c r="B2931" s="16" t="str">
        <f>TRIM("神路小学校")</f>
        <v>神路小学校</v>
      </c>
      <c r="C2931" s="14" t="s">
        <v>1516</v>
      </c>
      <c r="D2931" s="14" t="s">
        <v>1129</v>
      </c>
      <c r="E2931" s="1">
        <v>8427.76</v>
      </c>
      <c r="F2931" s="2"/>
      <c r="G2931" s="1">
        <v>7613.83</v>
      </c>
      <c r="H2931" s="3"/>
      <c r="I2931" s="14" t="s">
        <v>4689</v>
      </c>
    </row>
    <row r="2932" spans="1:9" ht="18.75" customHeight="1" x14ac:dyDescent="0.4">
      <c r="A2932" s="14" t="s">
        <v>2987</v>
      </c>
      <c r="B2932" s="16" t="str">
        <f>TRIM("　大今里公園")</f>
        <v>大今里公園</v>
      </c>
      <c r="C2932" s="14" t="s">
        <v>1516</v>
      </c>
      <c r="D2932" s="14" t="s">
        <v>1129</v>
      </c>
      <c r="E2932" s="1">
        <v>1616.47</v>
      </c>
      <c r="F2932" s="2"/>
      <c r="G2932" s="1"/>
      <c r="H2932" s="3"/>
      <c r="I2932" s="14" t="s">
        <v>2177</v>
      </c>
    </row>
    <row r="2933" spans="1:9" ht="18.75" customHeight="1" x14ac:dyDescent="0.4">
      <c r="A2933" s="14" t="s">
        <v>3607</v>
      </c>
      <c r="B2933" s="16" t="str">
        <f>TRIM("　大今里公園")</f>
        <v>大今里公園</v>
      </c>
      <c r="C2933" s="14" t="s">
        <v>1516</v>
      </c>
      <c r="D2933" s="14" t="s">
        <v>1129</v>
      </c>
      <c r="E2933" s="1"/>
      <c r="F2933" s="2"/>
      <c r="G2933" s="1">
        <v>14.34</v>
      </c>
      <c r="H2933" s="3"/>
      <c r="I2933" s="14" t="s">
        <v>2177</v>
      </c>
    </row>
    <row r="2934" spans="1:9" ht="18.75" customHeight="1" x14ac:dyDescent="0.4">
      <c r="A2934" s="14" t="s">
        <v>4045</v>
      </c>
      <c r="B2934" s="16" t="str">
        <f>TRIM("今里抽水所")</f>
        <v>今里抽水所</v>
      </c>
      <c r="C2934" s="14" t="s">
        <v>1516</v>
      </c>
      <c r="D2934" s="14" t="s">
        <v>178</v>
      </c>
      <c r="E2934" s="1">
        <v>1961.52</v>
      </c>
      <c r="F2934" s="2"/>
      <c r="G2934" s="1">
        <v>197.96</v>
      </c>
      <c r="H2934" s="3"/>
      <c r="I2934" s="14" t="s">
        <v>2177</v>
      </c>
    </row>
    <row r="2935" spans="1:9" ht="18.75" customHeight="1" x14ac:dyDescent="0.4">
      <c r="A2935" s="14" t="s">
        <v>4529</v>
      </c>
      <c r="B2935" s="16" t="str">
        <f>TRIM("東成区保健福祉センター")</f>
        <v>東成区保健福祉センター</v>
      </c>
      <c r="C2935" s="14" t="s">
        <v>1516</v>
      </c>
      <c r="D2935" s="14" t="s">
        <v>178</v>
      </c>
      <c r="E2935" s="1">
        <v>1346.84</v>
      </c>
      <c r="F2935" s="2"/>
      <c r="G2935" s="1">
        <v>1297.8399999999999</v>
      </c>
      <c r="H2935" s="3"/>
      <c r="I2935" s="14" t="s">
        <v>2054</v>
      </c>
    </row>
    <row r="2936" spans="1:9" ht="18.75" customHeight="1" x14ac:dyDescent="0.4">
      <c r="A2936" s="14" t="s">
        <v>1743</v>
      </c>
      <c r="B2936" s="16" t="str">
        <f>TRIM("知的障がい者更生施設　東成育成園")</f>
        <v>知的障がい者更生施設　東成育成園</v>
      </c>
      <c r="C2936" s="14" t="s">
        <v>1516</v>
      </c>
      <c r="D2936" s="14" t="s">
        <v>178</v>
      </c>
      <c r="E2936" s="1">
        <v>676.26</v>
      </c>
      <c r="F2936" s="2"/>
      <c r="G2936" s="1"/>
      <c r="H2936" s="3"/>
      <c r="I2936" s="14" t="s">
        <v>1654</v>
      </c>
    </row>
    <row r="2937" spans="1:9" ht="18.75" customHeight="1" x14ac:dyDescent="0.4">
      <c r="A2937" s="14" t="s">
        <v>3196</v>
      </c>
      <c r="B2937" s="16" t="str">
        <f>TRIM("　南中本公園")</f>
        <v>南中本公園</v>
      </c>
      <c r="C2937" s="14" t="s">
        <v>1516</v>
      </c>
      <c r="D2937" s="14" t="s">
        <v>178</v>
      </c>
      <c r="E2937" s="1">
        <v>6936</v>
      </c>
      <c r="F2937" s="2"/>
      <c r="G2937" s="1"/>
      <c r="H2937" s="3"/>
      <c r="I2937" s="14" t="s">
        <v>2177</v>
      </c>
    </row>
    <row r="2938" spans="1:9" ht="18.75" customHeight="1" x14ac:dyDescent="0.4">
      <c r="A2938" s="14" t="s">
        <v>3654</v>
      </c>
      <c r="B2938" s="16" t="str">
        <f>TRIM("　南中本公園")</f>
        <v>南中本公園</v>
      </c>
      <c r="C2938" s="14" t="s">
        <v>1516</v>
      </c>
      <c r="D2938" s="14" t="s">
        <v>178</v>
      </c>
      <c r="E2938" s="1"/>
      <c r="F2938" s="2"/>
      <c r="G2938" s="1">
        <v>13.45</v>
      </c>
      <c r="H2938" s="3"/>
      <c r="I2938" s="14" t="s">
        <v>2177</v>
      </c>
    </row>
    <row r="2939" spans="1:9" ht="18.75" customHeight="1" x14ac:dyDescent="0.4">
      <c r="A2939" s="14" t="s">
        <v>4028</v>
      </c>
      <c r="B2939" s="16" t="str">
        <f>TRIM("下水道用地（東成）")</f>
        <v>下水道用地（東成）</v>
      </c>
      <c r="C2939" s="14" t="s">
        <v>1516</v>
      </c>
      <c r="D2939" s="14" t="s">
        <v>178</v>
      </c>
      <c r="E2939" s="1">
        <v>19143.2</v>
      </c>
      <c r="F2939" s="2"/>
      <c r="G2939" s="1"/>
      <c r="H2939" s="3"/>
      <c r="I2939" s="14" t="s">
        <v>2177</v>
      </c>
    </row>
    <row r="2940" spans="1:9" ht="18.75" customHeight="1" x14ac:dyDescent="0.4">
      <c r="A2940" s="14" t="s">
        <v>4110</v>
      </c>
      <c r="B2940" s="16" t="str">
        <f>TRIM("もと下水道用地（東成）")</f>
        <v>もと下水道用地（東成）</v>
      </c>
      <c r="C2940" s="14" t="s">
        <v>1516</v>
      </c>
      <c r="D2940" s="14" t="s">
        <v>178</v>
      </c>
      <c r="E2940" s="1">
        <v>45.71</v>
      </c>
      <c r="F2940" s="2"/>
      <c r="G2940" s="1"/>
      <c r="H2940" s="3"/>
      <c r="I2940" s="14" t="s">
        <v>2177</v>
      </c>
    </row>
    <row r="2941" spans="1:9" ht="18.75" customHeight="1" x14ac:dyDescent="0.4">
      <c r="A2941" s="14" t="s">
        <v>5288</v>
      </c>
      <c r="B2941" s="16" t="str">
        <f>TRIM("東成消防署")</f>
        <v>東成消防署</v>
      </c>
      <c r="C2941" s="14" t="s">
        <v>1516</v>
      </c>
      <c r="D2941" s="14" t="s">
        <v>178</v>
      </c>
      <c r="E2941" s="1">
        <v>2299.56</v>
      </c>
      <c r="F2941" s="2"/>
      <c r="G2941" s="1"/>
      <c r="H2941" s="3"/>
      <c r="I2941" s="14" t="s">
        <v>5219</v>
      </c>
    </row>
    <row r="2942" spans="1:9" ht="18.75" customHeight="1" x14ac:dyDescent="0.4">
      <c r="A2942" s="14" t="s">
        <v>5334</v>
      </c>
      <c r="B2942" s="16" t="str">
        <f>TRIM("　東成消防署")</f>
        <v>東成消防署</v>
      </c>
      <c r="C2942" s="14" t="s">
        <v>1516</v>
      </c>
      <c r="D2942" s="14" t="s">
        <v>178</v>
      </c>
      <c r="E2942" s="1"/>
      <c r="F2942" s="2"/>
      <c r="G2942" s="1">
        <v>3562.77</v>
      </c>
      <c r="H2942" s="3"/>
      <c r="I2942" s="14" t="s">
        <v>5219</v>
      </c>
    </row>
    <row r="2943" spans="1:9" ht="18.75" customHeight="1" x14ac:dyDescent="0.4">
      <c r="A2943" s="14" t="s">
        <v>5425</v>
      </c>
      <c r="B2943" s="16" t="str">
        <f>TRIM("もと東成保健所")</f>
        <v>もと東成保健所</v>
      </c>
      <c r="C2943" s="14" t="s">
        <v>1516</v>
      </c>
      <c r="D2943" s="14" t="s">
        <v>178</v>
      </c>
      <c r="E2943" s="1">
        <v>94.28</v>
      </c>
      <c r="F2943" s="2"/>
      <c r="G2943" s="1"/>
      <c r="H2943" s="3"/>
      <c r="I2943" s="14" t="s">
        <v>5349</v>
      </c>
    </row>
    <row r="2944" spans="1:9" ht="18.75" customHeight="1" x14ac:dyDescent="0.4">
      <c r="A2944" s="14" t="s">
        <v>5520</v>
      </c>
      <c r="B2944" s="16" t="str">
        <f>TRIM("東成警察署")</f>
        <v>東成警察署</v>
      </c>
      <c r="C2944" s="14" t="s">
        <v>1516</v>
      </c>
      <c r="D2944" s="14" t="s">
        <v>178</v>
      </c>
      <c r="E2944" s="1">
        <v>2611.56</v>
      </c>
      <c r="F2944" s="2"/>
      <c r="G2944" s="1"/>
      <c r="H2944" s="3"/>
      <c r="I2944" s="14" t="s">
        <v>5349</v>
      </c>
    </row>
    <row r="2945" spans="1:9" ht="18.75" customHeight="1" x14ac:dyDescent="0.4">
      <c r="A2945" s="14" t="s">
        <v>5550</v>
      </c>
      <c r="B2945" s="16" t="str">
        <f>TRIM("廃道（東成・コミュニティ用地等）")</f>
        <v>廃道（東成・コミュニティ用地等）</v>
      </c>
      <c r="C2945" s="14" t="s">
        <v>1516</v>
      </c>
      <c r="D2945" s="14" t="s">
        <v>178</v>
      </c>
      <c r="E2945" s="1">
        <v>34.47</v>
      </c>
      <c r="F2945" s="2"/>
      <c r="G2945" s="1"/>
      <c r="H2945" s="3"/>
      <c r="I2945" s="14" t="s">
        <v>5349</v>
      </c>
    </row>
    <row r="2946" spans="1:9" ht="18.75" customHeight="1" x14ac:dyDescent="0.4">
      <c r="A2946" s="14" t="s">
        <v>4530</v>
      </c>
      <c r="B2946" s="16" t="str">
        <f>TRIM("東成区役所")</f>
        <v>東成区役所</v>
      </c>
      <c r="C2946" s="14" t="s">
        <v>1516</v>
      </c>
      <c r="D2946" s="14" t="s">
        <v>945</v>
      </c>
      <c r="E2946" s="1">
        <v>2972.47</v>
      </c>
      <c r="F2946" s="2"/>
      <c r="G2946" s="1">
        <v>6192.18</v>
      </c>
      <c r="H2946" s="3"/>
      <c r="I2946" s="14" t="s">
        <v>2054</v>
      </c>
    </row>
    <row r="2947" spans="1:9" ht="18.75" customHeight="1" x14ac:dyDescent="0.4">
      <c r="A2947" s="14" t="s">
        <v>2276</v>
      </c>
      <c r="B2947" s="16" t="str">
        <f>TRIM("大阪枚岡奈良線（東成）（管財課）")</f>
        <v>大阪枚岡奈良線（東成）（管財課）</v>
      </c>
      <c r="C2947" s="14" t="s">
        <v>1516</v>
      </c>
      <c r="D2947" s="14" t="s">
        <v>945</v>
      </c>
      <c r="E2947" s="1">
        <v>544.9</v>
      </c>
      <c r="F2947" s="2"/>
      <c r="G2947" s="1"/>
      <c r="H2947" s="3"/>
      <c r="I2947" s="14" t="s">
        <v>2177</v>
      </c>
    </row>
    <row r="2948" spans="1:9" ht="18.75" customHeight="1" x14ac:dyDescent="0.4">
      <c r="A2948" s="14" t="s">
        <v>3264</v>
      </c>
      <c r="B2948" s="16" t="str">
        <f>TRIM("　平戸公園")</f>
        <v>平戸公園</v>
      </c>
      <c r="C2948" s="14" t="s">
        <v>1516</v>
      </c>
      <c r="D2948" s="14" t="s">
        <v>945</v>
      </c>
      <c r="E2948" s="1">
        <v>3044.28</v>
      </c>
      <c r="F2948" s="2"/>
      <c r="G2948" s="1"/>
      <c r="H2948" s="3"/>
      <c r="I2948" s="14" t="s">
        <v>2177</v>
      </c>
    </row>
    <row r="2949" spans="1:9" ht="18.75" customHeight="1" x14ac:dyDescent="0.4">
      <c r="A2949" s="14" t="s">
        <v>4532</v>
      </c>
      <c r="B2949" s="16" t="str">
        <f>TRIM("大成地域集会所")</f>
        <v>大成地域集会所</v>
      </c>
      <c r="C2949" s="14" t="s">
        <v>1516</v>
      </c>
      <c r="D2949" s="14" t="s">
        <v>945</v>
      </c>
      <c r="E2949" s="1">
        <v>280.73</v>
      </c>
      <c r="F2949" s="2"/>
      <c r="G2949" s="1"/>
      <c r="H2949" s="3"/>
      <c r="I2949" s="14" t="s">
        <v>2054</v>
      </c>
    </row>
    <row r="2950" spans="1:9" ht="18.75" customHeight="1" x14ac:dyDescent="0.4">
      <c r="A2950" s="14" t="s">
        <v>1766</v>
      </c>
      <c r="B2950" s="16" t="str">
        <f>TRIM("もと認定事務センター")</f>
        <v>もと認定事務センター</v>
      </c>
      <c r="C2950" s="14" t="s">
        <v>1516</v>
      </c>
      <c r="D2950" s="14" t="s">
        <v>8</v>
      </c>
      <c r="E2950" s="1">
        <v>399.21</v>
      </c>
      <c r="F2950" s="2"/>
      <c r="G2950" s="1">
        <v>763.9</v>
      </c>
      <c r="H2950" s="3" t="s">
        <v>7353</v>
      </c>
      <c r="I2950" s="14" t="s">
        <v>1654</v>
      </c>
    </row>
    <row r="2951" spans="1:9" ht="18.75" customHeight="1" x14ac:dyDescent="0.4">
      <c r="A2951" s="14" t="s">
        <v>1827</v>
      </c>
      <c r="B2951" s="16" t="str">
        <f>TRIM("東成区老人福祉センター")</f>
        <v>東成区老人福祉センター</v>
      </c>
      <c r="C2951" s="14" t="s">
        <v>1516</v>
      </c>
      <c r="D2951" s="14" t="s">
        <v>8</v>
      </c>
      <c r="E2951" s="1">
        <v>447.74</v>
      </c>
      <c r="F2951" s="2"/>
      <c r="G2951" s="1">
        <v>857.7</v>
      </c>
      <c r="H2951" s="3"/>
      <c r="I2951" s="14" t="s">
        <v>1654</v>
      </c>
    </row>
    <row r="2952" spans="1:9" ht="18.75" customHeight="1" x14ac:dyDescent="0.4">
      <c r="A2952" s="14" t="s">
        <v>4534</v>
      </c>
      <c r="B2952" s="16" t="str">
        <f>TRIM("東成区民センター")</f>
        <v>東成区民センター</v>
      </c>
      <c r="C2952" s="14" t="s">
        <v>1516</v>
      </c>
      <c r="D2952" s="14" t="s">
        <v>8</v>
      </c>
      <c r="E2952" s="1">
        <v>2569.2800000000002</v>
      </c>
      <c r="F2952" s="2"/>
      <c r="G2952" s="1">
        <v>4971.3100000000004</v>
      </c>
      <c r="H2952" s="3"/>
      <c r="I2952" s="14" t="s">
        <v>2054</v>
      </c>
    </row>
    <row r="2953" spans="1:9" ht="18.75" customHeight="1" x14ac:dyDescent="0.4">
      <c r="A2953" s="14" t="s">
        <v>4937</v>
      </c>
      <c r="B2953" s="16" t="str">
        <f>TRIM("大成小学校")</f>
        <v>大成小学校</v>
      </c>
      <c r="C2953" s="14" t="s">
        <v>1516</v>
      </c>
      <c r="D2953" s="14" t="s">
        <v>8</v>
      </c>
      <c r="E2953" s="1">
        <v>7668.25</v>
      </c>
      <c r="F2953" s="2"/>
      <c r="G2953" s="1">
        <v>8902.5499999999993</v>
      </c>
      <c r="H2953" s="3"/>
      <c r="I2953" s="14" t="s">
        <v>4689</v>
      </c>
    </row>
    <row r="2954" spans="1:9" ht="18.75" customHeight="1" x14ac:dyDescent="0.4">
      <c r="A2954" s="14" t="s">
        <v>5209</v>
      </c>
      <c r="B2954" s="16" t="str">
        <f>TRIM("東成図書館")</f>
        <v>東成図書館</v>
      </c>
      <c r="C2954" s="14" t="s">
        <v>1516</v>
      </c>
      <c r="D2954" s="14" t="s">
        <v>8</v>
      </c>
      <c r="E2954" s="1">
        <v>713.4</v>
      </c>
      <c r="F2954" s="2"/>
      <c r="G2954" s="1">
        <v>1501.84</v>
      </c>
      <c r="H2954" s="3"/>
      <c r="I2954" s="14" t="s">
        <v>4689</v>
      </c>
    </row>
    <row r="2955" spans="1:9" ht="18.75" customHeight="1" x14ac:dyDescent="0.4">
      <c r="A2955" s="14" t="s">
        <v>5888</v>
      </c>
      <c r="B2955" s="16" t="str">
        <f>TRIM("大成保育所")</f>
        <v>大成保育所</v>
      </c>
      <c r="C2955" s="14" t="s">
        <v>1516</v>
      </c>
      <c r="D2955" s="14" t="s">
        <v>8</v>
      </c>
      <c r="E2955" s="1">
        <v>849.58</v>
      </c>
      <c r="F2955" s="2"/>
      <c r="G2955" s="1">
        <v>439.19</v>
      </c>
      <c r="H2955" s="3"/>
      <c r="I2955" s="14" t="s">
        <v>5617</v>
      </c>
    </row>
    <row r="2956" spans="1:9" ht="18.75" customHeight="1" x14ac:dyDescent="0.4">
      <c r="A2956" s="14" t="s">
        <v>6973</v>
      </c>
      <c r="B2956" s="16" t="str">
        <f>TRIM("　今里休日急病診療所")</f>
        <v>今里休日急病診療所</v>
      </c>
      <c r="C2956" s="14" t="s">
        <v>1516</v>
      </c>
      <c r="D2956" s="14" t="s">
        <v>8</v>
      </c>
      <c r="E2956" s="1">
        <v>143.63</v>
      </c>
      <c r="F2956" s="2"/>
      <c r="G2956" s="1">
        <v>282.33</v>
      </c>
      <c r="H2956" s="3"/>
      <c r="I2956" s="14" t="s">
        <v>2402</v>
      </c>
    </row>
    <row r="2957" spans="1:9" ht="18.75" customHeight="1" x14ac:dyDescent="0.4">
      <c r="A2957" s="14" t="s">
        <v>1813</v>
      </c>
      <c r="B2957" s="16" t="str">
        <f>TRIM("もと大成老人憩の家")</f>
        <v>もと大成老人憩の家</v>
      </c>
      <c r="C2957" s="14" t="s">
        <v>1516</v>
      </c>
      <c r="D2957" s="14" t="s">
        <v>8</v>
      </c>
      <c r="E2957" s="1"/>
      <c r="F2957" s="2"/>
      <c r="G2957" s="1">
        <v>104.02</v>
      </c>
      <c r="H2957" s="3" t="s">
        <v>7353</v>
      </c>
      <c r="I2957" s="14" t="s">
        <v>1654</v>
      </c>
    </row>
    <row r="2958" spans="1:9" ht="18.75" customHeight="1" x14ac:dyDescent="0.4">
      <c r="A2958" s="14" t="s">
        <v>7013</v>
      </c>
      <c r="B2958" s="16" t="str">
        <f>TRIM("過小地（もと浪速区公設市場代替地）")</f>
        <v>過小地（もと浪速区公設市場代替地）</v>
      </c>
      <c r="C2958" s="14" t="s">
        <v>1516</v>
      </c>
      <c r="D2958" s="14" t="s">
        <v>8</v>
      </c>
      <c r="E2958" s="1">
        <v>4.88</v>
      </c>
      <c r="F2958" s="2"/>
      <c r="G2958" s="1"/>
      <c r="H2958" s="3"/>
      <c r="I2958" s="14" t="s">
        <v>4115</v>
      </c>
    </row>
    <row r="2959" spans="1:9" ht="18.75" customHeight="1" x14ac:dyDescent="0.4">
      <c r="A2959" s="14" t="s">
        <v>2729</v>
      </c>
      <c r="B2959" s="16" t="str">
        <f>TRIM("　今里南公園")</f>
        <v>今里南公園</v>
      </c>
      <c r="C2959" s="14" t="s">
        <v>1516</v>
      </c>
      <c r="D2959" s="14" t="s">
        <v>1050</v>
      </c>
      <c r="E2959" s="1">
        <v>670.14</v>
      </c>
      <c r="F2959" s="2"/>
      <c r="G2959" s="1"/>
      <c r="H2959" s="3"/>
      <c r="I2959" s="14" t="s">
        <v>2177</v>
      </c>
    </row>
    <row r="2960" spans="1:9" ht="18.75" customHeight="1" x14ac:dyDescent="0.4">
      <c r="A2960" s="14" t="s">
        <v>5088</v>
      </c>
      <c r="B2960" s="16" t="str">
        <f>TRIM("片江小学校")</f>
        <v>片江小学校</v>
      </c>
      <c r="C2960" s="14" t="s">
        <v>1516</v>
      </c>
      <c r="D2960" s="14" t="s">
        <v>1437</v>
      </c>
      <c r="E2960" s="1">
        <v>7953.63</v>
      </c>
      <c r="F2960" s="2"/>
      <c r="G2960" s="1">
        <v>6142.87</v>
      </c>
      <c r="H2960" s="3"/>
      <c r="I2960" s="14" t="s">
        <v>4689</v>
      </c>
    </row>
    <row r="2961" spans="1:9" ht="18.75" customHeight="1" x14ac:dyDescent="0.4">
      <c r="A2961" s="14" t="s">
        <v>1912</v>
      </c>
      <c r="B2961" s="16" t="str">
        <f>TRIM("東成区在宅サービスセンター・地域集会所")</f>
        <v>東成区在宅サービスセンター・地域集会所</v>
      </c>
      <c r="C2961" s="14" t="s">
        <v>1516</v>
      </c>
      <c r="D2961" s="14" t="s">
        <v>403</v>
      </c>
      <c r="E2961" s="1">
        <v>812.28</v>
      </c>
      <c r="F2961" s="2"/>
      <c r="G2961" s="1"/>
      <c r="H2961" s="3"/>
      <c r="I2961" s="14" t="s">
        <v>1654</v>
      </c>
    </row>
    <row r="2962" spans="1:9" ht="18.75" customHeight="1" x14ac:dyDescent="0.4">
      <c r="A2962" s="14" t="s">
        <v>4103</v>
      </c>
      <c r="B2962" s="16" t="str">
        <f>TRIM("片江抽水所")</f>
        <v>片江抽水所</v>
      </c>
      <c r="C2962" s="14" t="s">
        <v>1516</v>
      </c>
      <c r="D2962" s="14" t="s">
        <v>1130</v>
      </c>
      <c r="E2962" s="1">
        <v>1614.01</v>
      </c>
      <c r="F2962" s="2"/>
      <c r="G2962" s="1">
        <v>643.54999999999995</v>
      </c>
      <c r="H2962" s="3"/>
      <c r="I2962" s="14" t="s">
        <v>2177</v>
      </c>
    </row>
    <row r="2963" spans="1:9" ht="18.75" customHeight="1" x14ac:dyDescent="0.4">
      <c r="A2963" s="14" t="s">
        <v>2988</v>
      </c>
      <c r="B2963" s="16" t="str">
        <f>TRIM("　大今里南公園")</f>
        <v>大今里南公園</v>
      </c>
      <c r="C2963" s="14" t="s">
        <v>1516</v>
      </c>
      <c r="D2963" s="14" t="s">
        <v>1130</v>
      </c>
      <c r="E2963" s="1">
        <v>991.75</v>
      </c>
      <c r="F2963" s="2"/>
      <c r="G2963" s="1"/>
      <c r="H2963" s="3"/>
      <c r="I2963" s="14" t="s">
        <v>2177</v>
      </c>
    </row>
    <row r="2964" spans="1:9" ht="18.75" customHeight="1" x14ac:dyDescent="0.4">
      <c r="A2964" s="14" t="s">
        <v>2134</v>
      </c>
      <c r="B2964" s="16" t="str">
        <f>TRIM("片江憩の家（もと片江老人憩の家）")</f>
        <v>片江憩の家（もと片江老人憩の家）</v>
      </c>
      <c r="C2964" s="14" t="s">
        <v>1516</v>
      </c>
      <c r="D2964" s="14" t="s">
        <v>1461</v>
      </c>
      <c r="E2964" s="1">
        <v>336.79</v>
      </c>
      <c r="F2964" s="2"/>
      <c r="G2964" s="1"/>
      <c r="H2964" s="3"/>
      <c r="I2964" s="14" t="s">
        <v>2054</v>
      </c>
    </row>
    <row r="2965" spans="1:9" ht="18.75" customHeight="1" x14ac:dyDescent="0.4">
      <c r="A2965" s="14" t="s">
        <v>5424</v>
      </c>
      <c r="B2965" s="16" t="str">
        <f>TRIM("もと東成警察署片江寮（児童遊園）")</f>
        <v>もと東成警察署片江寮（児童遊園）</v>
      </c>
      <c r="C2965" s="14" t="s">
        <v>1516</v>
      </c>
      <c r="D2965" s="14" t="s">
        <v>177</v>
      </c>
      <c r="E2965" s="1">
        <v>390.1</v>
      </c>
      <c r="F2965" s="2"/>
      <c r="G2965" s="1"/>
      <c r="H2965" s="3"/>
      <c r="I2965" s="14" t="s">
        <v>5349</v>
      </c>
    </row>
    <row r="2966" spans="1:9" ht="18.75" customHeight="1" x14ac:dyDescent="0.4">
      <c r="A2966" s="14" t="s">
        <v>4058</v>
      </c>
      <c r="B2966" s="16" t="str">
        <f>TRIM("深江抽水所")</f>
        <v>深江抽水所</v>
      </c>
      <c r="C2966" s="14" t="s">
        <v>1516</v>
      </c>
      <c r="D2966" s="14" t="s">
        <v>413</v>
      </c>
      <c r="E2966" s="1">
        <v>1530.57</v>
      </c>
      <c r="F2966" s="2"/>
      <c r="G2966" s="1">
        <v>476.63</v>
      </c>
      <c r="H2966" s="3"/>
      <c r="I2966" s="14" t="s">
        <v>2177</v>
      </c>
    </row>
    <row r="2967" spans="1:9" ht="18.75" customHeight="1" x14ac:dyDescent="0.4">
      <c r="A2967" s="14" t="s">
        <v>5090</v>
      </c>
      <c r="B2967" s="16" t="str">
        <f>TRIM("宝栄小学校")</f>
        <v>宝栄小学校</v>
      </c>
      <c r="C2967" s="14" t="s">
        <v>1516</v>
      </c>
      <c r="D2967" s="14" t="s">
        <v>413</v>
      </c>
      <c r="E2967" s="1">
        <v>10970.22</v>
      </c>
      <c r="F2967" s="2"/>
      <c r="G2967" s="1">
        <v>7150.75</v>
      </c>
      <c r="H2967" s="3"/>
      <c r="I2967" s="14" t="s">
        <v>4689</v>
      </c>
    </row>
    <row r="2968" spans="1:9" ht="18.75" customHeight="1" x14ac:dyDescent="0.4">
      <c r="A2968" s="14" t="s">
        <v>1930</v>
      </c>
      <c r="B2968" s="16" t="str">
        <f>TRIM("特別養護老人ホームサンローズオオサカ・東陽地域在宅サービスステーション")</f>
        <v>特別養護老人ホームサンローズオオサカ・東陽地域在宅サービスステーション</v>
      </c>
      <c r="C2968" s="14" t="s">
        <v>1516</v>
      </c>
      <c r="D2968" s="14" t="s">
        <v>413</v>
      </c>
      <c r="E2968" s="1">
        <v>1603.11</v>
      </c>
      <c r="F2968" s="2"/>
      <c r="G2968" s="1"/>
      <c r="H2968" s="3"/>
      <c r="I2968" s="14" t="s">
        <v>1654</v>
      </c>
    </row>
    <row r="2969" spans="1:9" ht="18.75" customHeight="1" x14ac:dyDescent="0.4">
      <c r="A2969" s="14" t="s">
        <v>2471</v>
      </c>
      <c r="B2969" s="16" t="str">
        <f>TRIM("運河（東成）")</f>
        <v>運河（東成）</v>
      </c>
      <c r="C2969" s="14" t="s">
        <v>1516</v>
      </c>
      <c r="D2969" s="14" t="s">
        <v>413</v>
      </c>
      <c r="E2969" s="1">
        <v>33958.67</v>
      </c>
      <c r="F2969" s="2"/>
      <c r="G2969" s="1"/>
      <c r="H2969" s="3"/>
      <c r="I2969" s="14" t="s">
        <v>2177</v>
      </c>
    </row>
    <row r="2970" spans="1:9" ht="18.75" customHeight="1" x14ac:dyDescent="0.4">
      <c r="A2970" s="14" t="s">
        <v>4925</v>
      </c>
      <c r="B2970" s="16" t="str">
        <f>TRIM("相生中学校")</f>
        <v>相生中学校</v>
      </c>
      <c r="C2970" s="14" t="s">
        <v>1516</v>
      </c>
      <c r="D2970" s="14" t="s">
        <v>1406</v>
      </c>
      <c r="E2970" s="1">
        <v>14213.89</v>
      </c>
      <c r="F2970" s="2"/>
      <c r="G2970" s="1">
        <v>7326</v>
      </c>
      <c r="H2970" s="3"/>
      <c r="I2970" s="14" t="s">
        <v>4689</v>
      </c>
    </row>
    <row r="2971" spans="1:9" ht="18.75" customHeight="1" x14ac:dyDescent="0.4">
      <c r="A2971" s="14" t="s">
        <v>3848</v>
      </c>
      <c r="B2971" s="16" t="str">
        <f>TRIM("新深江駅自転車駐車場管理事務所")</f>
        <v>新深江駅自転車駐車場管理事務所</v>
      </c>
      <c r="C2971" s="14" t="s">
        <v>1516</v>
      </c>
      <c r="D2971" s="14" t="s">
        <v>1490</v>
      </c>
      <c r="E2971" s="1"/>
      <c r="F2971" s="2"/>
      <c r="G2971" s="1">
        <v>6.48</v>
      </c>
      <c r="H2971" s="3"/>
      <c r="I2971" s="14" t="s">
        <v>2177</v>
      </c>
    </row>
    <row r="2972" spans="1:9" ht="18.75" customHeight="1" x14ac:dyDescent="0.4">
      <c r="A2972" s="14" t="s">
        <v>4785</v>
      </c>
      <c r="B2972" s="16" t="str">
        <f>TRIM("玉津中学校")</f>
        <v>玉津中学校</v>
      </c>
      <c r="C2972" s="14" t="s">
        <v>1516</v>
      </c>
      <c r="D2972" s="14" t="s">
        <v>957</v>
      </c>
      <c r="E2972" s="1">
        <v>8499.2099999999991</v>
      </c>
      <c r="F2972" s="2"/>
      <c r="G2972" s="1">
        <v>7837.13</v>
      </c>
      <c r="H2972" s="3"/>
      <c r="I2972" s="14" t="s">
        <v>4689</v>
      </c>
    </row>
    <row r="2973" spans="1:9" ht="18.75" customHeight="1" x14ac:dyDescent="0.4">
      <c r="A2973" s="14" t="s">
        <v>4968</v>
      </c>
      <c r="B2973" s="16" t="str">
        <f>TRIM("中道小学校")</f>
        <v>中道小学校</v>
      </c>
      <c r="C2973" s="14" t="s">
        <v>1516</v>
      </c>
      <c r="D2973" s="14" t="s">
        <v>957</v>
      </c>
      <c r="E2973" s="1">
        <v>9202</v>
      </c>
      <c r="F2973" s="2"/>
      <c r="G2973" s="1">
        <v>4439.4399999999996</v>
      </c>
      <c r="H2973" s="3"/>
      <c r="I2973" s="14" t="s">
        <v>4689</v>
      </c>
    </row>
    <row r="2974" spans="1:9" ht="18.75" customHeight="1" x14ac:dyDescent="0.4">
      <c r="A2974" s="14" t="s">
        <v>2311</v>
      </c>
      <c r="B2974" s="16" t="str">
        <f>TRIM("道路（東成）（管財課）")</f>
        <v>道路（東成）（管財課）</v>
      </c>
      <c r="C2974" s="14" t="s">
        <v>1516</v>
      </c>
      <c r="D2974" s="14" t="s">
        <v>957</v>
      </c>
      <c r="E2974" s="1">
        <v>304401.09999999998</v>
      </c>
      <c r="F2974" s="2"/>
      <c r="G2974" s="1"/>
      <c r="H2974" s="3"/>
      <c r="I2974" s="14" t="s">
        <v>2177</v>
      </c>
    </row>
    <row r="2975" spans="1:9" ht="18.75" customHeight="1" x14ac:dyDescent="0.4">
      <c r="A2975" s="14" t="s">
        <v>2660</v>
      </c>
      <c r="B2975" s="16" t="str">
        <f>TRIM("　玉津公園")</f>
        <v>玉津公園</v>
      </c>
      <c r="C2975" s="14" t="s">
        <v>1516</v>
      </c>
      <c r="D2975" s="14" t="s">
        <v>957</v>
      </c>
      <c r="E2975" s="1">
        <v>5967</v>
      </c>
      <c r="F2975" s="2"/>
      <c r="G2975" s="1"/>
      <c r="H2975" s="3"/>
      <c r="I2975" s="14" t="s">
        <v>2177</v>
      </c>
    </row>
    <row r="2976" spans="1:9" ht="18.75" customHeight="1" x14ac:dyDescent="0.4">
      <c r="A2976" s="14" t="s">
        <v>5357</v>
      </c>
      <c r="B2976" s="16" t="str">
        <f>TRIM("その他の土地（東成）")</f>
        <v>その他の土地（東成）</v>
      </c>
      <c r="C2976" s="14" t="s">
        <v>1516</v>
      </c>
      <c r="D2976" s="14" t="s">
        <v>122</v>
      </c>
      <c r="E2976" s="1">
        <v>58.99</v>
      </c>
      <c r="F2976" s="2"/>
      <c r="G2976" s="1"/>
      <c r="H2976" s="3"/>
      <c r="I2976" s="14" t="s">
        <v>5349</v>
      </c>
    </row>
    <row r="2977" spans="1:9" ht="18.75" customHeight="1" x14ac:dyDescent="0.4">
      <c r="A2977" s="14" t="s">
        <v>5713</v>
      </c>
      <c r="B2977" s="16" t="str">
        <f>TRIM("　第二明の守たまつ保育園")</f>
        <v>第二明の守たまつ保育園</v>
      </c>
      <c r="C2977" s="14" t="s">
        <v>1516</v>
      </c>
      <c r="D2977" s="14" t="s">
        <v>122</v>
      </c>
      <c r="E2977" s="1">
        <v>500</v>
      </c>
      <c r="F2977" s="2"/>
      <c r="G2977" s="1"/>
      <c r="H2977" s="3"/>
      <c r="I2977" s="14" t="s">
        <v>5617</v>
      </c>
    </row>
    <row r="2978" spans="1:9" ht="18.75" customHeight="1" x14ac:dyDescent="0.4">
      <c r="A2978" s="14" t="s">
        <v>6903</v>
      </c>
      <c r="B2978" s="16" t="str">
        <f>TRIM("たまつ和ひろば（まちかど広場）")</f>
        <v>たまつ和ひろば（まちかど広場）</v>
      </c>
      <c r="C2978" s="14" t="s">
        <v>1516</v>
      </c>
      <c r="D2978" s="14" t="s">
        <v>122</v>
      </c>
      <c r="E2978" s="1">
        <v>373.51</v>
      </c>
      <c r="F2978" s="2"/>
      <c r="G2978" s="1"/>
      <c r="H2978" s="3"/>
      <c r="I2978" s="14" t="s">
        <v>6177</v>
      </c>
    </row>
    <row r="2979" spans="1:9" ht="18.75" customHeight="1" x14ac:dyDescent="0.4">
      <c r="A2979" s="14" t="s">
        <v>2524</v>
      </c>
      <c r="B2979" s="16" t="str">
        <f>TRIM("　　玉津南公園")</f>
        <v>玉津南公園</v>
      </c>
      <c r="C2979" s="14" t="s">
        <v>1516</v>
      </c>
      <c r="D2979" s="14" t="s">
        <v>216</v>
      </c>
      <c r="E2979" s="1">
        <v>1970.71</v>
      </c>
      <c r="F2979" s="2"/>
      <c r="G2979" s="1"/>
      <c r="H2979" s="3"/>
      <c r="I2979" s="14" t="s">
        <v>2177</v>
      </c>
    </row>
    <row r="2980" spans="1:9" ht="18.75" customHeight="1" x14ac:dyDescent="0.4">
      <c r="A2980" s="14" t="s">
        <v>5479</v>
      </c>
      <c r="B2980" s="16" t="str">
        <f>TRIM("契約管財局賃貸地（東成）")</f>
        <v>契約管財局賃貸地（東成）</v>
      </c>
      <c r="C2980" s="14" t="s">
        <v>1516</v>
      </c>
      <c r="D2980" s="14" t="s">
        <v>216</v>
      </c>
      <c r="E2980" s="1">
        <v>84.57</v>
      </c>
      <c r="F2980" s="2"/>
      <c r="G2980" s="1"/>
      <c r="H2980" s="3"/>
      <c r="I2980" s="14" t="s">
        <v>5349</v>
      </c>
    </row>
    <row r="2981" spans="1:9" ht="18.75" customHeight="1" x14ac:dyDescent="0.4">
      <c r="A2981" s="14" t="s">
        <v>5566</v>
      </c>
      <c r="B2981" s="16" t="str">
        <f>TRIM("平野川埋立地（東成）")</f>
        <v>平野川埋立地（東成）</v>
      </c>
      <c r="C2981" s="14" t="s">
        <v>1516</v>
      </c>
      <c r="D2981" s="14" t="s">
        <v>216</v>
      </c>
      <c r="E2981" s="1">
        <v>12.72</v>
      </c>
      <c r="F2981" s="2"/>
      <c r="G2981" s="1"/>
      <c r="H2981" s="3"/>
      <c r="I2981" s="14" t="s">
        <v>5349</v>
      </c>
    </row>
    <row r="2982" spans="1:9" ht="18.75" customHeight="1" x14ac:dyDescent="0.4">
      <c r="A2982" s="14" t="s">
        <v>3854</v>
      </c>
      <c r="B2982" s="16" t="str">
        <f>TRIM("森ノ宮駅自転車駐車場管理ボックス")</f>
        <v>森ノ宮駅自転車駐車場管理ボックス</v>
      </c>
      <c r="C2982" s="14" t="s">
        <v>1516</v>
      </c>
      <c r="D2982" s="14" t="s">
        <v>1491</v>
      </c>
      <c r="E2982" s="1"/>
      <c r="F2982" s="2"/>
      <c r="G2982" s="1">
        <v>3.89</v>
      </c>
      <c r="H2982" s="3"/>
      <c r="I2982" s="14" t="s">
        <v>2177</v>
      </c>
    </row>
    <row r="2983" spans="1:9" ht="18.75" customHeight="1" x14ac:dyDescent="0.4">
      <c r="A2983" s="14" t="s">
        <v>5104</v>
      </c>
      <c r="B2983" s="16" t="str">
        <f>TRIM("北中道小学校")</f>
        <v>北中道小学校</v>
      </c>
      <c r="C2983" s="14" t="s">
        <v>1516</v>
      </c>
      <c r="D2983" s="14" t="s">
        <v>521</v>
      </c>
      <c r="E2983" s="1">
        <v>6409.32</v>
      </c>
      <c r="F2983" s="2"/>
      <c r="G2983" s="1">
        <v>5562.98</v>
      </c>
      <c r="H2983" s="3"/>
      <c r="I2983" s="14" t="s">
        <v>4689</v>
      </c>
    </row>
    <row r="2984" spans="1:9" ht="18.75" customHeight="1" x14ac:dyDescent="0.4">
      <c r="A2984" s="14" t="s">
        <v>5818</v>
      </c>
      <c r="B2984" s="16" t="str">
        <f>TRIM("北中道幼稚園")</f>
        <v>北中道幼稚園</v>
      </c>
      <c r="C2984" s="14" t="s">
        <v>1516</v>
      </c>
      <c r="D2984" s="14" t="s">
        <v>521</v>
      </c>
      <c r="E2984" s="1">
        <v>1972.19</v>
      </c>
      <c r="F2984" s="2"/>
      <c r="G2984" s="1">
        <v>1018.95</v>
      </c>
      <c r="H2984" s="3"/>
      <c r="I2984" s="14" t="s">
        <v>5617</v>
      </c>
    </row>
    <row r="2985" spans="1:9" ht="18.75" customHeight="1" x14ac:dyDescent="0.4">
      <c r="A2985" s="14" t="s">
        <v>3302</v>
      </c>
      <c r="B2985" s="16" t="str">
        <f>TRIM("　北中道公園")</f>
        <v>北中道公園</v>
      </c>
      <c r="C2985" s="14" t="s">
        <v>1516</v>
      </c>
      <c r="D2985" s="14" t="s">
        <v>521</v>
      </c>
      <c r="E2985" s="1">
        <v>1135.0899999999999</v>
      </c>
      <c r="F2985" s="2"/>
      <c r="G2985" s="1"/>
      <c r="H2985" s="3"/>
      <c r="I2985" s="14" t="s">
        <v>2177</v>
      </c>
    </row>
    <row r="2986" spans="1:9" ht="18.75" customHeight="1" x14ac:dyDescent="0.4">
      <c r="A2986" s="14" t="s">
        <v>2143</v>
      </c>
      <c r="B2986" s="16" t="str">
        <f>TRIM("北中道老人憩の家")</f>
        <v>北中道老人憩の家</v>
      </c>
      <c r="C2986" s="14" t="s">
        <v>1516</v>
      </c>
      <c r="D2986" s="14" t="s">
        <v>165</v>
      </c>
      <c r="E2986" s="1">
        <v>87.32</v>
      </c>
      <c r="F2986" s="2"/>
      <c r="G2986" s="1"/>
      <c r="H2986" s="3"/>
      <c r="I2986" s="14" t="s">
        <v>2054</v>
      </c>
    </row>
    <row r="2987" spans="1:9" ht="18.75" customHeight="1" x14ac:dyDescent="0.4">
      <c r="A2987" s="14" t="s">
        <v>2234</v>
      </c>
      <c r="B2987" s="16" t="str">
        <f>TRIM("上新庄生野線（東成）（管財課）")</f>
        <v>上新庄生野線（東成）（管財課）</v>
      </c>
      <c r="C2987" s="14" t="s">
        <v>1516</v>
      </c>
      <c r="D2987" s="14" t="s">
        <v>165</v>
      </c>
      <c r="E2987" s="1">
        <v>172.93</v>
      </c>
      <c r="F2987" s="2"/>
      <c r="G2987" s="1"/>
      <c r="H2987" s="3"/>
      <c r="I2987" s="14" t="s">
        <v>2177</v>
      </c>
    </row>
    <row r="2988" spans="1:9" ht="18.75" customHeight="1" x14ac:dyDescent="0.4">
      <c r="A2988" s="14" t="s">
        <v>3053</v>
      </c>
      <c r="B2988" s="16" t="str">
        <f>TRIM("　中道中央公園")</f>
        <v>中道中央公園</v>
      </c>
      <c r="C2988" s="14" t="s">
        <v>1516</v>
      </c>
      <c r="D2988" s="14" t="s">
        <v>165</v>
      </c>
      <c r="E2988" s="1">
        <v>799.35</v>
      </c>
      <c r="F2988" s="2"/>
      <c r="G2988" s="1"/>
      <c r="H2988" s="3"/>
      <c r="I2988" s="14" t="s">
        <v>2177</v>
      </c>
    </row>
    <row r="2989" spans="1:9" ht="18.75" customHeight="1" x14ac:dyDescent="0.4">
      <c r="A2989" s="14" t="s">
        <v>4535</v>
      </c>
      <c r="B2989" s="16" t="str">
        <f>TRIM("北中道連合地域集会所")</f>
        <v>北中道連合地域集会所</v>
      </c>
      <c r="C2989" s="14" t="s">
        <v>1516</v>
      </c>
      <c r="D2989" s="14" t="s">
        <v>165</v>
      </c>
      <c r="E2989" s="1">
        <v>165.25</v>
      </c>
      <c r="F2989" s="2"/>
      <c r="G2989" s="1"/>
      <c r="H2989" s="3"/>
      <c r="I2989" s="14" t="s">
        <v>2054</v>
      </c>
    </row>
    <row r="2990" spans="1:9" ht="18.75" customHeight="1" x14ac:dyDescent="0.4">
      <c r="A2990" s="14" t="s">
        <v>5409</v>
      </c>
      <c r="B2990" s="16" t="str">
        <f>TRIM("もと疎開跡地（東成）")</f>
        <v>もと疎開跡地（東成）</v>
      </c>
      <c r="C2990" s="14" t="s">
        <v>1516</v>
      </c>
      <c r="D2990" s="14" t="s">
        <v>165</v>
      </c>
      <c r="E2990" s="1">
        <v>39.159999999999997</v>
      </c>
      <c r="F2990" s="2"/>
      <c r="G2990" s="1"/>
      <c r="H2990" s="3"/>
      <c r="I2990" s="14" t="s">
        <v>5349</v>
      </c>
    </row>
    <row r="2991" spans="1:9" ht="18.75" customHeight="1" x14ac:dyDescent="0.4">
      <c r="A2991" s="14" t="s">
        <v>5521</v>
      </c>
      <c r="B2991" s="16" t="str">
        <f>TRIM("東成署中道交番")</f>
        <v>東成署中道交番</v>
      </c>
      <c r="C2991" s="14" t="s">
        <v>1516</v>
      </c>
      <c r="D2991" s="14" t="s">
        <v>165</v>
      </c>
      <c r="E2991" s="1">
        <v>49.88</v>
      </c>
      <c r="F2991" s="2"/>
      <c r="G2991" s="1"/>
      <c r="H2991" s="3"/>
      <c r="I2991" s="14" t="s">
        <v>5349</v>
      </c>
    </row>
    <row r="2992" spans="1:9" ht="18.75" customHeight="1" x14ac:dyDescent="0.4">
      <c r="A2992" s="14" t="s">
        <v>6818</v>
      </c>
      <c r="B2992" s="16" t="str">
        <f>TRIM("肩替地（東成玉造）")</f>
        <v>肩替地（東成玉造）</v>
      </c>
      <c r="C2992" s="14" t="s">
        <v>1516</v>
      </c>
      <c r="D2992" s="14" t="s">
        <v>165</v>
      </c>
      <c r="E2992" s="1">
        <v>14.61</v>
      </c>
      <c r="F2992" s="2"/>
      <c r="G2992" s="1"/>
      <c r="H2992" s="3"/>
      <c r="I2992" s="14" t="s">
        <v>6177</v>
      </c>
    </row>
    <row r="2993" spans="1:9" ht="18.75" customHeight="1" x14ac:dyDescent="0.4">
      <c r="A2993" s="14" t="s">
        <v>2288</v>
      </c>
      <c r="B2993" s="16" t="str">
        <f>TRIM("築港深江線（東成）（管財課）")</f>
        <v>築港深江線（東成）（管財課）</v>
      </c>
      <c r="C2993" s="14" t="s">
        <v>1516</v>
      </c>
      <c r="D2993" s="14" t="s">
        <v>950</v>
      </c>
      <c r="E2993" s="1">
        <v>27152.59</v>
      </c>
      <c r="F2993" s="2"/>
      <c r="G2993" s="1"/>
      <c r="H2993" s="3"/>
      <c r="I2993" s="14" t="s">
        <v>2177</v>
      </c>
    </row>
    <row r="2994" spans="1:9" ht="18.75" customHeight="1" x14ac:dyDescent="0.4">
      <c r="A2994" s="14" t="s">
        <v>3303</v>
      </c>
      <c r="B2994" s="16" t="str">
        <f>TRIM("　北中本公園")</f>
        <v>北中本公園</v>
      </c>
      <c r="C2994" s="14" t="s">
        <v>1516</v>
      </c>
      <c r="D2994" s="14" t="s">
        <v>1243</v>
      </c>
      <c r="E2994" s="1">
        <v>1151.93</v>
      </c>
      <c r="F2994" s="2"/>
      <c r="G2994" s="1"/>
      <c r="H2994" s="3"/>
      <c r="I2994" s="14" t="s">
        <v>2177</v>
      </c>
    </row>
    <row r="2995" spans="1:9" ht="18.75" customHeight="1" x14ac:dyDescent="0.4">
      <c r="A2995" s="14" t="s">
        <v>4970</v>
      </c>
      <c r="B2995" s="16" t="str">
        <f>TRIM("中本小学校")</f>
        <v>中本小学校</v>
      </c>
      <c r="C2995" s="14" t="s">
        <v>1516</v>
      </c>
      <c r="D2995" s="14" t="s">
        <v>189</v>
      </c>
      <c r="E2995" s="1">
        <v>7709.58</v>
      </c>
      <c r="F2995" s="2"/>
      <c r="G2995" s="1">
        <v>7387.51</v>
      </c>
      <c r="H2995" s="3"/>
      <c r="I2995" s="14" t="s">
        <v>4689</v>
      </c>
    </row>
    <row r="2996" spans="1:9" ht="18.75" customHeight="1" x14ac:dyDescent="0.4">
      <c r="A2996" s="14" t="s">
        <v>5705</v>
      </c>
      <c r="B2996" s="16" t="str">
        <f>TRIM("もと東さくら園")</f>
        <v>もと東さくら園</v>
      </c>
      <c r="C2996" s="14" t="s">
        <v>1516</v>
      </c>
      <c r="D2996" s="14" t="s">
        <v>189</v>
      </c>
      <c r="E2996" s="1">
        <v>1097.23</v>
      </c>
      <c r="F2996" s="2"/>
      <c r="G2996" s="1">
        <v>1822.5</v>
      </c>
      <c r="H2996" s="3" t="s">
        <v>7353</v>
      </c>
      <c r="I2996" s="14" t="s">
        <v>5617</v>
      </c>
    </row>
    <row r="2997" spans="1:9" ht="18.75" customHeight="1" x14ac:dyDescent="0.4">
      <c r="A2997" s="14" t="s">
        <v>2092</v>
      </c>
      <c r="B2997" s="16" t="str">
        <f>TRIM("中本憩の家（もと中本老人憩の家）")</f>
        <v>中本憩の家（もと中本老人憩の家）</v>
      </c>
      <c r="C2997" s="14" t="s">
        <v>1516</v>
      </c>
      <c r="D2997" s="14" t="s">
        <v>189</v>
      </c>
      <c r="E2997" s="1">
        <v>114.53</v>
      </c>
      <c r="F2997" s="2"/>
      <c r="G2997" s="1"/>
      <c r="H2997" s="3"/>
      <c r="I2997" s="14" t="s">
        <v>2054</v>
      </c>
    </row>
    <row r="2998" spans="1:9" ht="18.75" customHeight="1" x14ac:dyDescent="0.4">
      <c r="A2998" s="14" t="s">
        <v>5439</v>
      </c>
      <c r="B2998" s="16" t="str">
        <f>TRIM("もと北中本保育所")</f>
        <v>もと北中本保育所</v>
      </c>
      <c r="C2998" s="14" t="s">
        <v>1516</v>
      </c>
      <c r="D2998" s="14" t="s">
        <v>189</v>
      </c>
      <c r="E2998" s="1">
        <v>13.22</v>
      </c>
      <c r="F2998" s="2"/>
      <c r="G2998" s="1"/>
      <c r="H2998" s="3"/>
      <c r="I2998" s="14" t="s">
        <v>5349</v>
      </c>
    </row>
    <row r="2999" spans="1:9" ht="18.75" customHeight="1" x14ac:dyDescent="0.4">
      <c r="A2999" s="14" t="s">
        <v>5523</v>
      </c>
      <c r="B2999" s="16" t="str">
        <f>TRIM("東成署中本交番")</f>
        <v>東成署中本交番</v>
      </c>
      <c r="C2999" s="14" t="s">
        <v>1516</v>
      </c>
      <c r="D2999" s="14" t="s">
        <v>189</v>
      </c>
      <c r="E2999" s="1">
        <v>67</v>
      </c>
      <c r="F2999" s="2"/>
      <c r="G2999" s="1"/>
      <c r="H2999" s="3"/>
      <c r="I2999" s="14" t="s">
        <v>5349</v>
      </c>
    </row>
    <row r="3000" spans="1:9" ht="18.75" customHeight="1" x14ac:dyDescent="0.4">
      <c r="A3000" s="14" t="s">
        <v>5652</v>
      </c>
      <c r="B3000" s="16" t="str">
        <f>TRIM("北中本児童遊園")</f>
        <v>北中本児童遊園</v>
      </c>
      <c r="C3000" s="14" t="s">
        <v>1516</v>
      </c>
      <c r="D3000" s="14" t="s">
        <v>189</v>
      </c>
      <c r="E3000" s="1">
        <v>278.77</v>
      </c>
      <c r="F3000" s="2"/>
      <c r="G3000" s="1"/>
      <c r="H3000" s="3"/>
      <c r="I3000" s="14" t="s">
        <v>5617</v>
      </c>
    </row>
    <row r="3001" spans="1:9" ht="18.75" customHeight="1" x14ac:dyDescent="0.4">
      <c r="A3001" s="14" t="s">
        <v>5766</v>
      </c>
      <c r="B3001" s="16" t="str">
        <f>TRIM("北中本保育園")</f>
        <v>北中本保育園</v>
      </c>
      <c r="C3001" s="14" t="s">
        <v>1516</v>
      </c>
      <c r="D3001" s="14" t="s">
        <v>189</v>
      </c>
      <c r="E3001" s="1">
        <v>1963.97</v>
      </c>
      <c r="F3001" s="2"/>
      <c r="G3001" s="1"/>
      <c r="H3001" s="3"/>
      <c r="I3001" s="14" t="s">
        <v>5617</v>
      </c>
    </row>
    <row r="3002" spans="1:9" ht="18.75" customHeight="1" x14ac:dyDescent="0.4">
      <c r="A3002" s="14" t="s">
        <v>5896</v>
      </c>
      <c r="B3002" s="16" t="str">
        <f>TRIM("中本保育園")</f>
        <v>中本保育園</v>
      </c>
      <c r="C3002" s="14" t="s">
        <v>1516</v>
      </c>
      <c r="D3002" s="14" t="s">
        <v>189</v>
      </c>
      <c r="E3002" s="1">
        <v>495.86</v>
      </c>
      <c r="F3002" s="2"/>
      <c r="G3002" s="1"/>
      <c r="H3002" s="3"/>
      <c r="I3002" s="14" t="s">
        <v>5617</v>
      </c>
    </row>
    <row r="3003" spans="1:9" ht="18.75" customHeight="1" x14ac:dyDescent="0.4">
      <c r="A3003" s="14" t="s">
        <v>5961</v>
      </c>
      <c r="B3003" s="16" t="str">
        <f>TRIM("リアン東さくら園")</f>
        <v>リアン東さくら園</v>
      </c>
      <c r="C3003" s="14" t="s">
        <v>1516</v>
      </c>
      <c r="D3003" s="14" t="s">
        <v>189</v>
      </c>
      <c r="E3003" s="1">
        <v>1218.57</v>
      </c>
      <c r="F3003" s="2"/>
      <c r="G3003" s="1"/>
      <c r="H3003" s="3"/>
      <c r="I3003" s="14" t="s">
        <v>5617</v>
      </c>
    </row>
    <row r="3004" spans="1:9" ht="18.75" customHeight="1" x14ac:dyDescent="0.4">
      <c r="A3004" s="14" t="s">
        <v>6852</v>
      </c>
      <c r="B3004" s="16" t="str">
        <f>TRIM("区画整理事業用地（東成玉造工区）")</f>
        <v>区画整理事業用地（東成玉造工区）</v>
      </c>
      <c r="C3004" s="14" t="s">
        <v>1516</v>
      </c>
      <c r="D3004" s="14" t="s">
        <v>189</v>
      </c>
      <c r="E3004" s="1">
        <v>54.81</v>
      </c>
      <c r="F3004" s="2"/>
      <c r="G3004" s="1"/>
      <c r="H3004" s="3"/>
      <c r="I3004" s="14" t="s">
        <v>6177</v>
      </c>
    </row>
    <row r="3005" spans="1:9" ht="18.75" customHeight="1" x14ac:dyDescent="0.4">
      <c r="A3005" s="14" t="s">
        <v>3473</v>
      </c>
      <c r="B3005" s="16" t="str">
        <f>TRIM("中本くすのき公園")</f>
        <v>中本くすのき公園</v>
      </c>
      <c r="C3005" s="14" t="s">
        <v>1516</v>
      </c>
      <c r="D3005" s="14" t="s">
        <v>1291</v>
      </c>
      <c r="E3005" s="1">
        <v>2615.0700000000002</v>
      </c>
      <c r="F3005" s="2"/>
      <c r="G3005" s="1"/>
      <c r="H3005" s="3"/>
      <c r="I3005" s="14" t="s">
        <v>2177</v>
      </c>
    </row>
    <row r="3006" spans="1:9" ht="18.75" customHeight="1" x14ac:dyDescent="0.4">
      <c r="A3006" s="14" t="s">
        <v>3135</v>
      </c>
      <c r="B3006" s="16" t="str">
        <f>TRIM("　東今里3号開発公園")</f>
        <v>東今里3号開発公園</v>
      </c>
      <c r="C3006" s="14" t="s">
        <v>1516</v>
      </c>
      <c r="D3006" s="14" t="s">
        <v>1188</v>
      </c>
      <c r="E3006" s="1">
        <v>134.22</v>
      </c>
      <c r="F3006" s="2"/>
      <c r="G3006" s="1"/>
      <c r="H3006" s="3"/>
      <c r="I3006" s="14" t="s">
        <v>2177</v>
      </c>
    </row>
    <row r="3007" spans="1:9" ht="18.75" customHeight="1" x14ac:dyDescent="0.4">
      <c r="A3007" s="14" t="s">
        <v>3755</v>
      </c>
      <c r="B3007" s="16" t="str">
        <f>TRIM("ＪＲ玉造駅自転車駐車場")</f>
        <v>ＪＲ玉造駅自転車駐車場</v>
      </c>
      <c r="C3007" s="14" t="s">
        <v>1516</v>
      </c>
      <c r="D3007" s="14" t="s">
        <v>248</v>
      </c>
      <c r="E3007" s="1">
        <v>728.1</v>
      </c>
      <c r="F3007" s="2"/>
      <c r="G3007" s="1">
        <v>1024.94</v>
      </c>
      <c r="H3007" s="3"/>
      <c r="I3007" s="14" t="s">
        <v>2177</v>
      </c>
    </row>
    <row r="3008" spans="1:9" ht="18.75" customHeight="1" x14ac:dyDescent="0.4">
      <c r="A3008" s="14" t="s">
        <v>2090</v>
      </c>
      <c r="B3008" s="16" t="str">
        <f>TRIM("中道憩の家（もと中道老人憩の家）")</f>
        <v>中道憩の家（もと中道老人憩の家）</v>
      </c>
      <c r="C3008" s="14" t="s">
        <v>1516</v>
      </c>
      <c r="D3008" s="14" t="s">
        <v>248</v>
      </c>
      <c r="E3008" s="1">
        <v>99.37</v>
      </c>
      <c r="F3008" s="2"/>
      <c r="G3008" s="1"/>
      <c r="H3008" s="3"/>
      <c r="I3008" s="14" t="s">
        <v>2054</v>
      </c>
    </row>
    <row r="3009" spans="1:9" ht="18.75" customHeight="1" x14ac:dyDescent="0.4">
      <c r="A3009" s="14" t="s">
        <v>3139</v>
      </c>
      <c r="B3009" s="16" t="str">
        <f>TRIM("　東小橋北公園")</f>
        <v>東小橋北公園</v>
      </c>
      <c r="C3009" s="14" t="s">
        <v>1516</v>
      </c>
      <c r="D3009" s="14" t="s">
        <v>248</v>
      </c>
      <c r="E3009" s="1">
        <v>2163</v>
      </c>
      <c r="F3009" s="2"/>
      <c r="G3009" s="1"/>
      <c r="H3009" s="3"/>
      <c r="I3009" s="14" t="s">
        <v>2177</v>
      </c>
    </row>
    <row r="3010" spans="1:9" ht="18.75" customHeight="1" x14ac:dyDescent="0.4">
      <c r="A3010" s="14" t="s">
        <v>3644</v>
      </c>
      <c r="B3010" s="16" t="str">
        <f>TRIM("　東小橋北公園")</f>
        <v>東小橋北公園</v>
      </c>
      <c r="C3010" s="14" t="s">
        <v>1516</v>
      </c>
      <c r="D3010" s="14" t="s">
        <v>248</v>
      </c>
      <c r="E3010" s="1"/>
      <c r="F3010" s="2"/>
      <c r="G3010" s="1">
        <v>21.12</v>
      </c>
      <c r="H3010" s="3"/>
      <c r="I3010" s="14" t="s">
        <v>2177</v>
      </c>
    </row>
    <row r="3011" spans="1:9" ht="18.75" customHeight="1" x14ac:dyDescent="0.4">
      <c r="A3011" s="14" t="s">
        <v>4533</v>
      </c>
      <c r="B3011" s="16" t="str">
        <f>TRIM("中道地域集会所")</f>
        <v>中道地域集会所</v>
      </c>
      <c r="C3011" s="14" t="s">
        <v>1516</v>
      </c>
      <c r="D3011" s="14" t="s">
        <v>248</v>
      </c>
      <c r="E3011" s="1">
        <v>47.24</v>
      </c>
      <c r="F3011" s="2"/>
      <c r="G3011" s="1"/>
      <c r="H3011" s="3"/>
      <c r="I3011" s="14" t="s">
        <v>2054</v>
      </c>
    </row>
    <row r="3012" spans="1:9" ht="18.75" customHeight="1" x14ac:dyDescent="0.4">
      <c r="A3012" s="14" t="s">
        <v>5522</v>
      </c>
      <c r="B3012" s="16" t="str">
        <f>TRIM("東成署中道本通警ら連絡所")</f>
        <v>東成署中道本通警ら連絡所</v>
      </c>
      <c r="C3012" s="14" t="s">
        <v>1516</v>
      </c>
      <c r="D3012" s="14" t="s">
        <v>248</v>
      </c>
      <c r="E3012" s="1">
        <v>37.380000000000003</v>
      </c>
      <c r="F3012" s="2"/>
      <c r="G3012" s="1"/>
      <c r="H3012" s="3"/>
      <c r="I3012" s="14" t="s">
        <v>5349</v>
      </c>
    </row>
    <row r="3013" spans="1:9" ht="18.75" customHeight="1" x14ac:dyDescent="0.4">
      <c r="A3013" s="14" t="s">
        <v>5811</v>
      </c>
      <c r="B3013" s="16" t="str">
        <f>TRIM("東小橋幼稚園")</f>
        <v>東小橋幼稚園</v>
      </c>
      <c r="C3013" s="14" t="s">
        <v>1516</v>
      </c>
      <c r="D3013" s="14" t="s">
        <v>516</v>
      </c>
      <c r="E3013" s="1">
        <v>895</v>
      </c>
      <c r="F3013" s="2"/>
      <c r="G3013" s="1">
        <v>678.28</v>
      </c>
      <c r="H3013" s="3"/>
      <c r="I3013" s="14" t="s">
        <v>5617</v>
      </c>
    </row>
    <row r="3014" spans="1:9" ht="18.75" customHeight="1" x14ac:dyDescent="0.4">
      <c r="A3014" s="14" t="s">
        <v>3138</v>
      </c>
      <c r="B3014" s="16" t="str">
        <f>TRIM("　東小橋公園")</f>
        <v>東小橋公園</v>
      </c>
      <c r="C3014" s="14" t="s">
        <v>1516</v>
      </c>
      <c r="D3014" s="14" t="s">
        <v>516</v>
      </c>
      <c r="E3014" s="1">
        <v>9680</v>
      </c>
      <c r="F3014" s="2"/>
      <c r="G3014" s="1"/>
      <c r="H3014" s="3"/>
      <c r="I3014" s="14" t="s">
        <v>2177</v>
      </c>
    </row>
    <row r="3015" spans="1:9" ht="18.75" customHeight="1" x14ac:dyDescent="0.4">
      <c r="A3015" s="14" t="s">
        <v>3524</v>
      </c>
      <c r="B3015" s="16" t="str">
        <f>TRIM("  東小橋公園")</f>
        <v>東小橋公園</v>
      </c>
      <c r="C3015" s="14" t="s">
        <v>1516</v>
      </c>
      <c r="D3015" s="14" t="s">
        <v>516</v>
      </c>
      <c r="E3015" s="1"/>
      <c r="F3015" s="2"/>
      <c r="G3015" s="1">
        <v>21</v>
      </c>
      <c r="H3015" s="3"/>
      <c r="I3015" s="14" t="s">
        <v>2177</v>
      </c>
    </row>
    <row r="3016" spans="1:9" ht="18.75" customHeight="1" x14ac:dyDescent="0.4">
      <c r="A3016" s="14" t="s">
        <v>5020</v>
      </c>
      <c r="B3016" s="16" t="str">
        <f>TRIM("東小橋小学校")</f>
        <v>東小橋小学校</v>
      </c>
      <c r="C3016" s="14" t="s">
        <v>1516</v>
      </c>
      <c r="D3016" s="14" t="s">
        <v>590</v>
      </c>
      <c r="E3016" s="1">
        <v>4949.95</v>
      </c>
      <c r="F3016" s="2"/>
      <c r="G3016" s="1">
        <v>3672.61</v>
      </c>
      <c r="H3016" s="3"/>
      <c r="I3016" s="14" t="s">
        <v>4689</v>
      </c>
    </row>
    <row r="3017" spans="1:9" ht="18.75" customHeight="1" x14ac:dyDescent="0.4">
      <c r="A3017" s="14" t="s">
        <v>5909</v>
      </c>
      <c r="B3017" s="16" t="str">
        <f>TRIM("東小橋保育所")</f>
        <v>東小橋保育所</v>
      </c>
      <c r="C3017" s="14" t="s">
        <v>1516</v>
      </c>
      <c r="D3017" s="14" t="s">
        <v>590</v>
      </c>
      <c r="E3017" s="1">
        <v>644.62</v>
      </c>
      <c r="F3017" s="2"/>
      <c r="G3017" s="1">
        <v>351.94</v>
      </c>
      <c r="H3017" s="3"/>
      <c r="I3017" s="14" t="s">
        <v>5617</v>
      </c>
    </row>
    <row r="3018" spans="1:9" ht="18.75" customHeight="1" x14ac:dyDescent="0.4">
      <c r="A3018" s="14" t="s">
        <v>3752</v>
      </c>
      <c r="B3018" s="16" t="str">
        <f>TRIM("（地）鶴橋駅自転車駐車場")</f>
        <v>（地）鶴橋駅自転車駐車場</v>
      </c>
      <c r="C3018" s="14" t="s">
        <v>1516</v>
      </c>
      <c r="D3018" s="14" t="s">
        <v>590</v>
      </c>
      <c r="E3018" s="1"/>
      <c r="F3018" s="2"/>
      <c r="G3018" s="1">
        <v>514.72</v>
      </c>
      <c r="H3018" s="3"/>
      <c r="I3018" s="14" t="s">
        <v>2177</v>
      </c>
    </row>
    <row r="3019" spans="1:9" ht="18.75" customHeight="1" x14ac:dyDescent="0.4">
      <c r="A3019" s="14" t="s">
        <v>3955</v>
      </c>
      <c r="B3019" s="16" t="str">
        <f>TRIM("緑橋駅自転車駐車場管理事務所")</f>
        <v>緑橋駅自転車駐車場管理事務所</v>
      </c>
      <c r="C3019" s="14" t="s">
        <v>1516</v>
      </c>
      <c r="D3019" s="14" t="s">
        <v>1503</v>
      </c>
      <c r="E3019" s="1"/>
      <c r="F3019" s="2"/>
      <c r="G3019" s="1">
        <v>12.96</v>
      </c>
      <c r="H3019" s="3"/>
      <c r="I3019" s="14" t="s">
        <v>2177</v>
      </c>
    </row>
    <row r="3020" spans="1:9" ht="18.75" customHeight="1" x14ac:dyDescent="0.4">
      <c r="A3020" s="14" t="s">
        <v>3972</v>
      </c>
      <c r="B3020" s="16" t="str">
        <f>TRIM("緑橋駅自転車駐車場  ")</f>
        <v>緑橋駅自転車駐車場</v>
      </c>
      <c r="C3020" s="14" t="s">
        <v>1516</v>
      </c>
      <c r="D3020" s="14" t="s">
        <v>1503</v>
      </c>
      <c r="E3020" s="1"/>
      <c r="F3020" s="2"/>
      <c r="G3020" s="1">
        <v>330.46</v>
      </c>
      <c r="H3020" s="3"/>
      <c r="I3020" s="14" t="s">
        <v>2177</v>
      </c>
    </row>
    <row r="3021" spans="1:9" ht="18.75" customHeight="1" x14ac:dyDescent="0.4">
      <c r="A3021" s="14" t="s">
        <v>1858</v>
      </c>
      <c r="B3021" s="16" t="str">
        <f>TRIM("もと介護老人保健施設おとしよりすこやかセンター（東部館）")</f>
        <v>もと介護老人保健施設おとしよりすこやかセンター（東部館）</v>
      </c>
      <c r="C3021" s="14" t="s">
        <v>1516</v>
      </c>
      <c r="D3021" s="14" t="s">
        <v>82</v>
      </c>
      <c r="E3021" s="1">
        <v>2537.16</v>
      </c>
      <c r="F3021" s="2"/>
      <c r="G3021" s="1">
        <v>6287.3</v>
      </c>
      <c r="H3021" s="3"/>
      <c r="I3021" s="14" t="s">
        <v>1654</v>
      </c>
    </row>
    <row r="3022" spans="1:9" ht="18.75" customHeight="1" x14ac:dyDescent="0.4">
      <c r="A3022" s="14" t="s">
        <v>5027</v>
      </c>
      <c r="B3022" s="16" t="str">
        <f>TRIM("東中本小学校")</f>
        <v>東中本小学校</v>
      </c>
      <c r="C3022" s="14" t="s">
        <v>1516</v>
      </c>
      <c r="D3022" s="14" t="s">
        <v>82</v>
      </c>
      <c r="E3022" s="1">
        <v>11054.08</v>
      </c>
      <c r="F3022" s="2"/>
      <c r="G3022" s="1">
        <v>6469.24</v>
      </c>
      <c r="H3022" s="3"/>
      <c r="I3022" s="14" t="s">
        <v>4689</v>
      </c>
    </row>
    <row r="3023" spans="1:9" ht="18.75" customHeight="1" x14ac:dyDescent="0.4">
      <c r="A3023" s="14" t="s">
        <v>5290</v>
      </c>
      <c r="B3023" s="16" t="str">
        <f>TRIM("東成消防署中本出張所")</f>
        <v>東成消防署中本出張所</v>
      </c>
      <c r="C3023" s="14" t="s">
        <v>1516</v>
      </c>
      <c r="D3023" s="14" t="s">
        <v>82</v>
      </c>
      <c r="E3023" s="1">
        <v>218.18</v>
      </c>
      <c r="F3023" s="2"/>
      <c r="G3023" s="1">
        <v>486.76</v>
      </c>
      <c r="H3023" s="3"/>
      <c r="I3023" s="14" t="s">
        <v>5219</v>
      </c>
    </row>
    <row r="3024" spans="1:9" ht="18.75" customHeight="1" x14ac:dyDescent="0.4">
      <c r="A3024" s="14" t="s">
        <v>5830</v>
      </c>
      <c r="B3024" s="16" t="str">
        <f>TRIM("東中本幼稚園")</f>
        <v>東中本幼稚園</v>
      </c>
      <c r="C3024" s="14" t="s">
        <v>1516</v>
      </c>
      <c r="D3024" s="14" t="s">
        <v>82</v>
      </c>
      <c r="E3024" s="1">
        <v>1377</v>
      </c>
      <c r="F3024" s="2"/>
      <c r="G3024" s="1">
        <v>730.37</v>
      </c>
      <c r="H3024" s="3"/>
      <c r="I3024" s="14" t="s">
        <v>5617</v>
      </c>
    </row>
    <row r="3025" spans="1:9" ht="18.75" customHeight="1" x14ac:dyDescent="0.4">
      <c r="A3025" s="14" t="s">
        <v>5911</v>
      </c>
      <c r="B3025" s="16" t="str">
        <f>TRIM("東中本保育所")</f>
        <v>東中本保育所</v>
      </c>
      <c r="C3025" s="14" t="s">
        <v>1516</v>
      </c>
      <c r="D3025" s="14" t="s">
        <v>82</v>
      </c>
      <c r="E3025" s="1">
        <v>668.66</v>
      </c>
      <c r="F3025" s="2"/>
      <c r="G3025" s="1">
        <v>465.86</v>
      </c>
      <c r="H3025" s="3"/>
      <c r="I3025" s="14" t="s">
        <v>5617</v>
      </c>
    </row>
    <row r="3026" spans="1:9" ht="18.75" customHeight="1" x14ac:dyDescent="0.4">
      <c r="A3026" s="14" t="s">
        <v>6454</v>
      </c>
      <c r="B3026" s="16" t="str">
        <f>TRIM("西今里住宅")</f>
        <v>西今里住宅</v>
      </c>
      <c r="C3026" s="14" t="s">
        <v>1516</v>
      </c>
      <c r="D3026" s="14" t="s">
        <v>82</v>
      </c>
      <c r="E3026" s="1">
        <v>2361.75</v>
      </c>
      <c r="F3026" s="2"/>
      <c r="G3026" s="1">
        <v>4604.99</v>
      </c>
      <c r="H3026" s="3"/>
      <c r="I3026" s="14" t="s">
        <v>6177</v>
      </c>
    </row>
    <row r="3027" spans="1:9" ht="18.75" customHeight="1" x14ac:dyDescent="0.4">
      <c r="A3027" s="14" t="s">
        <v>7126</v>
      </c>
      <c r="B3027" s="16" t="str">
        <f>TRIM("東成スポーツセンター")</f>
        <v>東成スポーツセンター</v>
      </c>
      <c r="C3027" s="14" t="s">
        <v>1516</v>
      </c>
      <c r="D3027" s="14" t="s">
        <v>82</v>
      </c>
      <c r="E3027" s="1">
        <v>2688.97</v>
      </c>
      <c r="F3027" s="2"/>
      <c r="G3027" s="1">
        <v>5693.9</v>
      </c>
      <c r="H3027" s="3"/>
      <c r="I3027" s="14" t="s">
        <v>4115</v>
      </c>
    </row>
    <row r="3028" spans="1:9" ht="18.75" customHeight="1" x14ac:dyDescent="0.4">
      <c r="A3028" s="14" t="s">
        <v>2111</v>
      </c>
      <c r="B3028" s="16" t="str">
        <f>TRIM("東中本憩の家（もと東中本老人憩の家）")</f>
        <v>東中本憩の家（もと東中本老人憩の家）</v>
      </c>
      <c r="C3028" s="14" t="s">
        <v>1516</v>
      </c>
      <c r="D3028" s="14" t="s">
        <v>82</v>
      </c>
      <c r="E3028" s="1">
        <v>96.67</v>
      </c>
      <c r="F3028" s="2"/>
      <c r="G3028" s="1"/>
      <c r="H3028" s="3"/>
      <c r="I3028" s="14" t="s">
        <v>2054</v>
      </c>
    </row>
    <row r="3029" spans="1:9" ht="18.75" customHeight="1" x14ac:dyDescent="0.4">
      <c r="A3029" s="14" t="s">
        <v>2873</v>
      </c>
      <c r="B3029" s="16" t="str">
        <f>TRIM("　神路公園")</f>
        <v>神路公園</v>
      </c>
      <c r="C3029" s="14" t="s">
        <v>1516</v>
      </c>
      <c r="D3029" s="14" t="s">
        <v>82</v>
      </c>
      <c r="E3029" s="1">
        <v>13725.6</v>
      </c>
      <c r="F3029" s="2"/>
      <c r="G3029" s="1"/>
      <c r="H3029" s="3"/>
      <c r="I3029" s="14" t="s">
        <v>2177</v>
      </c>
    </row>
    <row r="3030" spans="1:9" ht="18.75" customHeight="1" x14ac:dyDescent="0.4">
      <c r="A3030" s="14" t="s">
        <v>3586</v>
      </c>
      <c r="B3030" s="16" t="str">
        <f>TRIM("　神路公園")</f>
        <v>神路公園</v>
      </c>
      <c r="C3030" s="14" t="s">
        <v>1516</v>
      </c>
      <c r="D3030" s="14" t="s">
        <v>82</v>
      </c>
      <c r="E3030" s="1"/>
      <c r="F3030" s="2"/>
      <c r="G3030" s="1">
        <v>63.72</v>
      </c>
      <c r="H3030" s="3"/>
      <c r="I3030" s="14" t="s">
        <v>2177</v>
      </c>
    </row>
    <row r="3031" spans="1:9" ht="18.75" customHeight="1" x14ac:dyDescent="0.4">
      <c r="A3031" s="14" t="s">
        <v>5682</v>
      </c>
      <c r="B3031" s="16" t="str">
        <f>TRIM("もと東成勤労青少年ホーム")</f>
        <v>もと東成勤労青少年ホーム</v>
      </c>
      <c r="C3031" s="14" t="s">
        <v>1516</v>
      </c>
      <c r="D3031" s="14" t="s">
        <v>82</v>
      </c>
      <c r="E3031" s="1"/>
      <c r="F3031" s="2"/>
      <c r="G3031" s="1">
        <v>507.58</v>
      </c>
      <c r="H3031" s="3" t="s">
        <v>7353</v>
      </c>
      <c r="I3031" s="14" t="s">
        <v>5617</v>
      </c>
    </row>
    <row r="3032" spans="1:9" ht="18.75" customHeight="1" x14ac:dyDescent="0.4">
      <c r="A3032" s="14" t="s">
        <v>7153</v>
      </c>
      <c r="B3032" s="16" t="str">
        <f>TRIM("東成屋内プール")</f>
        <v>東成屋内プール</v>
      </c>
      <c r="C3032" s="14" t="s">
        <v>1516</v>
      </c>
      <c r="D3032" s="14" t="s">
        <v>82</v>
      </c>
      <c r="E3032" s="1"/>
      <c r="F3032" s="2"/>
      <c r="G3032" s="1">
        <v>2598.06</v>
      </c>
      <c r="H3032" s="3"/>
      <c r="I3032" s="14" t="s">
        <v>4115</v>
      </c>
    </row>
    <row r="3033" spans="1:9" ht="18.75" customHeight="1" x14ac:dyDescent="0.4">
      <c r="A3033" s="14" t="s">
        <v>5115</v>
      </c>
      <c r="B3033" s="16" t="str">
        <f>TRIM("本庄中学校")</f>
        <v>本庄中学校</v>
      </c>
      <c r="C3033" s="14" t="s">
        <v>1516</v>
      </c>
      <c r="D3033" s="14" t="s">
        <v>930</v>
      </c>
      <c r="E3033" s="1">
        <v>15337.36</v>
      </c>
      <c r="F3033" s="2"/>
      <c r="G3033" s="1">
        <v>7730.33</v>
      </c>
      <c r="H3033" s="3"/>
      <c r="I3033" s="14" t="s">
        <v>4689</v>
      </c>
    </row>
    <row r="3034" spans="1:9" ht="18.75" customHeight="1" x14ac:dyDescent="0.4">
      <c r="A3034" s="14" t="s">
        <v>2251</v>
      </c>
      <c r="B3034" s="16" t="str">
        <f>TRIM("大阪環状線（東成）（管財課）")</f>
        <v>大阪環状線（東成）（管財課）</v>
      </c>
      <c r="C3034" s="14" t="s">
        <v>1516</v>
      </c>
      <c r="D3034" s="14" t="s">
        <v>930</v>
      </c>
      <c r="E3034" s="1">
        <v>9588.2800000000007</v>
      </c>
      <c r="F3034" s="2"/>
      <c r="G3034" s="1"/>
      <c r="H3034" s="3"/>
      <c r="I3034" s="14" t="s">
        <v>2177</v>
      </c>
    </row>
    <row r="3035" spans="1:9" ht="18.75" customHeight="1" x14ac:dyDescent="0.4">
      <c r="A3035" s="14" t="s">
        <v>3147</v>
      </c>
      <c r="B3035" s="16" t="str">
        <f>TRIM("　東中本公園")</f>
        <v>東中本公園</v>
      </c>
      <c r="C3035" s="14" t="s">
        <v>1516</v>
      </c>
      <c r="D3035" s="14" t="s">
        <v>930</v>
      </c>
      <c r="E3035" s="1">
        <v>8293.92</v>
      </c>
      <c r="F3035" s="2"/>
      <c r="G3035" s="1"/>
      <c r="H3035" s="3"/>
      <c r="I3035" s="14" t="s">
        <v>2177</v>
      </c>
    </row>
    <row r="3036" spans="1:9" ht="18.75" customHeight="1" x14ac:dyDescent="0.4">
      <c r="A3036" s="14" t="s">
        <v>3647</v>
      </c>
      <c r="B3036" s="16" t="str">
        <f>TRIM("　東中本公園")</f>
        <v>東中本公園</v>
      </c>
      <c r="C3036" s="14" t="s">
        <v>1516</v>
      </c>
      <c r="D3036" s="14" t="s">
        <v>930</v>
      </c>
      <c r="E3036" s="1"/>
      <c r="F3036" s="2"/>
      <c r="G3036" s="1">
        <v>6.17</v>
      </c>
      <c r="H3036" s="3"/>
      <c r="I3036" s="14" t="s">
        <v>2177</v>
      </c>
    </row>
    <row r="3037" spans="1:9" ht="18.75" customHeight="1" x14ac:dyDescent="0.4">
      <c r="A3037" s="14" t="s">
        <v>3742</v>
      </c>
      <c r="B3037" s="16" t="str">
        <f>TRIM(" 緑橋自転車保管所管理事務所")</f>
        <v>緑橋自転車保管所管理事務所</v>
      </c>
      <c r="C3037" s="14" t="s">
        <v>1516</v>
      </c>
      <c r="D3037" s="14" t="s">
        <v>930</v>
      </c>
      <c r="E3037" s="1"/>
      <c r="F3037" s="2"/>
      <c r="G3037" s="1">
        <v>31.05</v>
      </c>
      <c r="H3037" s="3"/>
      <c r="I3037" s="14" t="s">
        <v>2177</v>
      </c>
    </row>
    <row r="3038" spans="1:9" ht="18.75" customHeight="1" x14ac:dyDescent="0.4">
      <c r="A3038" s="14" t="s">
        <v>3956</v>
      </c>
      <c r="B3038" s="16" t="str">
        <f>TRIM("緑橋自転車保管所")</f>
        <v>緑橋自転車保管所</v>
      </c>
      <c r="C3038" s="14" t="s">
        <v>1516</v>
      </c>
      <c r="D3038" s="14" t="s">
        <v>930</v>
      </c>
      <c r="E3038" s="1">
        <v>1937.09</v>
      </c>
      <c r="F3038" s="2"/>
      <c r="G3038" s="1"/>
      <c r="H3038" s="3"/>
      <c r="I3038" s="14" t="s">
        <v>2177</v>
      </c>
    </row>
    <row r="3039" spans="1:9" ht="18.75" customHeight="1" x14ac:dyDescent="0.4">
      <c r="A3039" s="14" t="s">
        <v>4887</v>
      </c>
      <c r="B3039" s="16" t="str">
        <f>TRIM("深江小学校")</f>
        <v>深江小学校</v>
      </c>
      <c r="C3039" s="14" t="s">
        <v>1516</v>
      </c>
      <c r="D3039" s="14" t="s">
        <v>1056</v>
      </c>
      <c r="E3039" s="1">
        <v>6286.9</v>
      </c>
      <c r="F3039" s="2"/>
      <c r="G3039" s="1">
        <v>4670.96</v>
      </c>
      <c r="H3039" s="3"/>
      <c r="I3039" s="14" t="s">
        <v>4689</v>
      </c>
    </row>
    <row r="3040" spans="1:9" ht="18.75" customHeight="1" x14ac:dyDescent="0.4">
      <c r="A3040" s="14" t="s">
        <v>5289</v>
      </c>
      <c r="B3040" s="16" t="str">
        <f>TRIM("東成消防署深江出張所")</f>
        <v>東成消防署深江出張所</v>
      </c>
      <c r="C3040" s="14" t="s">
        <v>1516</v>
      </c>
      <c r="D3040" s="14" t="s">
        <v>1056</v>
      </c>
      <c r="E3040" s="1">
        <v>277.68</v>
      </c>
      <c r="F3040" s="2"/>
      <c r="G3040" s="1">
        <v>225.79</v>
      </c>
      <c r="H3040" s="3"/>
      <c r="I3040" s="14" t="s">
        <v>5219</v>
      </c>
    </row>
    <row r="3041" spans="1:9" ht="18.75" customHeight="1" x14ac:dyDescent="0.4">
      <c r="A3041" s="14" t="s">
        <v>2136</v>
      </c>
      <c r="B3041" s="16" t="str">
        <f>TRIM("宝栄会館（もと宝栄老人憩の家）")</f>
        <v>宝栄会館（もと宝栄老人憩の家）</v>
      </c>
      <c r="C3041" s="14" t="s">
        <v>1516</v>
      </c>
      <c r="D3041" s="14" t="s">
        <v>1056</v>
      </c>
      <c r="E3041" s="1">
        <v>160.19999999999999</v>
      </c>
      <c r="F3041" s="2"/>
      <c r="G3041" s="1"/>
      <c r="H3041" s="3"/>
      <c r="I3041" s="14" t="s">
        <v>2054</v>
      </c>
    </row>
    <row r="3042" spans="1:9" ht="18.75" customHeight="1" x14ac:dyDescent="0.4">
      <c r="A3042" s="14" t="s">
        <v>2740</v>
      </c>
      <c r="B3042" s="16" t="str">
        <f>TRIM("　阪陽公園")</f>
        <v>阪陽公園</v>
      </c>
      <c r="C3042" s="14" t="s">
        <v>1516</v>
      </c>
      <c r="D3042" s="14" t="s">
        <v>1056</v>
      </c>
      <c r="E3042" s="1">
        <v>2909.09</v>
      </c>
      <c r="F3042" s="2"/>
      <c r="G3042" s="1"/>
      <c r="H3042" s="3"/>
      <c r="I3042" s="14" t="s">
        <v>2177</v>
      </c>
    </row>
    <row r="3043" spans="1:9" ht="18.75" customHeight="1" x14ac:dyDescent="0.4">
      <c r="A3043" s="14" t="s">
        <v>3858</v>
      </c>
      <c r="B3043" s="16" t="str">
        <f>TRIM("深江橋駅自転車駐車場管理ボックス")</f>
        <v>深江橋駅自転車駐車場管理ボックス</v>
      </c>
      <c r="C3043" s="14" t="s">
        <v>1516</v>
      </c>
      <c r="D3043" s="14" t="s">
        <v>1056</v>
      </c>
      <c r="E3043" s="1"/>
      <c r="F3043" s="2"/>
      <c r="G3043" s="1">
        <v>12.96</v>
      </c>
      <c r="H3043" s="3"/>
      <c r="I3043" s="14" t="s">
        <v>2177</v>
      </c>
    </row>
    <row r="3044" spans="1:9" ht="18.75" customHeight="1" x14ac:dyDescent="0.4">
      <c r="A3044" s="14" t="s">
        <v>5032</v>
      </c>
      <c r="B3044" s="16" t="str">
        <f>TRIM("東陽中学校")</f>
        <v>東陽中学校</v>
      </c>
      <c r="C3044" s="14" t="s">
        <v>1516</v>
      </c>
      <c r="D3044" s="14" t="s">
        <v>913</v>
      </c>
      <c r="E3044" s="1">
        <v>11249.57</v>
      </c>
      <c r="F3044" s="2"/>
      <c r="G3044" s="1">
        <v>6131.81</v>
      </c>
      <c r="H3044" s="3"/>
      <c r="I3044" s="14" t="s">
        <v>4689</v>
      </c>
    </row>
    <row r="3045" spans="1:9" ht="18.75" customHeight="1" x14ac:dyDescent="0.4">
      <c r="A3045" s="14" t="s">
        <v>2216</v>
      </c>
      <c r="B3045" s="16" t="str">
        <f>TRIM("国道３０８号（東成）（管財課）")</f>
        <v>国道３０８号（東成）（管財課）</v>
      </c>
      <c r="C3045" s="14" t="s">
        <v>1516</v>
      </c>
      <c r="D3045" s="14" t="s">
        <v>913</v>
      </c>
      <c r="E3045" s="1">
        <v>18291.650000000001</v>
      </c>
      <c r="F3045" s="2"/>
      <c r="G3045" s="1"/>
      <c r="H3045" s="3"/>
      <c r="I3045" s="14" t="s">
        <v>2177</v>
      </c>
    </row>
    <row r="3046" spans="1:9" ht="18.75" customHeight="1" x14ac:dyDescent="0.4">
      <c r="A3046" s="14" t="s">
        <v>2870</v>
      </c>
      <c r="B3046" s="16" t="str">
        <f>TRIM("　深江公園")</f>
        <v>深江公園</v>
      </c>
      <c r="C3046" s="14" t="s">
        <v>1516</v>
      </c>
      <c r="D3046" s="14" t="s">
        <v>913</v>
      </c>
      <c r="E3046" s="1">
        <v>3877.68</v>
      </c>
      <c r="F3046" s="2"/>
      <c r="G3046" s="1"/>
      <c r="H3046" s="3"/>
      <c r="I3046" s="14" t="s">
        <v>2177</v>
      </c>
    </row>
    <row r="3047" spans="1:9" ht="18.75" customHeight="1" x14ac:dyDescent="0.4">
      <c r="A3047" s="14" t="s">
        <v>3584</v>
      </c>
      <c r="B3047" s="16" t="str">
        <f>TRIM("　深江公園")</f>
        <v>深江公園</v>
      </c>
      <c r="C3047" s="14" t="s">
        <v>1516</v>
      </c>
      <c r="D3047" s="14" t="s">
        <v>913</v>
      </c>
      <c r="E3047" s="1"/>
      <c r="F3047" s="2"/>
      <c r="G3047" s="1">
        <v>6.17</v>
      </c>
      <c r="H3047" s="3"/>
      <c r="I3047" s="14" t="s">
        <v>2177</v>
      </c>
    </row>
    <row r="3048" spans="1:9" ht="18.75" customHeight="1" x14ac:dyDescent="0.4">
      <c r="A3048" s="14" t="s">
        <v>3859</v>
      </c>
      <c r="B3048" s="16" t="str">
        <f>TRIM("深江橋駅自転車駐車場管理事務所")</f>
        <v>深江橋駅自転車駐車場管理事務所</v>
      </c>
      <c r="C3048" s="14" t="s">
        <v>1516</v>
      </c>
      <c r="D3048" s="14" t="s">
        <v>913</v>
      </c>
      <c r="E3048" s="1"/>
      <c r="F3048" s="2"/>
      <c r="G3048" s="1">
        <v>12.96</v>
      </c>
      <c r="H3048" s="3"/>
      <c r="I3048" s="14" t="s">
        <v>2177</v>
      </c>
    </row>
    <row r="3049" spans="1:9" ht="18.75" customHeight="1" x14ac:dyDescent="0.4">
      <c r="A3049" s="14" t="s">
        <v>3141</v>
      </c>
      <c r="B3049" s="16" t="str">
        <f>TRIM("　東深江公園")</f>
        <v>東深江公園</v>
      </c>
      <c r="C3049" s="14" t="s">
        <v>1516</v>
      </c>
      <c r="D3049" s="14" t="s">
        <v>1191</v>
      </c>
      <c r="E3049" s="1">
        <v>3338.84</v>
      </c>
      <c r="F3049" s="2"/>
      <c r="G3049" s="1"/>
      <c r="H3049" s="3"/>
      <c r="I3049" s="14" t="s">
        <v>2177</v>
      </c>
    </row>
    <row r="3050" spans="1:9" ht="18.75" customHeight="1" x14ac:dyDescent="0.4">
      <c r="A3050" s="14" t="s">
        <v>3645</v>
      </c>
      <c r="B3050" s="16" t="str">
        <f>TRIM("　東深江公園")</f>
        <v>東深江公園</v>
      </c>
      <c r="C3050" s="14" t="s">
        <v>1516</v>
      </c>
      <c r="D3050" s="14" t="s">
        <v>1191</v>
      </c>
      <c r="E3050" s="1"/>
      <c r="F3050" s="2"/>
      <c r="G3050" s="1">
        <v>19.2</v>
      </c>
      <c r="H3050" s="3"/>
      <c r="I3050" s="14" t="s">
        <v>2177</v>
      </c>
    </row>
    <row r="3051" spans="1:9" ht="18.75" customHeight="1" x14ac:dyDescent="0.4">
      <c r="A3051" s="14" t="s">
        <v>2926</v>
      </c>
      <c r="B3051" s="16" t="str">
        <f>TRIM("　西深江公園")</f>
        <v>西深江公園</v>
      </c>
      <c r="C3051" s="14" t="s">
        <v>1516</v>
      </c>
      <c r="D3051" s="14" t="s">
        <v>1114</v>
      </c>
      <c r="E3051" s="1">
        <v>4016.52</v>
      </c>
      <c r="F3051" s="2"/>
      <c r="G3051" s="1"/>
      <c r="H3051" s="3"/>
      <c r="I3051" s="14" t="s">
        <v>2177</v>
      </c>
    </row>
    <row r="3052" spans="1:9" ht="18.75" customHeight="1" x14ac:dyDescent="0.4">
      <c r="A3052" s="14" t="s">
        <v>3190</v>
      </c>
      <c r="B3052" s="16" t="str">
        <f>TRIM("　南深江公園")</f>
        <v>南深江公園</v>
      </c>
      <c r="C3052" s="14" t="s">
        <v>1516</v>
      </c>
      <c r="D3052" s="14" t="s">
        <v>1205</v>
      </c>
      <c r="E3052" s="1">
        <v>4195.04</v>
      </c>
      <c r="F3052" s="2"/>
      <c r="G3052" s="1"/>
      <c r="H3052" s="3"/>
      <c r="I3052" s="14" t="s">
        <v>2177</v>
      </c>
    </row>
    <row r="3053" spans="1:9" ht="18.75" customHeight="1" x14ac:dyDescent="0.4">
      <c r="A3053" s="14" t="s">
        <v>2053</v>
      </c>
      <c r="B3053" s="16" t="str">
        <f>TRIM("深江憩の家（もと深江老人憩の家）")</f>
        <v>深江憩の家（もと深江老人憩の家）</v>
      </c>
      <c r="C3053" s="14" t="s">
        <v>1516</v>
      </c>
      <c r="D3053" s="14" t="s">
        <v>939</v>
      </c>
      <c r="E3053" s="1">
        <v>147.04</v>
      </c>
      <c r="F3053" s="2"/>
      <c r="G3053" s="1"/>
      <c r="H3053" s="3"/>
      <c r="I3053" s="14" t="s">
        <v>2054</v>
      </c>
    </row>
    <row r="3054" spans="1:9" ht="18.75" customHeight="1" x14ac:dyDescent="0.4">
      <c r="A3054" s="14" t="s">
        <v>2270</v>
      </c>
      <c r="B3054" s="16" t="str">
        <f>TRIM("大阪東大阪線（東成）（管財課）")</f>
        <v>大阪東大阪線（東成）（管財課）</v>
      </c>
      <c r="C3054" s="14" t="s">
        <v>1516</v>
      </c>
      <c r="D3054" s="14" t="s">
        <v>939</v>
      </c>
      <c r="E3054" s="1">
        <v>4890.13</v>
      </c>
      <c r="F3054" s="2"/>
      <c r="G3054" s="1"/>
      <c r="H3054" s="3"/>
      <c r="I3054" s="14" t="s">
        <v>2177</v>
      </c>
    </row>
    <row r="3055" spans="1:9" ht="18.75" customHeight="1" x14ac:dyDescent="0.4">
      <c r="A3055" s="14" t="s">
        <v>2335</v>
      </c>
      <c r="B3055" s="16" t="str">
        <f>TRIM("平野守口線（東成）（管財課）")</f>
        <v>平野守口線（東成）（管財課）</v>
      </c>
      <c r="C3055" s="14" t="s">
        <v>1516</v>
      </c>
      <c r="D3055" s="14" t="s">
        <v>939</v>
      </c>
      <c r="E3055" s="1">
        <v>402.73</v>
      </c>
      <c r="F3055" s="2"/>
      <c r="G3055" s="1"/>
      <c r="H3055" s="3"/>
      <c r="I3055" s="14" t="s">
        <v>2177</v>
      </c>
    </row>
    <row r="3056" spans="1:9" ht="18.75" customHeight="1" x14ac:dyDescent="0.4">
      <c r="A3056" s="14" t="s">
        <v>3223</v>
      </c>
      <c r="B3056" s="16" t="str">
        <f>TRIM("　猫間川公園")</f>
        <v>猫間川公園</v>
      </c>
      <c r="C3056" s="14" t="s">
        <v>1525</v>
      </c>
      <c r="D3056" s="14" t="s">
        <v>1214</v>
      </c>
      <c r="E3056" s="1">
        <v>1031.45</v>
      </c>
      <c r="F3056" s="2"/>
      <c r="G3056" s="1"/>
      <c r="H3056" s="3"/>
      <c r="I3056" s="14" t="s">
        <v>2177</v>
      </c>
    </row>
    <row r="3057" spans="1:9" ht="18.75" customHeight="1" x14ac:dyDescent="0.4">
      <c r="A3057" s="14" t="s">
        <v>5647</v>
      </c>
      <c r="B3057" s="16" t="str">
        <f>TRIM("生野児童遊園")</f>
        <v>生野児童遊園</v>
      </c>
      <c r="C3057" s="14" t="s">
        <v>1525</v>
      </c>
      <c r="D3057" s="14" t="s">
        <v>484</v>
      </c>
      <c r="E3057" s="1">
        <v>479.56</v>
      </c>
      <c r="F3057" s="2"/>
      <c r="G3057" s="1"/>
      <c r="H3057" s="3"/>
      <c r="I3057" s="14" t="s">
        <v>5617</v>
      </c>
    </row>
    <row r="3058" spans="1:9" ht="18.75" customHeight="1" x14ac:dyDescent="0.4">
      <c r="A3058" s="14" t="s">
        <v>5153</v>
      </c>
      <c r="B3058" s="16" t="str">
        <f>TRIM("義務教育学校生野未来学園")</f>
        <v>義務教育学校生野未来学園</v>
      </c>
      <c r="C3058" s="14" t="s">
        <v>1525</v>
      </c>
      <c r="D3058" s="14" t="s">
        <v>1108</v>
      </c>
      <c r="E3058" s="1">
        <v>29344.34</v>
      </c>
      <c r="F3058" s="2"/>
      <c r="G3058" s="1">
        <v>15293.78</v>
      </c>
      <c r="H3058" s="3"/>
      <c r="I3058" s="14" t="s">
        <v>4689</v>
      </c>
    </row>
    <row r="3059" spans="1:9" ht="18.75" customHeight="1" x14ac:dyDescent="0.4">
      <c r="A3059" s="14" t="s">
        <v>2906</v>
      </c>
      <c r="B3059" s="16" t="str">
        <f>TRIM("　生野西公園")</f>
        <v>生野西公園</v>
      </c>
      <c r="C3059" s="14" t="s">
        <v>1525</v>
      </c>
      <c r="D3059" s="14" t="s">
        <v>1108</v>
      </c>
      <c r="E3059" s="1">
        <v>762.12</v>
      </c>
      <c r="F3059" s="2"/>
      <c r="G3059" s="1"/>
      <c r="H3059" s="3"/>
      <c r="I3059" s="14" t="s">
        <v>2177</v>
      </c>
    </row>
    <row r="3060" spans="1:9" ht="18.75" customHeight="1" x14ac:dyDescent="0.4">
      <c r="A3060" s="14" t="s">
        <v>5163</v>
      </c>
      <c r="B3060" s="16" t="str">
        <f>TRIM("もと生野学校業務サービスセンター")</f>
        <v>もと生野学校業務サービスセンター</v>
      </c>
      <c r="C3060" s="14" t="s">
        <v>1525</v>
      </c>
      <c r="D3060" s="14" t="s">
        <v>1108</v>
      </c>
      <c r="E3060" s="1"/>
      <c r="F3060" s="2"/>
      <c r="G3060" s="1">
        <v>50.78</v>
      </c>
      <c r="H3060" s="3"/>
      <c r="I3060" s="14" t="s">
        <v>4689</v>
      </c>
    </row>
    <row r="3061" spans="1:9" ht="18.75" customHeight="1" x14ac:dyDescent="0.4">
      <c r="A3061" s="14" t="s">
        <v>2064</v>
      </c>
      <c r="B3061" s="16" t="str">
        <f>TRIM("西生野会館老人憩の家")</f>
        <v>西生野会館老人憩の家</v>
      </c>
      <c r="C3061" s="14" t="s">
        <v>1525</v>
      </c>
      <c r="D3061" s="14" t="s">
        <v>990</v>
      </c>
      <c r="E3061" s="1">
        <v>368.32</v>
      </c>
      <c r="F3061" s="2"/>
      <c r="G3061" s="1"/>
      <c r="H3061" s="3"/>
      <c r="I3061" s="14" t="s">
        <v>1646</v>
      </c>
    </row>
    <row r="3062" spans="1:9" ht="18.75" customHeight="1" x14ac:dyDescent="0.4">
      <c r="A3062" s="14" t="s">
        <v>2456</v>
      </c>
      <c r="B3062" s="16" t="str">
        <f>TRIM("豊里矢田線（生野）")</f>
        <v>豊里矢田線（生野）</v>
      </c>
      <c r="C3062" s="14" t="s">
        <v>1525</v>
      </c>
      <c r="D3062" s="14" t="s">
        <v>990</v>
      </c>
      <c r="E3062" s="1">
        <v>587.76</v>
      </c>
      <c r="F3062" s="2"/>
      <c r="G3062" s="1"/>
      <c r="H3062" s="3"/>
      <c r="I3062" s="14" t="s">
        <v>2177</v>
      </c>
    </row>
    <row r="3063" spans="1:9" ht="18.75" customHeight="1" x14ac:dyDescent="0.4">
      <c r="A3063" s="14" t="s">
        <v>2905</v>
      </c>
      <c r="B3063" s="16" t="str">
        <f>TRIM("　生野西4公園")</f>
        <v>生野西4公園</v>
      </c>
      <c r="C3063" s="14" t="s">
        <v>1525</v>
      </c>
      <c r="D3063" s="14" t="s">
        <v>990</v>
      </c>
      <c r="E3063" s="1">
        <v>1830.31</v>
      </c>
      <c r="F3063" s="2"/>
      <c r="G3063" s="1"/>
      <c r="H3063" s="3"/>
      <c r="I3063" s="14" t="s">
        <v>2177</v>
      </c>
    </row>
    <row r="3064" spans="1:9" ht="21" x14ac:dyDescent="0.4">
      <c r="A3064" s="14" t="s">
        <v>6955</v>
      </c>
      <c r="B3064" s="16" t="str">
        <f>TRIM("生野東第1住宅地区改良事業用地")</f>
        <v>生野東第1住宅地区改良事業用地</v>
      </c>
      <c r="C3064" s="14" t="s">
        <v>1525</v>
      </c>
      <c r="D3064" s="14" t="s">
        <v>900</v>
      </c>
      <c r="E3064" s="1">
        <v>35944.97</v>
      </c>
      <c r="F3064" s="15" t="s">
        <v>7321</v>
      </c>
      <c r="G3064" s="1"/>
      <c r="H3064" s="3"/>
      <c r="I3064" s="14" t="s">
        <v>6177</v>
      </c>
    </row>
    <row r="3065" spans="1:9" ht="18.75" customHeight="1" x14ac:dyDescent="0.4">
      <c r="A3065" s="14" t="s">
        <v>2197</v>
      </c>
      <c r="B3065" s="16" t="str">
        <f>TRIM("河堀口舎利寺線（基金）")</f>
        <v>河堀口舎利寺線（基金）</v>
      </c>
      <c r="C3065" s="14" t="s">
        <v>1525</v>
      </c>
      <c r="D3065" s="14" t="s">
        <v>900</v>
      </c>
      <c r="E3065" s="1">
        <v>50.72</v>
      </c>
      <c r="F3065" s="2"/>
      <c r="G3065" s="1"/>
      <c r="H3065" s="3"/>
      <c r="I3065" s="14" t="s">
        <v>2177</v>
      </c>
    </row>
    <row r="3066" spans="1:9" ht="18.75" customHeight="1" x14ac:dyDescent="0.4">
      <c r="A3066" s="14" t="s">
        <v>2426</v>
      </c>
      <c r="B3066" s="16" t="str">
        <f>TRIM("河堀口舎利寺線")</f>
        <v>河堀口舎利寺線</v>
      </c>
      <c r="C3066" s="14" t="s">
        <v>1525</v>
      </c>
      <c r="D3066" s="14" t="s">
        <v>900</v>
      </c>
      <c r="E3066" s="1">
        <v>1622.62</v>
      </c>
      <c r="F3066" s="2"/>
      <c r="G3066" s="1"/>
      <c r="H3066" s="3"/>
      <c r="I3066" s="14" t="s">
        <v>2177</v>
      </c>
    </row>
    <row r="3067" spans="1:9" ht="18.75" customHeight="1" x14ac:dyDescent="0.4">
      <c r="A3067" s="14" t="s">
        <v>1890</v>
      </c>
      <c r="B3067" s="16" t="str">
        <f>TRIM("生野東地域在宅サービスステーション")</f>
        <v>生野東地域在宅サービスステーション</v>
      </c>
      <c r="C3067" s="14" t="s">
        <v>1525</v>
      </c>
      <c r="D3067" s="14" t="s">
        <v>324</v>
      </c>
      <c r="E3067" s="1">
        <v>554.64</v>
      </c>
      <c r="F3067" s="2"/>
      <c r="G3067" s="1"/>
      <c r="H3067" s="3"/>
      <c r="I3067" s="14" t="s">
        <v>1654</v>
      </c>
    </row>
    <row r="3068" spans="1:9" ht="18.75" customHeight="1" x14ac:dyDescent="0.4">
      <c r="A3068" s="14" t="s">
        <v>4905</v>
      </c>
      <c r="B3068" s="16" t="str">
        <f>TRIM("もと生野工業高等学校")</f>
        <v>もと生野工業高等学校</v>
      </c>
      <c r="C3068" s="14" t="s">
        <v>1525</v>
      </c>
      <c r="D3068" s="14" t="s">
        <v>324</v>
      </c>
      <c r="E3068" s="1">
        <v>67.53</v>
      </c>
      <c r="F3068" s="2"/>
      <c r="G3068" s="1"/>
      <c r="H3068" s="3"/>
      <c r="I3068" s="14" t="s">
        <v>4689</v>
      </c>
    </row>
    <row r="3069" spans="1:9" ht="18.75" customHeight="1" x14ac:dyDescent="0.4">
      <c r="A3069" s="14" t="s">
        <v>6956</v>
      </c>
      <c r="B3069" s="16" t="str">
        <f>TRIM("生野東第2住宅地区改良事業用地")</f>
        <v>生野東第2住宅地区改良事業用地</v>
      </c>
      <c r="C3069" s="14" t="s">
        <v>1525</v>
      </c>
      <c r="D3069" s="14" t="s">
        <v>899</v>
      </c>
      <c r="E3069" s="1">
        <v>2632.79</v>
      </c>
      <c r="F3069" s="2" t="s">
        <v>7322</v>
      </c>
      <c r="G3069" s="1"/>
      <c r="H3069" s="3"/>
      <c r="I3069" s="14" t="s">
        <v>6177</v>
      </c>
    </row>
    <row r="3070" spans="1:9" ht="18.75" customHeight="1" x14ac:dyDescent="0.4">
      <c r="A3070" s="14" t="s">
        <v>2422</v>
      </c>
      <c r="B3070" s="16" t="str">
        <f>TRIM("生野南北線（生野区）（道路課）")</f>
        <v>生野南北線（生野区）（道路課）</v>
      </c>
      <c r="C3070" s="14" t="s">
        <v>1525</v>
      </c>
      <c r="D3070" s="14" t="s">
        <v>899</v>
      </c>
      <c r="E3070" s="1">
        <v>269.64999999999998</v>
      </c>
      <c r="F3070" s="2"/>
      <c r="G3070" s="1"/>
      <c r="H3070" s="3"/>
      <c r="I3070" s="14" t="s">
        <v>2177</v>
      </c>
    </row>
    <row r="3071" spans="1:9" ht="18.75" customHeight="1" x14ac:dyDescent="0.4">
      <c r="A3071" s="14" t="s">
        <v>2908</v>
      </c>
      <c r="B3071" s="16" t="str">
        <f>TRIM("　生野東公園")</f>
        <v>生野東公園</v>
      </c>
      <c r="C3071" s="14" t="s">
        <v>1525</v>
      </c>
      <c r="D3071" s="14" t="s">
        <v>899</v>
      </c>
      <c r="E3071" s="1">
        <v>13107.03</v>
      </c>
      <c r="F3071" s="2"/>
      <c r="G3071" s="1"/>
      <c r="H3071" s="3"/>
      <c r="I3071" s="14" t="s">
        <v>2177</v>
      </c>
    </row>
    <row r="3072" spans="1:9" ht="18.75" customHeight="1" x14ac:dyDescent="0.4">
      <c r="A3072" s="14" t="s">
        <v>6954</v>
      </c>
      <c r="B3072" s="16" t="str">
        <f>TRIM("生野東第1住宅地区改良事業")</f>
        <v>生野東第1住宅地区改良事業</v>
      </c>
      <c r="C3072" s="14" t="s">
        <v>1525</v>
      </c>
      <c r="D3072" s="14" t="s">
        <v>899</v>
      </c>
      <c r="E3072" s="1">
        <v>1041.56</v>
      </c>
      <c r="F3072" s="2"/>
      <c r="G3072" s="1"/>
      <c r="H3072" s="3"/>
      <c r="I3072" s="14" t="s">
        <v>6177</v>
      </c>
    </row>
    <row r="3073" spans="1:9" ht="18.75" customHeight="1" x14ac:dyDescent="0.4">
      <c r="A3073" s="14" t="s">
        <v>3191</v>
      </c>
      <c r="B3073" s="16" t="str">
        <f>TRIM("　南生野公園")</f>
        <v>南生野公園</v>
      </c>
      <c r="C3073" s="14" t="s">
        <v>1525</v>
      </c>
      <c r="D3073" s="14" t="s">
        <v>492</v>
      </c>
      <c r="E3073" s="1">
        <v>1109.3900000000001</v>
      </c>
      <c r="F3073" s="2" t="s">
        <v>7336</v>
      </c>
      <c r="G3073" s="1"/>
      <c r="H3073" s="3"/>
      <c r="I3073" s="14" t="s">
        <v>2177</v>
      </c>
    </row>
    <row r="3074" spans="1:9" ht="18.75" customHeight="1" x14ac:dyDescent="0.4">
      <c r="A3074" s="14" t="s">
        <v>6953</v>
      </c>
      <c r="B3074" s="16" t="str">
        <f>TRIM("生野東住宅")</f>
        <v>生野東住宅</v>
      </c>
      <c r="C3074" s="14" t="s">
        <v>1525</v>
      </c>
      <c r="D3074" s="14" t="s">
        <v>492</v>
      </c>
      <c r="E3074" s="1">
        <v>14600.75</v>
      </c>
      <c r="F3074" s="2" t="s">
        <v>7286</v>
      </c>
      <c r="G3074" s="1">
        <v>29990.67</v>
      </c>
      <c r="H3074" s="3"/>
      <c r="I3074" s="14" t="s">
        <v>6177</v>
      </c>
    </row>
    <row r="3075" spans="1:9" ht="18.75" customHeight="1" x14ac:dyDescent="0.4">
      <c r="A3075" s="14" t="s">
        <v>2460</v>
      </c>
      <c r="B3075" s="16" t="str">
        <f>TRIM("豊里矢田線（生野）（基金）")</f>
        <v>豊里矢田線（生野）（基金）</v>
      </c>
      <c r="C3075" s="14" t="s">
        <v>1525</v>
      </c>
      <c r="D3075" s="14" t="s">
        <v>492</v>
      </c>
      <c r="E3075" s="1">
        <v>696.09</v>
      </c>
      <c r="F3075" s="2"/>
      <c r="G3075" s="1"/>
      <c r="H3075" s="3"/>
      <c r="I3075" s="14" t="s">
        <v>2177</v>
      </c>
    </row>
    <row r="3076" spans="1:9" ht="18.75" customHeight="1" x14ac:dyDescent="0.4">
      <c r="A3076" s="14" t="s">
        <v>2907</v>
      </c>
      <c r="B3076" s="16" t="str">
        <f>TRIM("　生野東4公園")</f>
        <v>生野東4公園</v>
      </c>
      <c r="C3076" s="14" t="s">
        <v>1525</v>
      </c>
      <c r="D3076" s="14" t="s">
        <v>492</v>
      </c>
      <c r="E3076" s="1">
        <v>1758.54</v>
      </c>
      <c r="F3076" s="2"/>
      <c r="G3076" s="1"/>
      <c r="H3076" s="3"/>
      <c r="I3076" s="14" t="s">
        <v>2177</v>
      </c>
    </row>
    <row r="3077" spans="1:9" ht="18.75" customHeight="1" x14ac:dyDescent="0.4">
      <c r="A3077" s="14" t="s">
        <v>3192</v>
      </c>
      <c r="B3077" s="16" t="str">
        <f>TRIM("　南生野公園整備事業")</f>
        <v>南生野公園整備事業</v>
      </c>
      <c r="C3077" s="14" t="s">
        <v>1525</v>
      </c>
      <c r="D3077" s="14" t="s">
        <v>492</v>
      </c>
      <c r="E3077" s="1">
        <v>55.23</v>
      </c>
      <c r="F3077" s="2"/>
      <c r="G3077" s="1"/>
      <c r="H3077" s="3"/>
      <c r="I3077" s="14" t="s">
        <v>2177</v>
      </c>
    </row>
    <row r="3078" spans="1:9" ht="18.75" customHeight="1" x14ac:dyDescent="0.4">
      <c r="A3078" s="14" t="s">
        <v>5693</v>
      </c>
      <c r="B3078" s="16" t="str">
        <f>TRIM("生野児童館")</f>
        <v>生野児童館</v>
      </c>
      <c r="C3078" s="14" t="s">
        <v>1525</v>
      </c>
      <c r="D3078" s="14" t="s">
        <v>492</v>
      </c>
      <c r="E3078" s="1">
        <v>5537.19</v>
      </c>
      <c r="F3078" s="2"/>
      <c r="G3078" s="1"/>
      <c r="H3078" s="3"/>
      <c r="I3078" s="14" t="s">
        <v>5617</v>
      </c>
    </row>
    <row r="3079" spans="1:9" ht="18.75" customHeight="1" x14ac:dyDescent="0.4">
      <c r="A3079" s="14" t="s">
        <v>5949</v>
      </c>
      <c r="B3079" s="16" t="str">
        <f>TRIM("南生野いちょう保育園")</f>
        <v>南生野いちょう保育園</v>
      </c>
      <c r="C3079" s="14" t="s">
        <v>1525</v>
      </c>
      <c r="D3079" s="14" t="s">
        <v>492</v>
      </c>
      <c r="E3079" s="1">
        <v>640.84</v>
      </c>
      <c r="F3079" s="2"/>
      <c r="G3079" s="1"/>
      <c r="H3079" s="3"/>
      <c r="I3079" s="14" t="s">
        <v>5617</v>
      </c>
    </row>
    <row r="3080" spans="1:9" ht="18.75" customHeight="1" x14ac:dyDescent="0.4">
      <c r="A3080" s="14" t="s">
        <v>6957</v>
      </c>
      <c r="B3080" s="16" t="str">
        <f>TRIM("生野区南部地区整備事業道路予定地")</f>
        <v>生野区南部地区整備事業道路予定地</v>
      </c>
      <c r="C3080" s="14" t="s">
        <v>1525</v>
      </c>
      <c r="D3080" s="14" t="s">
        <v>492</v>
      </c>
      <c r="E3080" s="1">
        <v>1495.59</v>
      </c>
      <c r="F3080" s="2"/>
      <c r="G3080" s="1"/>
      <c r="H3080" s="3"/>
      <c r="I3080" s="14" t="s">
        <v>6177</v>
      </c>
    </row>
    <row r="3081" spans="1:9" ht="18.75" customHeight="1" x14ac:dyDescent="0.4">
      <c r="A3081" s="14" t="s">
        <v>3919</v>
      </c>
      <c r="B3081" s="16" t="str">
        <f>TRIM("桃谷駅自転車駐車場")</f>
        <v>桃谷駅自転車駐車場</v>
      </c>
      <c r="C3081" s="14" t="s">
        <v>1525</v>
      </c>
      <c r="D3081" s="14" t="s">
        <v>1077</v>
      </c>
      <c r="E3081" s="1">
        <v>740.59</v>
      </c>
      <c r="F3081" s="2"/>
      <c r="G3081" s="1">
        <v>793.16</v>
      </c>
      <c r="H3081" s="3"/>
      <c r="I3081" s="14" t="s">
        <v>2177</v>
      </c>
    </row>
    <row r="3082" spans="1:9" ht="18.75" customHeight="1" x14ac:dyDescent="0.4">
      <c r="A3082" s="14" t="s">
        <v>2798</v>
      </c>
      <c r="B3082" s="16" t="str">
        <f>TRIM("　勝山北公園")</f>
        <v>勝山北公園</v>
      </c>
      <c r="C3082" s="14" t="s">
        <v>1525</v>
      </c>
      <c r="D3082" s="14" t="s">
        <v>1077</v>
      </c>
      <c r="E3082" s="1">
        <v>375.24</v>
      </c>
      <c r="F3082" s="2"/>
      <c r="G3082" s="1"/>
      <c r="H3082" s="3"/>
      <c r="I3082" s="14" t="s">
        <v>2177</v>
      </c>
    </row>
    <row r="3083" spans="1:9" ht="18.75" customHeight="1" x14ac:dyDescent="0.4">
      <c r="A3083" s="14" t="s">
        <v>3440</v>
      </c>
      <c r="B3083" s="16" t="str">
        <f>TRIM("勝山北3公園")</f>
        <v>勝山北3公園</v>
      </c>
      <c r="C3083" s="14" t="s">
        <v>1525</v>
      </c>
      <c r="D3083" s="14" t="s">
        <v>228</v>
      </c>
      <c r="E3083" s="1">
        <v>588.41</v>
      </c>
      <c r="F3083" s="2">
        <v>416</v>
      </c>
      <c r="G3083" s="1"/>
      <c r="H3083" s="3"/>
      <c r="I3083" s="14" t="s">
        <v>2177</v>
      </c>
    </row>
    <row r="3084" spans="1:9" ht="18.75" customHeight="1" x14ac:dyDescent="0.4">
      <c r="A3084" s="14" t="s">
        <v>4542</v>
      </c>
      <c r="B3084" s="16" t="str">
        <f>TRIM("生野区民センター")</f>
        <v>生野区民センター</v>
      </c>
      <c r="C3084" s="14" t="s">
        <v>1525</v>
      </c>
      <c r="D3084" s="14" t="s">
        <v>228</v>
      </c>
      <c r="E3084" s="1">
        <v>2284.41</v>
      </c>
      <c r="F3084" s="2"/>
      <c r="G3084" s="1">
        <v>2144.21</v>
      </c>
      <c r="H3084" s="3"/>
      <c r="I3084" s="14" t="s">
        <v>1646</v>
      </c>
    </row>
    <row r="3085" spans="1:9" ht="18.75" customHeight="1" x14ac:dyDescent="0.4">
      <c r="A3085" s="14" t="s">
        <v>4856</v>
      </c>
      <c r="B3085" s="16" t="str">
        <f>TRIM("桃谷中学校（もと勝山中学校）")</f>
        <v>桃谷中学校（もと勝山中学校）</v>
      </c>
      <c r="C3085" s="14" t="s">
        <v>1525</v>
      </c>
      <c r="D3085" s="14" t="s">
        <v>228</v>
      </c>
      <c r="E3085" s="1">
        <v>9502.25</v>
      </c>
      <c r="F3085" s="2"/>
      <c r="G3085" s="1">
        <v>7310.87</v>
      </c>
      <c r="H3085" s="3"/>
      <c r="I3085" s="14" t="s">
        <v>4689</v>
      </c>
    </row>
    <row r="3086" spans="1:9" ht="18.75" customHeight="1" x14ac:dyDescent="0.4">
      <c r="A3086" s="14" t="s">
        <v>5030</v>
      </c>
      <c r="B3086" s="16" t="str">
        <f>TRIM("東桃谷小学校")</f>
        <v>東桃谷小学校</v>
      </c>
      <c r="C3086" s="14" t="s">
        <v>1525</v>
      </c>
      <c r="D3086" s="14" t="s">
        <v>228</v>
      </c>
      <c r="E3086" s="1">
        <v>10922.76</v>
      </c>
      <c r="F3086" s="2"/>
      <c r="G3086" s="1">
        <v>4926.24</v>
      </c>
      <c r="H3086" s="3"/>
      <c r="I3086" s="14" t="s">
        <v>4689</v>
      </c>
    </row>
    <row r="3087" spans="1:9" ht="18.75" customHeight="1" x14ac:dyDescent="0.4">
      <c r="A3087" s="14" t="s">
        <v>5255</v>
      </c>
      <c r="B3087" s="16" t="str">
        <f>TRIM("生野消防署勝山出張所")</f>
        <v>生野消防署勝山出張所</v>
      </c>
      <c r="C3087" s="14" t="s">
        <v>1525</v>
      </c>
      <c r="D3087" s="14" t="s">
        <v>228</v>
      </c>
      <c r="E3087" s="1">
        <v>333.88</v>
      </c>
      <c r="F3087" s="2"/>
      <c r="G3087" s="1">
        <v>714.42</v>
      </c>
      <c r="H3087" s="3"/>
      <c r="I3087" s="14" t="s">
        <v>5219</v>
      </c>
    </row>
    <row r="3088" spans="1:9" ht="18.75" customHeight="1" x14ac:dyDescent="0.4">
      <c r="A3088" s="14" t="s">
        <v>1915</v>
      </c>
      <c r="B3088" s="16" t="str">
        <f>TRIM("特別養護老人ホームあじさいの里・生野区在宅サービスセンター")</f>
        <v>特別養護老人ホームあじさいの里・生野区在宅サービスセンター</v>
      </c>
      <c r="C3088" s="14" t="s">
        <v>1525</v>
      </c>
      <c r="D3088" s="14" t="s">
        <v>228</v>
      </c>
      <c r="E3088" s="1">
        <v>1633.98</v>
      </c>
      <c r="F3088" s="2"/>
      <c r="G3088" s="1"/>
      <c r="H3088" s="3"/>
      <c r="I3088" s="14" t="s">
        <v>1654</v>
      </c>
    </row>
    <row r="3089" spans="1:9" ht="18.75" customHeight="1" x14ac:dyDescent="0.4">
      <c r="A3089" s="14" t="s">
        <v>2112</v>
      </c>
      <c r="B3089" s="16" t="str">
        <f>TRIM("東桃谷老人憩の家")</f>
        <v>東桃谷老人憩の家</v>
      </c>
      <c r="C3089" s="14" t="s">
        <v>1525</v>
      </c>
      <c r="D3089" s="14" t="s">
        <v>228</v>
      </c>
      <c r="E3089" s="1">
        <v>289.69</v>
      </c>
      <c r="F3089" s="2"/>
      <c r="G3089" s="1"/>
      <c r="H3089" s="3"/>
      <c r="I3089" s="14" t="s">
        <v>1646</v>
      </c>
    </row>
    <row r="3090" spans="1:9" ht="18.75" customHeight="1" x14ac:dyDescent="0.4">
      <c r="A3090" s="14" t="s">
        <v>5493</v>
      </c>
      <c r="B3090" s="16" t="str">
        <f>TRIM("生野警察署")</f>
        <v>生野警察署</v>
      </c>
      <c r="C3090" s="14" t="s">
        <v>1525</v>
      </c>
      <c r="D3090" s="14" t="s">
        <v>228</v>
      </c>
      <c r="E3090" s="1">
        <v>1920.65</v>
      </c>
      <c r="F3090" s="2"/>
      <c r="G3090" s="1"/>
      <c r="H3090" s="3"/>
      <c r="I3090" s="14" t="s">
        <v>5349</v>
      </c>
    </row>
    <row r="3091" spans="1:9" ht="18.75" customHeight="1" x14ac:dyDescent="0.4">
      <c r="A3091" s="14" t="s">
        <v>5560</v>
      </c>
      <c r="B3091" s="16" t="str">
        <f>TRIM("府警生野単身寮")</f>
        <v>府警生野単身寮</v>
      </c>
      <c r="C3091" s="14" t="s">
        <v>1525</v>
      </c>
      <c r="D3091" s="14" t="s">
        <v>228</v>
      </c>
      <c r="E3091" s="1">
        <v>469.85</v>
      </c>
      <c r="F3091" s="2"/>
      <c r="G3091" s="1"/>
      <c r="H3091" s="3"/>
      <c r="I3091" s="14" t="s">
        <v>5349</v>
      </c>
    </row>
    <row r="3092" spans="1:9" ht="18.75" customHeight="1" x14ac:dyDescent="0.4">
      <c r="A3092" s="14" t="s">
        <v>5997</v>
      </c>
      <c r="B3092" s="16" t="str">
        <f>TRIM("大気汚染常時監視測定局（桃谷中学校）")</f>
        <v>大気汚染常時監視測定局（桃谷中学校）</v>
      </c>
      <c r="C3092" s="14" t="s">
        <v>1525</v>
      </c>
      <c r="D3092" s="14" t="s">
        <v>228</v>
      </c>
      <c r="E3092" s="1"/>
      <c r="F3092" s="2"/>
      <c r="G3092" s="1">
        <v>33.619999999999997</v>
      </c>
      <c r="H3092" s="3"/>
      <c r="I3092" s="14" t="s">
        <v>5977</v>
      </c>
    </row>
    <row r="3093" spans="1:9" ht="18.75" customHeight="1" x14ac:dyDescent="0.4">
      <c r="A3093" s="14" t="s">
        <v>4994</v>
      </c>
      <c r="B3093" s="16" t="str">
        <f>TRIM("桃谷中学校（もと鶴橋中学校）")</f>
        <v>桃谷中学校（もと鶴橋中学校）</v>
      </c>
      <c r="C3093" s="14" t="s">
        <v>1525</v>
      </c>
      <c r="D3093" s="14" t="s">
        <v>202</v>
      </c>
      <c r="E3093" s="1">
        <v>9676.0300000000007</v>
      </c>
      <c r="F3093" s="2"/>
      <c r="G3093" s="1">
        <v>6281.86</v>
      </c>
      <c r="H3093" s="3"/>
      <c r="I3093" s="14" t="s">
        <v>4689</v>
      </c>
    </row>
    <row r="3094" spans="1:9" ht="18.75" customHeight="1" x14ac:dyDescent="0.4">
      <c r="A3094" s="14" t="s">
        <v>1734</v>
      </c>
      <c r="B3094" s="16" t="str">
        <f>TRIM("障がい福祉サービス事業所　豊生園")</f>
        <v>障がい福祉サービス事業所　豊生園</v>
      </c>
      <c r="C3094" s="14" t="s">
        <v>1525</v>
      </c>
      <c r="D3094" s="14" t="s">
        <v>202</v>
      </c>
      <c r="E3094" s="1">
        <v>847.43</v>
      </c>
      <c r="F3094" s="2"/>
      <c r="G3094" s="1"/>
      <c r="H3094" s="3"/>
      <c r="I3094" s="14" t="s">
        <v>1654</v>
      </c>
    </row>
    <row r="3095" spans="1:9" ht="18.75" customHeight="1" x14ac:dyDescent="0.4">
      <c r="A3095" s="14" t="s">
        <v>5457</v>
      </c>
      <c r="B3095" s="16" t="str">
        <f>TRIM("過小地（河川埋立地）")</f>
        <v>過小地（河川埋立地）</v>
      </c>
      <c r="C3095" s="14" t="s">
        <v>1525</v>
      </c>
      <c r="D3095" s="14" t="s">
        <v>202</v>
      </c>
      <c r="E3095" s="1">
        <v>8500.7099999999991</v>
      </c>
      <c r="F3095" s="2"/>
      <c r="G3095" s="1"/>
      <c r="H3095" s="3"/>
      <c r="I3095" s="14" t="s">
        <v>5349</v>
      </c>
    </row>
    <row r="3096" spans="1:9" ht="18.75" customHeight="1" x14ac:dyDescent="0.4">
      <c r="A3096" s="14" t="s">
        <v>1768</v>
      </c>
      <c r="B3096" s="16" t="str">
        <f>TRIM(" もと勝山南老人憩の家")</f>
        <v>もと勝山南老人憩の家</v>
      </c>
      <c r="C3096" s="14" t="s">
        <v>1525</v>
      </c>
      <c r="D3096" s="14" t="s">
        <v>258</v>
      </c>
      <c r="E3096" s="1">
        <v>108.43</v>
      </c>
      <c r="F3096" s="2">
        <v>417</v>
      </c>
      <c r="G3096" s="1">
        <v>102.06</v>
      </c>
      <c r="H3096" s="3" t="s">
        <v>7353</v>
      </c>
      <c r="I3096" s="14" t="s">
        <v>1654</v>
      </c>
    </row>
    <row r="3097" spans="1:9" ht="18.75" customHeight="1" x14ac:dyDescent="0.4">
      <c r="A3097" s="14" t="s">
        <v>4855</v>
      </c>
      <c r="B3097" s="16" t="str">
        <f>TRIM("勝山小学校")</f>
        <v>勝山小学校</v>
      </c>
      <c r="C3097" s="14" t="s">
        <v>1525</v>
      </c>
      <c r="D3097" s="14" t="s">
        <v>258</v>
      </c>
      <c r="E3097" s="1">
        <v>8736.84</v>
      </c>
      <c r="F3097" s="2"/>
      <c r="G3097" s="1">
        <v>4856.26</v>
      </c>
      <c r="H3097" s="3"/>
      <c r="I3097" s="14" t="s">
        <v>4689</v>
      </c>
    </row>
    <row r="3098" spans="1:9" ht="18.75" customHeight="1" x14ac:dyDescent="0.4">
      <c r="A3098" s="14" t="s">
        <v>2323</v>
      </c>
      <c r="B3098" s="16" t="str">
        <f>TRIM("廃道（生野）")</f>
        <v>廃道（生野）</v>
      </c>
      <c r="C3098" s="14" t="s">
        <v>1525</v>
      </c>
      <c r="D3098" s="14" t="s">
        <v>258</v>
      </c>
      <c r="E3098" s="1">
        <v>85.98</v>
      </c>
      <c r="F3098" s="2"/>
      <c r="G3098" s="1"/>
      <c r="H3098" s="3"/>
      <c r="I3098" s="14" t="s">
        <v>2177</v>
      </c>
    </row>
    <row r="3099" spans="1:9" ht="18.75" customHeight="1" x14ac:dyDescent="0.4">
      <c r="A3099" s="14" t="s">
        <v>2797</v>
      </c>
      <c r="B3099" s="16" t="str">
        <f>TRIM("　勝山西公園")</f>
        <v>勝山西公園</v>
      </c>
      <c r="C3099" s="14" t="s">
        <v>1525</v>
      </c>
      <c r="D3099" s="14" t="s">
        <v>258</v>
      </c>
      <c r="E3099" s="1">
        <v>766.99</v>
      </c>
      <c r="F3099" s="2"/>
      <c r="G3099" s="1"/>
      <c r="H3099" s="3"/>
      <c r="I3099" s="14" t="s">
        <v>2177</v>
      </c>
    </row>
    <row r="3100" spans="1:9" ht="18.75" customHeight="1" x14ac:dyDescent="0.4">
      <c r="A3100" s="14" t="s">
        <v>4541</v>
      </c>
      <c r="B3100" s="16" t="str">
        <f>TRIM("勝山連合地域集会所")</f>
        <v>勝山連合地域集会所</v>
      </c>
      <c r="C3100" s="14" t="s">
        <v>1525</v>
      </c>
      <c r="D3100" s="14" t="s">
        <v>258</v>
      </c>
      <c r="E3100" s="1">
        <v>316.81</v>
      </c>
      <c r="F3100" s="2"/>
      <c r="G3100" s="1"/>
      <c r="H3100" s="3"/>
      <c r="I3100" s="14" t="s">
        <v>1646</v>
      </c>
    </row>
    <row r="3101" spans="1:9" ht="18.75" customHeight="1" x14ac:dyDescent="0.4">
      <c r="A3101" s="14" t="s">
        <v>5539</v>
      </c>
      <c r="B3101" s="16" t="str">
        <f>TRIM("廃道（生野）")</f>
        <v>廃道（生野）</v>
      </c>
      <c r="C3101" s="14" t="s">
        <v>1525</v>
      </c>
      <c r="D3101" s="14" t="s">
        <v>258</v>
      </c>
      <c r="E3101" s="1">
        <v>24.5</v>
      </c>
      <c r="F3101" s="2"/>
      <c r="G3101" s="1"/>
      <c r="H3101" s="3"/>
      <c r="I3101" s="14" t="s">
        <v>5349</v>
      </c>
    </row>
    <row r="3102" spans="1:9" ht="18.75" customHeight="1" x14ac:dyDescent="0.4">
      <c r="A3102" s="14" t="s">
        <v>4536</v>
      </c>
      <c r="B3102" s="16" t="str">
        <f>TRIM("もと生野区保健福祉センター")</f>
        <v>もと生野区保健福祉センター</v>
      </c>
      <c r="C3102" s="14" t="s">
        <v>1525</v>
      </c>
      <c r="D3102" s="14" t="s">
        <v>898</v>
      </c>
      <c r="E3102" s="1">
        <v>1342.34</v>
      </c>
      <c r="F3102" s="2">
        <v>418</v>
      </c>
      <c r="G3102" s="1"/>
      <c r="H3102" s="3"/>
      <c r="I3102" s="14" t="s">
        <v>1646</v>
      </c>
    </row>
    <row r="3103" spans="1:9" ht="18.75" customHeight="1" x14ac:dyDescent="0.4">
      <c r="A3103" s="14" t="s">
        <v>4539</v>
      </c>
      <c r="B3103" s="16" t="str">
        <f>TRIM("もと生野区役所")</f>
        <v>もと生野区役所</v>
      </c>
      <c r="C3103" s="14" t="s">
        <v>1525</v>
      </c>
      <c r="D3103" s="14" t="s">
        <v>898</v>
      </c>
      <c r="E3103" s="1">
        <v>1277.96</v>
      </c>
      <c r="F3103" s="2">
        <v>418</v>
      </c>
      <c r="G3103" s="1"/>
      <c r="H3103" s="3"/>
      <c r="I3103" s="14" t="s">
        <v>1646</v>
      </c>
    </row>
    <row r="3104" spans="1:9" ht="18.75" customHeight="1" x14ac:dyDescent="0.4">
      <c r="A3104" s="14" t="s">
        <v>4538</v>
      </c>
      <c r="B3104" s="16" t="str">
        <f>TRIM("生野区役所")</f>
        <v>生野区役所</v>
      </c>
      <c r="C3104" s="14" t="s">
        <v>1525</v>
      </c>
      <c r="D3104" s="14" t="s">
        <v>898</v>
      </c>
      <c r="E3104" s="1">
        <v>4158.41</v>
      </c>
      <c r="F3104" s="2"/>
      <c r="G3104" s="1">
        <v>8277.75</v>
      </c>
      <c r="H3104" s="3"/>
      <c r="I3104" s="14" t="s">
        <v>1646</v>
      </c>
    </row>
    <row r="3105" spans="1:9" ht="18.75" customHeight="1" x14ac:dyDescent="0.4">
      <c r="A3105" s="14" t="s">
        <v>6952</v>
      </c>
      <c r="B3105" s="16" t="str">
        <f>TRIM("勝山南住宅")</f>
        <v>勝山南住宅</v>
      </c>
      <c r="C3105" s="14" t="s">
        <v>1525</v>
      </c>
      <c r="D3105" s="14" t="s">
        <v>898</v>
      </c>
      <c r="E3105" s="1">
        <v>2392.13</v>
      </c>
      <c r="F3105" s="2"/>
      <c r="G3105" s="1">
        <v>3568.48</v>
      </c>
      <c r="H3105" s="3"/>
      <c r="I3105" s="14" t="s">
        <v>6177</v>
      </c>
    </row>
    <row r="3106" spans="1:9" ht="18.75" customHeight="1" x14ac:dyDescent="0.4">
      <c r="A3106" s="14" t="s">
        <v>2196</v>
      </c>
      <c r="B3106" s="16" t="str">
        <f>TRIM("生野線（基金）")</f>
        <v>生野線（基金）</v>
      </c>
      <c r="C3106" s="14" t="s">
        <v>1525</v>
      </c>
      <c r="D3106" s="14" t="s">
        <v>898</v>
      </c>
      <c r="E3106" s="1">
        <v>45.85</v>
      </c>
      <c r="F3106" s="2"/>
      <c r="G3106" s="1"/>
      <c r="H3106" s="3"/>
      <c r="I3106" s="14" t="s">
        <v>2177</v>
      </c>
    </row>
    <row r="3107" spans="1:9" ht="18.75" customHeight="1" x14ac:dyDescent="0.4">
      <c r="A3107" s="14" t="s">
        <v>2301</v>
      </c>
      <c r="B3107" s="16" t="str">
        <f>TRIM("道路（生野）（管財課）")</f>
        <v>道路（生野）（管財課）</v>
      </c>
      <c r="C3107" s="14" t="s">
        <v>1525</v>
      </c>
      <c r="D3107" s="14" t="s">
        <v>898</v>
      </c>
      <c r="E3107" s="1">
        <v>291180.94</v>
      </c>
      <c r="F3107" s="2"/>
      <c r="G3107" s="1"/>
      <c r="H3107" s="3"/>
      <c r="I3107" s="14" t="s">
        <v>2177</v>
      </c>
    </row>
    <row r="3108" spans="1:9" ht="18.75" customHeight="1" x14ac:dyDescent="0.4">
      <c r="A3108" s="14" t="s">
        <v>2412</v>
      </c>
      <c r="B3108" s="16" t="str">
        <f>TRIM("道路（生野）（道路維持担当）")</f>
        <v>道路（生野）（道路維持担当）</v>
      </c>
      <c r="C3108" s="14" t="s">
        <v>1525</v>
      </c>
      <c r="D3108" s="14" t="s">
        <v>898</v>
      </c>
      <c r="E3108" s="1">
        <v>104.88</v>
      </c>
      <c r="F3108" s="2"/>
      <c r="G3108" s="1"/>
      <c r="H3108" s="3"/>
      <c r="I3108" s="14" t="s">
        <v>2177</v>
      </c>
    </row>
    <row r="3109" spans="1:9" ht="18.75" customHeight="1" x14ac:dyDescent="0.4">
      <c r="A3109" s="14" t="s">
        <v>2686</v>
      </c>
      <c r="B3109" s="16" t="str">
        <f>TRIM("　御勝山南公園")</f>
        <v>御勝山南公園</v>
      </c>
      <c r="C3109" s="14" t="s">
        <v>1525</v>
      </c>
      <c r="D3109" s="14" t="s">
        <v>898</v>
      </c>
      <c r="E3109" s="1">
        <v>7701.01</v>
      </c>
      <c r="F3109" s="2"/>
      <c r="G3109" s="1"/>
      <c r="H3109" s="3"/>
      <c r="I3109" s="14" t="s">
        <v>2177</v>
      </c>
    </row>
    <row r="3110" spans="1:9" ht="18.75" customHeight="1" x14ac:dyDescent="0.4">
      <c r="A3110" s="14" t="s">
        <v>4537</v>
      </c>
      <c r="B3110" s="16" t="str">
        <f>TRIM("生野区保健福祉センター")</f>
        <v>生野区保健福祉センター</v>
      </c>
      <c r="C3110" s="14" t="s">
        <v>1525</v>
      </c>
      <c r="D3110" s="14" t="s">
        <v>898</v>
      </c>
      <c r="E3110" s="1"/>
      <c r="F3110" s="2"/>
      <c r="G3110" s="1">
        <v>4410.18</v>
      </c>
      <c r="H3110" s="3"/>
      <c r="I3110" s="14" t="s">
        <v>1646</v>
      </c>
    </row>
    <row r="3111" spans="1:9" ht="18.75" customHeight="1" x14ac:dyDescent="0.4">
      <c r="A3111" s="14" t="s">
        <v>6951</v>
      </c>
      <c r="B3111" s="16" t="str">
        <f>TRIM("まちかど広場（生野南部地区）")</f>
        <v>まちかど広場（生野南部地区）</v>
      </c>
      <c r="C3111" s="14" t="s">
        <v>1525</v>
      </c>
      <c r="D3111" s="14" t="s">
        <v>898</v>
      </c>
      <c r="E3111" s="1">
        <v>1593.1</v>
      </c>
      <c r="F3111" s="2"/>
      <c r="G3111" s="1"/>
      <c r="H3111" s="3"/>
      <c r="I3111" s="14" t="s">
        <v>6177</v>
      </c>
    </row>
    <row r="3112" spans="1:9" ht="18.75" customHeight="1" x14ac:dyDescent="0.4">
      <c r="A3112" s="14" t="s">
        <v>1799</v>
      </c>
      <c r="B3112" s="16" t="str">
        <f>TRIM("生野区老人福祉センター")</f>
        <v>生野区老人福祉センター</v>
      </c>
      <c r="C3112" s="14" t="s">
        <v>1525</v>
      </c>
      <c r="D3112" s="14" t="s">
        <v>447</v>
      </c>
      <c r="E3112" s="1">
        <v>1200</v>
      </c>
      <c r="F3112" s="2"/>
      <c r="G3112" s="1">
        <v>900.81</v>
      </c>
      <c r="H3112" s="3"/>
      <c r="I3112" s="14" t="s">
        <v>1654</v>
      </c>
    </row>
    <row r="3113" spans="1:9" ht="18.75" customHeight="1" x14ac:dyDescent="0.4">
      <c r="A3113" s="14" t="s">
        <v>4843</v>
      </c>
      <c r="B3113" s="16" t="str">
        <f>TRIM("もと舎利寺小学校")</f>
        <v>もと舎利寺小学校</v>
      </c>
      <c r="C3113" s="14" t="s">
        <v>1525</v>
      </c>
      <c r="D3113" s="14" t="s">
        <v>447</v>
      </c>
      <c r="E3113" s="1">
        <v>8659.6200000000008</v>
      </c>
      <c r="F3113" s="2"/>
      <c r="G3113" s="1">
        <v>5226.99</v>
      </c>
      <c r="H3113" s="3" t="s">
        <v>7353</v>
      </c>
      <c r="I3113" s="14" t="s">
        <v>4689</v>
      </c>
    </row>
    <row r="3114" spans="1:9" ht="18.75" customHeight="1" x14ac:dyDescent="0.4">
      <c r="A3114" s="14" t="s">
        <v>5244</v>
      </c>
      <c r="B3114" s="16" t="str">
        <f>TRIM("消防局生野分室")</f>
        <v>消防局生野分室</v>
      </c>
      <c r="C3114" s="14" t="s">
        <v>1525</v>
      </c>
      <c r="D3114" s="14" t="s">
        <v>447</v>
      </c>
      <c r="E3114" s="1">
        <v>1958.97</v>
      </c>
      <c r="F3114" s="2"/>
      <c r="G3114" s="1">
        <v>662.77</v>
      </c>
      <c r="H3114" s="3"/>
      <c r="I3114" s="14" t="s">
        <v>5219</v>
      </c>
    </row>
    <row r="3115" spans="1:9" ht="18.75" customHeight="1" x14ac:dyDescent="0.4">
      <c r="A3115" s="14" t="s">
        <v>2041</v>
      </c>
      <c r="B3115" s="16" t="str">
        <f>TRIM("舎利寺会館老人憩の家")</f>
        <v>舎利寺会館老人憩の家</v>
      </c>
      <c r="C3115" s="14" t="s">
        <v>1525</v>
      </c>
      <c r="D3115" s="14" t="s">
        <v>447</v>
      </c>
      <c r="E3115" s="1">
        <v>329.47</v>
      </c>
      <c r="F3115" s="2"/>
      <c r="G3115" s="1"/>
      <c r="H3115" s="3"/>
      <c r="I3115" s="14" t="s">
        <v>1646</v>
      </c>
    </row>
    <row r="3116" spans="1:9" ht="18.75" customHeight="1" x14ac:dyDescent="0.4">
      <c r="A3116" s="14" t="s">
        <v>2778</v>
      </c>
      <c r="B3116" s="16" t="str">
        <f>TRIM("　舎利寺中央公園")</f>
        <v>舎利寺中央公園</v>
      </c>
      <c r="C3116" s="14" t="s">
        <v>1525</v>
      </c>
      <c r="D3116" s="14" t="s">
        <v>447</v>
      </c>
      <c r="E3116" s="1">
        <v>6373.31</v>
      </c>
      <c r="F3116" s="2"/>
      <c r="G3116" s="1"/>
      <c r="H3116" s="3"/>
      <c r="I3116" s="14" t="s">
        <v>2177</v>
      </c>
    </row>
    <row r="3117" spans="1:9" ht="18.75" customHeight="1" x14ac:dyDescent="0.4">
      <c r="A3117" s="14" t="s">
        <v>5194</v>
      </c>
      <c r="B3117" s="16" t="str">
        <f>TRIM("生野図書館")</f>
        <v>生野図書館</v>
      </c>
      <c r="C3117" s="14" t="s">
        <v>1525</v>
      </c>
      <c r="D3117" s="14" t="s">
        <v>447</v>
      </c>
      <c r="E3117" s="1"/>
      <c r="F3117" s="2"/>
      <c r="G3117" s="1">
        <v>893.8</v>
      </c>
      <c r="H3117" s="3"/>
      <c r="I3117" s="14" t="s">
        <v>4689</v>
      </c>
    </row>
    <row r="3118" spans="1:9" ht="18.75" customHeight="1" x14ac:dyDescent="0.4">
      <c r="A3118" s="14" t="s">
        <v>5346</v>
      </c>
      <c r="B3118" s="16" t="str">
        <f>TRIM("生野備蓄倉庫")</f>
        <v>生野備蓄倉庫</v>
      </c>
      <c r="C3118" s="14" t="s">
        <v>1525</v>
      </c>
      <c r="D3118" s="14" t="s">
        <v>447</v>
      </c>
      <c r="E3118" s="1"/>
      <c r="F3118" s="2"/>
      <c r="G3118" s="1">
        <v>1935.1</v>
      </c>
      <c r="H3118" s="3"/>
      <c r="I3118" s="14" t="s">
        <v>5344</v>
      </c>
    </row>
    <row r="3119" spans="1:9" ht="18.75" customHeight="1" x14ac:dyDescent="0.4">
      <c r="A3119" s="14" t="s">
        <v>5253</v>
      </c>
      <c r="B3119" s="16" t="str">
        <f>TRIM("生野消防署")</f>
        <v>生野消防署</v>
      </c>
      <c r="C3119" s="14" t="s">
        <v>1525</v>
      </c>
      <c r="D3119" s="14" t="s">
        <v>578</v>
      </c>
      <c r="E3119" s="1">
        <v>1431.09</v>
      </c>
      <c r="F3119" s="2"/>
      <c r="G3119" s="1">
        <v>1458.42</v>
      </c>
      <c r="H3119" s="3"/>
      <c r="I3119" s="14" t="s">
        <v>5219</v>
      </c>
    </row>
    <row r="3120" spans="1:9" ht="18.75" customHeight="1" x14ac:dyDescent="0.4">
      <c r="A3120" s="14" t="s">
        <v>5875</v>
      </c>
      <c r="B3120" s="16" t="str">
        <f>TRIM("生野保育所")</f>
        <v>生野保育所</v>
      </c>
      <c r="C3120" s="14" t="s">
        <v>1525</v>
      </c>
      <c r="D3120" s="14" t="s">
        <v>578</v>
      </c>
      <c r="E3120" s="1">
        <v>627.70000000000005</v>
      </c>
      <c r="F3120" s="2"/>
      <c r="G3120" s="1">
        <v>400.54</v>
      </c>
      <c r="H3120" s="3"/>
      <c r="I3120" s="14" t="s">
        <v>5617</v>
      </c>
    </row>
    <row r="3121" spans="1:9" ht="18.75" customHeight="1" x14ac:dyDescent="0.4">
      <c r="A3121" s="14" t="s">
        <v>5254</v>
      </c>
      <c r="B3121" s="16" t="str">
        <f>TRIM("生野災害待機宿舎")</f>
        <v>生野災害待機宿舎</v>
      </c>
      <c r="C3121" s="14" t="s">
        <v>1525</v>
      </c>
      <c r="D3121" s="14" t="s">
        <v>578</v>
      </c>
      <c r="E3121" s="1"/>
      <c r="F3121" s="2"/>
      <c r="G3121" s="1">
        <v>89.42</v>
      </c>
      <c r="H3121" s="3"/>
      <c r="I3121" s="14" t="s">
        <v>5219</v>
      </c>
    </row>
    <row r="3122" spans="1:9" ht="18.75" customHeight="1" x14ac:dyDescent="0.4">
      <c r="A3122" s="14" t="s">
        <v>6567</v>
      </c>
      <c r="B3122" s="16" t="str">
        <f>TRIM("田島住宅")</f>
        <v>田島住宅</v>
      </c>
      <c r="C3122" s="14" t="s">
        <v>1525</v>
      </c>
      <c r="D3122" s="14" t="s">
        <v>803</v>
      </c>
      <c r="E3122" s="1">
        <v>6110.04</v>
      </c>
      <c r="F3122" s="2"/>
      <c r="G3122" s="1">
        <v>7463.06</v>
      </c>
      <c r="H3122" s="3"/>
      <c r="I3122" s="14" t="s">
        <v>6177</v>
      </c>
    </row>
    <row r="3123" spans="1:9" ht="18.75" customHeight="1" x14ac:dyDescent="0.4">
      <c r="A3123" s="14" t="s">
        <v>4906</v>
      </c>
      <c r="B3123" s="16" t="str">
        <f>TRIM("もと生野小学校")</f>
        <v>もと生野小学校</v>
      </c>
      <c r="C3123" s="14" t="s">
        <v>1525</v>
      </c>
      <c r="D3123" s="14" t="s">
        <v>1071</v>
      </c>
      <c r="E3123" s="1">
        <v>7458.23</v>
      </c>
      <c r="F3123" s="2"/>
      <c r="G3123" s="1">
        <v>5888.72</v>
      </c>
      <c r="H3123" s="3" t="s">
        <v>7353</v>
      </c>
      <c r="I3123" s="14" t="s">
        <v>1646</v>
      </c>
    </row>
    <row r="3124" spans="1:9" ht="18.75" customHeight="1" x14ac:dyDescent="0.4">
      <c r="A3124" s="14" t="s">
        <v>2777</v>
      </c>
      <c r="B3124" s="16" t="str">
        <f>TRIM("　舎利寺公園")</f>
        <v>舎利寺公園</v>
      </c>
      <c r="C3124" s="14" t="s">
        <v>1525</v>
      </c>
      <c r="D3124" s="14" t="s">
        <v>1071</v>
      </c>
      <c r="E3124" s="1">
        <v>654.54</v>
      </c>
      <c r="F3124" s="2"/>
      <c r="G3124" s="1"/>
      <c r="H3124" s="3"/>
      <c r="I3124" s="14" t="s">
        <v>2177</v>
      </c>
    </row>
    <row r="3125" spans="1:9" ht="18.75" customHeight="1" x14ac:dyDescent="0.4">
      <c r="A3125" s="14" t="s">
        <v>4859</v>
      </c>
      <c r="B3125" s="16" t="str">
        <f>TRIM("小路小学校")</f>
        <v>小路小学校</v>
      </c>
      <c r="C3125" s="14" t="s">
        <v>1525</v>
      </c>
      <c r="D3125" s="14" t="s">
        <v>1082</v>
      </c>
      <c r="E3125" s="1">
        <v>7869.38</v>
      </c>
      <c r="F3125" s="2"/>
      <c r="G3125" s="1">
        <v>4423.32</v>
      </c>
      <c r="H3125" s="3"/>
      <c r="I3125" s="14" t="s">
        <v>4689</v>
      </c>
    </row>
    <row r="3126" spans="1:9" ht="18.75" customHeight="1" x14ac:dyDescent="0.4">
      <c r="A3126" s="14" t="s">
        <v>2804</v>
      </c>
      <c r="B3126" s="16" t="str">
        <f>TRIM("　小路西公園")</f>
        <v>小路西公園</v>
      </c>
      <c r="C3126" s="14" t="s">
        <v>1525</v>
      </c>
      <c r="D3126" s="14" t="s">
        <v>1082</v>
      </c>
      <c r="E3126" s="1">
        <v>849.83</v>
      </c>
      <c r="F3126" s="2"/>
      <c r="G3126" s="1"/>
      <c r="H3126" s="3"/>
      <c r="I3126" s="14" t="s">
        <v>2177</v>
      </c>
    </row>
    <row r="3127" spans="1:9" ht="18.75" customHeight="1" x14ac:dyDescent="0.4">
      <c r="A3127" s="14" t="s">
        <v>3838</v>
      </c>
      <c r="B3127" s="16" t="str">
        <f>TRIM("小路駅自転車駐車場")</f>
        <v>小路駅自転車駐車場</v>
      </c>
      <c r="C3127" s="14" t="s">
        <v>1525</v>
      </c>
      <c r="D3127" s="14" t="s">
        <v>1082</v>
      </c>
      <c r="E3127" s="1">
        <v>298.31</v>
      </c>
      <c r="F3127" s="2"/>
      <c r="G3127" s="1"/>
      <c r="H3127" s="3"/>
      <c r="I3127" s="14" t="s">
        <v>2177</v>
      </c>
    </row>
    <row r="3128" spans="1:9" ht="18.75" customHeight="1" x14ac:dyDescent="0.4">
      <c r="A3128" s="14" t="s">
        <v>5737</v>
      </c>
      <c r="B3128" s="16" t="str">
        <f>TRIM("小路保育園")</f>
        <v>小路保育園</v>
      </c>
      <c r="C3128" s="14" t="s">
        <v>1525</v>
      </c>
      <c r="D3128" s="14" t="s">
        <v>349</v>
      </c>
      <c r="E3128" s="1">
        <v>1703.22</v>
      </c>
      <c r="F3128" s="2"/>
      <c r="G3128" s="1">
        <v>479.67</v>
      </c>
      <c r="H3128" s="3"/>
      <c r="I3128" s="14" t="s">
        <v>5617</v>
      </c>
    </row>
    <row r="3129" spans="1:9" ht="18.75" customHeight="1" x14ac:dyDescent="0.4">
      <c r="A3129" s="14" t="s">
        <v>1717</v>
      </c>
      <c r="B3129" s="16" t="str">
        <f>TRIM("障がい福祉サービス事業所　いわき生野学園")</f>
        <v>障がい福祉サービス事業所　いわき生野学園</v>
      </c>
      <c r="C3129" s="14" t="s">
        <v>1525</v>
      </c>
      <c r="D3129" s="14" t="s">
        <v>349</v>
      </c>
      <c r="E3129" s="1">
        <v>1051.29</v>
      </c>
      <c r="F3129" s="2"/>
      <c r="G3129" s="1"/>
      <c r="H3129" s="3"/>
      <c r="I3129" s="14" t="s">
        <v>1654</v>
      </c>
    </row>
    <row r="3130" spans="1:9" ht="18.75" customHeight="1" x14ac:dyDescent="0.4">
      <c r="A3130" s="14" t="s">
        <v>1794</v>
      </c>
      <c r="B3130" s="16" t="str">
        <f>TRIM("小路老人憩の家（小路福祉会館）")</f>
        <v>小路老人憩の家（小路福祉会館）</v>
      </c>
      <c r="C3130" s="14" t="s">
        <v>1525</v>
      </c>
      <c r="D3130" s="14" t="s">
        <v>349</v>
      </c>
      <c r="E3130" s="1"/>
      <c r="F3130" s="2"/>
      <c r="G3130" s="1">
        <v>102.72</v>
      </c>
      <c r="H3130" s="3" t="s">
        <v>7353</v>
      </c>
      <c r="I3130" s="14" t="s">
        <v>1654</v>
      </c>
    </row>
    <row r="3131" spans="1:9" ht="18.75" customHeight="1" x14ac:dyDescent="0.4">
      <c r="A3131" s="14" t="s">
        <v>2806</v>
      </c>
      <c r="B3131" s="16" t="str">
        <f>TRIM("　小路南公園")</f>
        <v>小路南公園</v>
      </c>
      <c r="C3131" s="14" t="s">
        <v>1525</v>
      </c>
      <c r="D3131" s="14" t="s">
        <v>349</v>
      </c>
      <c r="E3131" s="1">
        <v>1113.75</v>
      </c>
      <c r="F3131" s="2"/>
      <c r="G3131" s="1"/>
      <c r="H3131" s="3"/>
      <c r="I3131" s="14" t="s">
        <v>2177</v>
      </c>
    </row>
    <row r="3132" spans="1:9" ht="18.75" customHeight="1" x14ac:dyDescent="0.4">
      <c r="A3132" s="14" t="s">
        <v>2803</v>
      </c>
      <c r="B3132" s="16" t="str">
        <f>TRIM("　小路公園")</f>
        <v>小路公園</v>
      </c>
      <c r="C3132" s="14" t="s">
        <v>1525</v>
      </c>
      <c r="D3132" s="14" t="s">
        <v>1081</v>
      </c>
      <c r="E3132" s="1">
        <v>799.09</v>
      </c>
      <c r="F3132" s="2"/>
      <c r="G3132" s="1"/>
      <c r="H3132" s="3"/>
      <c r="I3132" s="14" t="s">
        <v>2177</v>
      </c>
    </row>
    <row r="3133" spans="1:9" ht="18.75" customHeight="1" x14ac:dyDescent="0.4">
      <c r="A3133" s="14" t="s">
        <v>2805</v>
      </c>
      <c r="B3133" s="16" t="str">
        <f>TRIM("　小路東公園")</f>
        <v>小路東公園</v>
      </c>
      <c r="C3133" s="14" t="s">
        <v>1525</v>
      </c>
      <c r="D3133" s="14" t="s">
        <v>1081</v>
      </c>
      <c r="E3133" s="1">
        <v>1286.48</v>
      </c>
      <c r="F3133" s="2"/>
      <c r="G3133" s="1"/>
      <c r="H3133" s="3"/>
      <c r="I3133" s="14" t="s">
        <v>2177</v>
      </c>
    </row>
    <row r="3134" spans="1:9" ht="18.75" customHeight="1" x14ac:dyDescent="0.4">
      <c r="A3134" s="14" t="s">
        <v>3839</v>
      </c>
      <c r="B3134" s="16" t="str">
        <f>TRIM("小路駅自転車駐車場管理事務所")</f>
        <v>小路駅自転車駐車場管理事務所</v>
      </c>
      <c r="C3134" s="14" t="s">
        <v>1525</v>
      </c>
      <c r="D3134" s="14" t="s">
        <v>1081</v>
      </c>
      <c r="E3134" s="1"/>
      <c r="F3134" s="2"/>
      <c r="G3134" s="1">
        <v>3.89</v>
      </c>
      <c r="H3134" s="3"/>
      <c r="I3134" s="14" t="s">
        <v>2177</v>
      </c>
    </row>
    <row r="3135" spans="1:9" ht="18.75" customHeight="1" x14ac:dyDescent="0.4">
      <c r="A3135" s="14" t="s">
        <v>5021</v>
      </c>
      <c r="B3135" s="16" t="str">
        <f>TRIM("東小路小学校")</f>
        <v>東小路小学校</v>
      </c>
      <c r="C3135" s="14" t="s">
        <v>1525</v>
      </c>
      <c r="D3135" s="14" t="s">
        <v>1421</v>
      </c>
      <c r="E3135" s="1">
        <v>7282.64</v>
      </c>
      <c r="F3135" s="2"/>
      <c r="G3135" s="1">
        <v>5114.3100000000004</v>
      </c>
      <c r="H3135" s="3"/>
      <c r="I3135" s="14" t="s">
        <v>4689</v>
      </c>
    </row>
    <row r="3136" spans="1:9" ht="18.75" customHeight="1" x14ac:dyDescent="0.4">
      <c r="A3136" s="14" t="s">
        <v>2110</v>
      </c>
      <c r="B3136" s="16" t="str">
        <f>TRIM("東小路会館老人憩の家")</f>
        <v>東小路会館老人憩の家</v>
      </c>
      <c r="C3136" s="14" t="s">
        <v>1525</v>
      </c>
      <c r="D3136" s="14" t="s">
        <v>1421</v>
      </c>
      <c r="E3136" s="1">
        <v>163.12</v>
      </c>
      <c r="F3136" s="2"/>
      <c r="G3136" s="1"/>
      <c r="H3136" s="3"/>
      <c r="I3136" s="14" t="s">
        <v>1646</v>
      </c>
    </row>
    <row r="3137" spans="1:9" ht="18.75" customHeight="1" x14ac:dyDescent="0.4">
      <c r="A3137" s="14" t="s">
        <v>2222</v>
      </c>
      <c r="B3137" s="16" t="str">
        <f>TRIM("国道４７９号（生野）（管財課）")</f>
        <v>国道４７９号（生野）（管財課）</v>
      </c>
      <c r="C3137" s="14" t="s">
        <v>1525</v>
      </c>
      <c r="D3137" s="14" t="s">
        <v>916</v>
      </c>
      <c r="E3137" s="1">
        <v>37187.19</v>
      </c>
      <c r="F3137" s="2"/>
      <c r="G3137" s="1"/>
      <c r="H3137" s="3"/>
      <c r="I3137" s="14" t="s">
        <v>2177</v>
      </c>
    </row>
    <row r="3138" spans="1:9" ht="18.75" customHeight="1" x14ac:dyDescent="0.4">
      <c r="A3138" s="14" t="s">
        <v>2846</v>
      </c>
      <c r="B3138" s="16" t="str">
        <f>TRIM("　新今里公園")</f>
        <v>新今里公園</v>
      </c>
      <c r="C3138" s="14" t="s">
        <v>1525</v>
      </c>
      <c r="D3138" s="14" t="s">
        <v>1090</v>
      </c>
      <c r="E3138" s="1">
        <v>8558.67</v>
      </c>
      <c r="F3138" s="2"/>
      <c r="G3138" s="1"/>
      <c r="H3138" s="3"/>
      <c r="I3138" s="14" t="s">
        <v>2177</v>
      </c>
    </row>
    <row r="3139" spans="1:9" ht="18.75" customHeight="1" x14ac:dyDescent="0.4">
      <c r="A3139" s="14" t="s">
        <v>1828</v>
      </c>
      <c r="B3139" s="16" t="str">
        <f>TRIM("もと東中川老人憩の家")</f>
        <v>もと東中川老人憩の家</v>
      </c>
      <c r="C3139" s="14" t="s">
        <v>1525</v>
      </c>
      <c r="D3139" s="14" t="s">
        <v>460</v>
      </c>
      <c r="E3139" s="1">
        <v>174.87</v>
      </c>
      <c r="F3139" s="2">
        <v>1983</v>
      </c>
      <c r="G3139" s="1"/>
      <c r="H3139" s="3"/>
      <c r="I3139" s="14" t="s">
        <v>1654</v>
      </c>
    </row>
    <row r="3140" spans="1:9" ht="18.75" customHeight="1" x14ac:dyDescent="0.4">
      <c r="A3140" s="14" t="s">
        <v>3802</v>
      </c>
      <c r="B3140" s="16" t="str">
        <f>TRIM("近鉄今里駅自転車駐車場管理ボックス")</f>
        <v>近鉄今里駅自転車駐車場管理ボックス</v>
      </c>
      <c r="C3140" s="14" t="s">
        <v>1525</v>
      </c>
      <c r="D3140" s="14" t="s">
        <v>1472</v>
      </c>
      <c r="E3140" s="1"/>
      <c r="F3140" s="2"/>
      <c r="G3140" s="1">
        <v>1.44</v>
      </c>
      <c r="H3140" s="3"/>
      <c r="I3140" s="14" t="s">
        <v>2177</v>
      </c>
    </row>
    <row r="3141" spans="1:9" ht="18.75" customHeight="1" x14ac:dyDescent="0.4">
      <c r="A3141" s="14" t="s">
        <v>3803</v>
      </c>
      <c r="B3141" s="16" t="str">
        <f>TRIM("近鉄今里駅自転車駐車場管理事務所")</f>
        <v>近鉄今里駅自転車駐車場管理事務所</v>
      </c>
      <c r="C3141" s="14" t="s">
        <v>1525</v>
      </c>
      <c r="D3141" s="14" t="s">
        <v>1472</v>
      </c>
      <c r="E3141" s="1"/>
      <c r="F3141" s="2"/>
      <c r="G3141" s="1">
        <v>4.8</v>
      </c>
      <c r="H3141" s="3"/>
      <c r="I3141" s="14" t="s">
        <v>2177</v>
      </c>
    </row>
    <row r="3142" spans="1:9" ht="18.75" customHeight="1" x14ac:dyDescent="0.4">
      <c r="A3142" s="14" t="s">
        <v>7089</v>
      </c>
      <c r="B3142" s="16" t="str">
        <f>TRIM("もと今里小売市場民営活性化事業施設")</f>
        <v>もと今里小売市場民営活性化事業施設</v>
      </c>
      <c r="C3142" s="14" t="s">
        <v>1525</v>
      </c>
      <c r="D3142" s="14" t="s">
        <v>1472</v>
      </c>
      <c r="E3142" s="1"/>
      <c r="F3142" s="2"/>
      <c r="G3142" s="1">
        <v>1071.3599999999999</v>
      </c>
      <c r="H3142" s="3"/>
      <c r="I3142" s="14" t="s">
        <v>4115</v>
      </c>
    </row>
    <row r="3143" spans="1:9" ht="18.75" customHeight="1" x14ac:dyDescent="0.4">
      <c r="A3143" s="14" t="s">
        <v>5342</v>
      </c>
      <c r="B3143" s="16" t="str">
        <f>TRIM("もと生野消防署中川出張所")</f>
        <v>もと生野消防署中川出張所</v>
      </c>
      <c r="C3143" s="14" t="s">
        <v>1525</v>
      </c>
      <c r="D3143" s="14" t="s">
        <v>1306</v>
      </c>
      <c r="E3143" s="1">
        <v>222.7</v>
      </c>
      <c r="F3143" s="2">
        <v>2148</v>
      </c>
      <c r="G3143" s="1">
        <v>211.46</v>
      </c>
      <c r="H3143" s="3"/>
      <c r="I3143" s="14" t="s">
        <v>5219</v>
      </c>
    </row>
    <row r="3144" spans="1:9" ht="18.75" customHeight="1" x14ac:dyDescent="0.4">
      <c r="A3144" s="14" t="s">
        <v>2468</v>
      </c>
      <c r="B3144" s="16" t="str">
        <f>TRIM("運河（生野）")</f>
        <v>運河（生野）</v>
      </c>
      <c r="C3144" s="14" t="s">
        <v>1525</v>
      </c>
      <c r="D3144" s="14" t="s">
        <v>1306</v>
      </c>
      <c r="E3144" s="1">
        <v>39108.79</v>
      </c>
      <c r="F3144" s="2"/>
      <c r="G3144" s="1"/>
      <c r="H3144" s="3"/>
      <c r="I3144" s="14" t="s">
        <v>2177</v>
      </c>
    </row>
    <row r="3145" spans="1:9" ht="18.75" customHeight="1" x14ac:dyDescent="0.4">
      <c r="A3145" s="14" t="s">
        <v>2845</v>
      </c>
      <c r="B3145" s="16" t="str">
        <f>TRIM("　新今里6公園")</f>
        <v>新今里6公園</v>
      </c>
      <c r="C3145" s="14" t="s">
        <v>1525</v>
      </c>
      <c r="D3145" s="14" t="s">
        <v>1089</v>
      </c>
      <c r="E3145" s="1">
        <v>162.72999999999999</v>
      </c>
      <c r="F3145" s="2"/>
      <c r="G3145" s="1"/>
      <c r="H3145" s="3"/>
      <c r="I3145" s="14" t="s">
        <v>2177</v>
      </c>
    </row>
    <row r="3146" spans="1:9" ht="18.75" customHeight="1" x14ac:dyDescent="0.4">
      <c r="A3146" s="14" t="s">
        <v>5022</v>
      </c>
      <c r="B3146" s="16" t="str">
        <f>TRIM("東生野中学校")</f>
        <v>東生野中学校</v>
      </c>
      <c r="C3146" s="14" t="s">
        <v>1525</v>
      </c>
      <c r="D3146" s="14" t="s">
        <v>614</v>
      </c>
      <c r="E3146" s="1">
        <v>14220.66</v>
      </c>
      <c r="F3146" s="2"/>
      <c r="G3146" s="1">
        <v>8782.8700000000008</v>
      </c>
      <c r="H3146" s="3"/>
      <c r="I3146" s="14" t="s">
        <v>4689</v>
      </c>
    </row>
    <row r="3147" spans="1:9" ht="18.75" customHeight="1" x14ac:dyDescent="0.4">
      <c r="A3147" s="14" t="s">
        <v>5025</v>
      </c>
      <c r="B3147" s="16" t="str">
        <f>TRIM("東中川小学校")</f>
        <v>東中川小学校</v>
      </c>
      <c r="C3147" s="14" t="s">
        <v>1525</v>
      </c>
      <c r="D3147" s="14" t="s">
        <v>614</v>
      </c>
      <c r="E3147" s="1">
        <v>9467.8700000000008</v>
      </c>
      <c r="F3147" s="2"/>
      <c r="G3147" s="1">
        <v>5827</v>
      </c>
      <c r="H3147" s="3"/>
      <c r="I3147" s="14" t="s">
        <v>4689</v>
      </c>
    </row>
    <row r="3148" spans="1:9" ht="18.75" customHeight="1" x14ac:dyDescent="0.4">
      <c r="A3148" s="14" t="s">
        <v>3145</v>
      </c>
      <c r="B3148" s="16" t="str">
        <f>TRIM("　東中川公園")</f>
        <v>東中川公園</v>
      </c>
      <c r="C3148" s="14" t="s">
        <v>1525</v>
      </c>
      <c r="D3148" s="14" t="s">
        <v>614</v>
      </c>
      <c r="E3148" s="1">
        <v>5067.76</v>
      </c>
      <c r="F3148" s="2"/>
      <c r="G3148" s="1"/>
      <c r="H3148" s="3"/>
      <c r="I3148" s="14" t="s">
        <v>2177</v>
      </c>
    </row>
    <row r="3149" spans="1:9" ht="18.75" customHeight="1" x14ac:dyDescent="0.4">
      <c r="A3149" s="14" t="s">
        <v>5959</v>
      </c>
      <c r="B3149" s="16" t="str">
        <f>TRIM("東生野愛育園")</f>
        <v>東生野愛育園</v>
      </c>
      <c r="C3149" s="14" t="s">
        <v>1525</v>
      </c>
      <c r="D3149" s="14" t="s">
        <v>614</v>
      </c>
      <c r="E3149" s="1">
        <v>1028.0899999999999</v>
      </c>
      <c r="F3149" s="2"/>
      <c r="G3149" s="1"/>
      <c r="H3149" s="3"/>
      <c r="I3149" s="14" t="s">
        <v>5617</v>
      </c>
    </row>
    <row r="3150" spans="1:9" ht="18.75" customHeight="1" x14ac:dyDescent="0.4">
      <c r="A3150" s="14" t="s">
        <v>4087</v>
      </c>
      <c r="B3150" s="16" t="str">
        <f>TRIM("田島工営所")</f>
        <v>田島工営所</v>
      </c>
      <c r="C3150" s="14" t="s">
        <v>1525</v>
      </c>
      <c r="D3150" s="14" t="s">
        <v>1330</v>
      </c>
      <c r="E3150" s="1">
        <v>2684.66</v>
      </c>
      <c r="F3150" s="2"/>
      <c r="G3150" s="1">
        <v>2294.33</v>
      </c>
      <c r="H3150" s="3"/>
      <c r="I3150" s="14" t="s">
        <v>2177</v>
      </c>
    </row>
    <row r="3151" spans="1:9" ht="18.75" customHeight="1" x14ac:dyDescent="0.4">
      <c r="A3151" s="14" t="s">
        <v>2248</v>
      </c>
      <c r="B3151" s="16" t="str">
        <f>TRIM("大阪環状線（生野）（管財課）")</f>
        <v>大阪環状線（生野）（管財課）</v>
      </c>
      <c r="C3151" s="14" t="s">
        <v>1525</v>
      </c>
      <c r="D3151" s="14" t="s">
        <v>927</v>
      </c>
      <c r="E3151" s="1">
        <v>10846.64</v>
      </c>
      <c r="F3151" s="2"/>
      <c r="G3151" s="1"/>
      <c r="H3151" s="3"/>
      <c r="I3151" s="14" t="s">
        <v>2177</v>
      </c>
    </row>
    <row r="3152" spans="1:9" ht="18.75" customHeight="1" x14ac:dyDescent="0.4">
      <c r="A3152" s="14" t="s">
        <v>5007</v>
      </c>
      <c r="B3152" s="16" t="str">
        <f>TRIM("田島小学校")</f>
        <v>田島小学校</v>
      </c>
      <c r="C3152" s="14" t="s">
        <v>1525</v>
      </c>
      <c r="D3152" s="14" t="s">
        <v>1182</v>
      </c>
      <c r="E3152" s="1">
        <v>9596.68</v>
      </c>
      <c r="F3152" s="2"/>
      <c r="G3152" s="1">
        <v>724.77</v>
      </c>
      <c r="H3152" s="3"/>
      <c r="I3152" s="14" t="s">
        <v>4689</v>
      </c>
    </row>
    <row r="3153" spans="1:9" ht="18.75" customHeight="1" x14ac:dyDescent="0.4">
      <c r="A3153" s="14" t="s">
        <v>3120</v>
      </c>
      <c r="B3153" s="16" t="str">
        <f>TRIM("　田島公園")</f>
        <v>田島公園</v>
      </c>
      <c r="C3153" s="14" t="s">
        <v>1525</v>
      </c>
      <c r="D3153" s="14" t="s">
        <v>1182</v>
      </c>
      <c r="E3153" s="1">
        <v>3712.15</v>
      </c>
      <c r="F3153" s="2"/>
      <c r="G3153" s="1"/>
      <c r="H3153" s="3"/>
      <c r="I3153" s="14" t="s">
        <v>2177</v>
      </c>
    </row>
    <row r="3154" spans="1:9" ht="18.75" customHeight="1" x14ac:dyDescent="0.4">
      <c r="A3154" s="14" t="s">
        <v>5152</v>
      </c>
      <c r="B3154" s="16" t="str">
        <f>TRIM("もと田島小学校")</f>
        <v>もと田島小学校</v>
      </c>
      <c r="C3154" s="14" t="s">
        <v>1525</v>
      </c>
      <c r="D3154" s="14" t="s">
        <v>1182</v>
      </c>
      <c r="E3154" s="1"/>
      <c r="F3154" s="2"/>
      <c r="G3154" s="1">
        <v>1978.43</v>
      </c>
      <c r="H3154" s="3" t="s">
        <v>7353</v>
      </c>
      <c r="I3154" s="14" t="s">
        <v>4689</v>
      </c>
    </row>
    <row r="3155" spans="1:9" ht="18.75" customHeight="1" x14ac:dyDescent="0.4">
      <c r="A3155" s="14" t="s">
        <v>2108</v>
      </c>
      <c r="B3155" s="16" t="str">
        <f>TRIM("田島老人憩の家")</f>
        <v>田島老人憩の家</v>
      </c>
      <c r="C3155" s="14" t="s">
        <v>1525</v>
      </c>
      <c r="D3155" s="14" t="s">
        <v>1181</v>
      </c>
      <c r="E3155" s="1">
        <v>224.24</v>
      </c>
      <c r="F3155" s="2"/>
      <c r="G3155" s="1"/>
      <c r="H3155" s="3"/>
      <c r="I3155" s="14" t="s">
        <v>1646</v>
      </c>
    </row>
    <row r="3156" spans="1:9" ht="18.75" customHeight="1" x14ac:dyDescent="0.4">
      <c r="A3156" s="14" t="s">
        <v>3119</v>
      </c>
      <c r="B3156" s="16" t="str">
        <f>TRIM("　田島4公園")</f>
        <v>田島4公園</v>
      </c>
      <c r="C3156" s="14" t="s">
        <v>1525</v>
      </c>
      <c r="D3156" s="14" t="s">
        <v>1181</v>
      </c>
      <c r="E3156" s="1">
        <v>275.31</v>
      </c>
      <c r="F3156" s="2"/>
      <c r="G3156" s="1"/>
      <c r="H3156" s="3"/>
      <c r="I3156" s="14" t="s">
        <v>2177</v>
      </c>
    </row>
    <row r="3157" spans="1:9" ht="18.75" customHeight="1" x14ac:dyDescent="0.4">
      <c r="A3157" s="14" t="s">
        <v>5008</v>
      </c>
      <c r="B3157" s="16" t="str">
        <f>TRIM("田島小学校　生野南小学校　田島中学校")</f>
        <v>田島小学校　生野南小学校　田島中学校</v>
      </c>
      <c r="C3157" s="14" t="s">
        <v>1525</v>
      </c>
      <c r="D3157" s="14" t="s">
        <v>994</v>
      </c>
      <c r="E3157" s="1">
        <v>17416.759999999998</v>
      </c>
      <c r="F3157" s="2"/>
      <c r="G3157" s="1">
        <v>10553.06</v>
      </c>
      <c r="H3157" s="3"/>
      <c r="I3157" s="14" t="s">
        <v>4689</v>
      </c>
    </row>
    <row r="3158" spans="1:9" ht="18.75" customHeight="1" x14ac:dyDescent="0.4">
      <c r="A3158" s="14" t="s">
        <v>2529</v>
      </c>
      <c r="B3158" s="16" t="str">
        <f>TRIM("　　新田島公園")</f>
        <v>新田島公園</v>
      </c>
      <c r="C3158" s="14" t="s">
        <v>1525</v>
      </c>
      <c r="D3158" s="14" t="s">
        <v>994</v>
      </c>
      <c r="E3158" s="1">
        <v>495.37</v>
      </c>
      <c r="F3158" s="2"/>
      <c r="G3158" s="1"/>
      <c r="H3158" s="3"/>
      <c r="I3158" s="14" t="s">
        <v>2177</v>
      </c>
    </row>
    <row r="3159" spans="1:9" ht="18.75" customHeight="1" x14ac:dyDescent="0.4">
      <c r="A3159" s="14" t="s">
        <v>3121</v>
      </c>
      <c r="B3159" s="16" t="str">
        <f>TRIM("　田島南公園")</f>
        <v>田島南公園</v>
      </c>
      <c r="C3159" s="14" t="s">
        <v>1525</v>
      </c>
      <c r="D3159" s="14" t="s">
        <v>994</v>
      </c>
      <c r="E3159" s="1">
        <v>512.39</v>
      </c>
      <c r="F3159" s="2"/>
      <c r="G3159" s="1"/>
      <c r="H3159" s="3"/>
      <c r="I3159" s="14" t="s">
        <v>2177</v>
      </c>
    </row>
    <row r="3160" spans="1:9" ht="18.75" customHeight="1" x14ac:dyDescent="0.4">
      <c r="A3160" s="14" t="s">
        <v>4942</v>
      </c>
      <c r="B3160" s="16" t="str">
        <f>TRIM("大池中学校")</f>
        <v>大池中学校</v>
      </c>
      <c r="C3160" s="14" t="s">
        <v>1525</v>
      </c>
      <c r="D3160" s="14" t="s">
        <v>1148</v>
      </c>
      <c r="E3160" s="1">
        <v>10078.450000000001</v>
      </c>
      <c r="F3160" s="2"/>
      <c r="G3160" s="1">
        <v>6262.43</v>
      </c>
      <c r="H3160" s="3"/>
      <c r="I3160" s="14" t="s">
        <v>4689</v>
      </c>
    </row>
    <row r="3161" spans="1:9" ht="18.75" customHeight="1" x14ac:dyDescent="0.4">
      <c r="A3161" s="14" t="s">
        <v>5102</v>
      </c>
      <c r="B3161" s="16" t="str">
        <f>TRIM("北巽小学校")</f>
        <v>北巽小学校</v>
      </c>
      <c r="C3161" s="14" t="s">
        <v>1525</v>
      </c>
      <c r="D3161" s="14" t="s">
        <v>1148</v>
      </c>
      <c r="E3161" s="1">
        <v>8256.16</v>
      </c>
      <c r="F3161" s="2"/>
      <c r="G3161" s="1">
        <v>6557.09</v>
      </c>
      <c r="H3161" s="3"/>
      <c r="I3161" s="14" t="s">
        <v>4689</v>
      </c>
    </row>
    <row r="3162" spans="1:9" ht="18.75" customHeight="1" x14ac:dyDescent="0.4">
      <c r="A3162" s="14" t="s">
        <v>3027</v>
      </c>
      <c r="B3162" s="16" t="str">
        <f>TRIM("　巽北西公園")</f>
        <v>巽北西公園</v>
      </c>
      <c r="C3162" s="14" t="s">
        <v>1525</v>
      </c>
      <c r="D3162" s="14" t="s">
        <v>1148</v>
      </c>
      <c r="E3162" s="1">
        <v>1481.95</v>
      </c>
      <c r="F3162" s="2"/>
      <c r="G3162" s="1"/>
      <c r="H3162" s="3"/>
      <c r="I3162" s="14" t="s">
        <v>2177</v>
      </c>
    </row>
    <row r="3163" spans="1:9" ht="18.75" customHeight="1" x14ac:dyDescent="0.4">
      <c r="A3163" s="14" t="s">
        <v>5670</v>
      </c>
      <c r="B3163" s="16" t="str">
        <f>TRIM("もと生野勤労青少年ホーム")</f>
        <v>もと生野勤労青少年ホーム</v>
      </c>
      <c r="C3163" s="14" t="s">
        <v>1525</v>
      </c>
      <c r="D3163" s="14" t="s">
        <v>490</v>
      </c>
      <c r="E3163" s="1">
        <v>1842.19</v>
      </c>
      <c r="F3163" s="2"/>
      <c r="G3163" s="1">
        <v>618.37</v>
      </c>
      <c r="H3163" s="3" t="s">
        <v>7353</v>
      </c>
      <c r="I3163" s="14" t="s">
        <v>5617</v>
      </c>
    </row>
    <row r="3164" spans="1:9" ht="18.75" customHeight="1" x14ac:dyDescent="0.4">
      <c r="A3164" s="14" t="s">
        <v>6498</v>
      </c>
      <c r="B3164" s="16" t="str">
        <f>TRIM("巽北住宅")</f>
        <v>巽北住宅</v>
      </c>
      <c r="C3164" s="14" t="s">
        <v>1525</v>
      </c>
      <c r="D3164" s="14" t="s">
        <v>490</v>
      </c>
      <c r="E3164" s="1">
        <v>1028.08</v>
      </c>
      <c r="F3164" s="2"/>
      <c r="G3164" s="1">
        <v>2153.4699999999998</v>
      </c>
      <c r="H3164" s="3"/>
      <c r="I3164" s="14" t="s">
        <v>6177</v>
      </c>
    </row>
    <row r="3165" spans="1:9" ht="18.75" customHeight="1" x14ac:dyDescent="0.4">
      <c r="A3165" s="14" t="s">
        <v>2142</v>
      </c>
      <c r="B3165" s="16" t="str">
        <f>TRIM("北巽会館老人憩の家")</f>
        <v>北巽会館老人憩の家</v>
      </c>
      <c r="C3165" s="14" t="s">
        <v>1525</v>
      </c>
      <c r="D3165" s="14" t="s">
        <v>490</v>
      </c>
      <c r="E3165" s="1"/>
      <c r="F3165" s="2"/>
      <c r="G3165" s="1">
        <v>108.2</v>
      </c>
      <c r="H3165" s="3"/>
      <c r="I3165" s="14" t="s">
        <v>1646</v>
      </c>
    </row>
    <row r="3166" spans="1:9" ht="18.75" customHeight="1" x14ac:dyDescent="0.4">
      <c r="A3166" s="14" t="s">
        <v>3468</v>
      </c>
      <c r="B3166" s="16" t="str">
        <f>TRIM("巽北さくら公園")</f>
        <v>巽北さくら公園</v>
      </c>
      <c r="C3166" s="14" t="s">
        <v>1525</v>
      </c>
      <c r="D3166" s="14" t="s">
        <v>490</v>
      </c>
      <c r="E3166" s="1">
        <v>1154.5999999999999</v>
      </c>
      <c r="F3166" s="2"/>
      <c r="G3166" s="1"/>
      <c r="H3166" s="3"/>
      <c r="I3166" s="14" t="s">
        <v>2177</v>
      </c>
    </row>
    <row r="3167" spans="1:9" ht="18.75" customHeight="1" x14ac:dyDescent="0.4">
      <c r="A3167" s="14" t="s">
        <v>4545</v>
      </c>
      <c r="B3167" s="16" t="str">
        <f>TRIM("北巽集会所")</f>
        <v>北巽集会所</v>
      </c>
      <c r="C3167" s="14" t="s">
        <v>1525</v>
      </c>
      <c r="D3167" s="14" t="s">
        <v>490</v>
      </c>
      <c r="E3167" s="1"/>
      <c r="F3167" s="2"/>
      <c r="G3167" s="1">
        <v>100.59</v>
      </c>
      <c r="H3167" s="3"/>
      <c r="I3167" s="14" t="s">
        <v>1646</v>
      </c>
    </row>
    <row r="3168" spans="1:9" ht="18.75" customHeight="1" x14ac:dyDescent="0.4">
      <c r="A3168" s="14" t="s">
        <v>2271</v>
      </c>
      <c r="B3168" s="16" t="str">
        <f>TRIM("大阪八尾線（生野）（管財課）")</f>
        <v>大阪八尾線（生野）（管財課）</v>
      </c>
      <c r="C3168" s="14" t="s">
        <v>1525</v>
      </c>
      <c r="D3168" s="14" t="s">
        <v>940</v>
      </c>
      <c r="E3168" s="1">
        <v>49354.57</v>
      </c>
      <c r="F3168" s="2"/>
      <c r="G3168" s="1"/>
      <c r="H3168" s="3"/>
      <c r="I3168" s="14" t="s">
        <v>2177</v>
      </c>
    </row>
    <row r="3169" spans="1:9" ht="18.75" customHeight="1" x14ac:dyDescent="0.4">
      <c r="A3169" s="14" t="s">
        <v>3026</v>
      </c>
      <c r="B3169" s="16" t="str">
        <f>TRIM("　巽北公園")</f>
        <v>巽北公園</v>
      </c>
      <c r="C3169" s="14" t="s">
        <v>1525</v>
      </c>
      <c r="D3169" s="14" t="s">
        <v>940</v>
      </c>
      <c r="E3169" s="1">
        <v>1150.5899999999999</v>
      </c>
      <c r="F3169" s="2"/>
      <c r="G3169" s="1"/>
      <c r="H3169" s="3"/>
      <c r="I3169" s="14" t="s">
        <v>2177</v>
      </c>
    </row>
    <row r="3170" spans="1:9" ht="18.75" customHeight="1" x14ac:dyDescent="0.4">
      <c r="A3170" s="14" t="s">
        <v>3948</v>
      </c>
      <c r="B3170" s="16" t="str">
        <f>TRIM("北巽駅自転車駐車場")</f>
        <v>北巽駅自転車駐車場</v>
      </c>
      <c r="C3170" s="14" t="s">
        <v>1525</v>
      </c>
      <c r="D3170" s="14" t="s">
        <v>940</v>
      </c>
      <c r="E3170" s="1"/>
      <c r="F3170" s="2"/>
      <c r="G3170" s="1">
        <v>442.86</v>
      </c>
      <c r="H3170" s="3"/>
      <c r="I3170" s="14" t="s">
        <v>2177</v>
      </c>
    </row>
    <row r="3171" spans="1:9" ht="18.75" customHeight="1" x14ac:dyDescent="0.4">
      <c r="A3171" s="14" t="s">
        <v>5748</v>
      </c>
      <c r="B3171" s="16" t="str">
        <f>TRIM("巽保育園")</f>
        <v>巽保育園</v>
      </c>
      <c r="C3171" s="14" t="s">
        <v>1525</v>
      </c>
      <c r="D3171" s="14" t="s">
        <v>549</v>
      </c>
      <c r="E3171" s="1">
        <v>456.16</v>
      </c>
      <c r="F3171" s="2"/>
      <c r="G3171" s="1">
        <v>440.76</v>
      </c>
      <c r="H3171" s="3"/>
      <c r="I3171" s="14" t="s">
        <v>5617</v>
      </c>
    </row>
    <row r="3172" spans="1:9" ht="18.75" customHeight="1" x14ac:dyDescent="0.4">
      <c r="A3172" s="14" t="s">
        <v>6044</v>
      </c>
      <c r="B3172" s="16" t="str">
        <f>TRIM("東部環境事業センター")</f>
        <v>東部環境事業センター</v>
      </c>
      <c r="C3172" s="14" t="s">
        <v>1525</v>
      </c>
      <c r="D3172" s="14" t="s">
        <v>549</v>
      </c>
      <c r="E3172" s="1">
        <v>5106.57</v>
      </c>
      <c r="F3172" s="2"/>
      <c r="G3172" s="1">
        <v>6029.46</v>
      </c>
      <c r="H3172" s="3"/>
      <c r="I3172" s="14" t="s">
        <v>5977</v>
      </c>
    </row>
    <row r="3173" spans="1:9" ht="18.75" customHeight="1" x14ac:dyDescent="0.4">
      <c r="A3173" s="14" t="s">
        <v>6497</v>
      </c>
      <c r="B3173" s="16" t="str">
        <f>TRIM("巽住宅")</f>
        <v>巽住宅</v>
      </c>
      <c r="C3173" s="14" t="s">
        <v>1525</v>
      </c>
      <c r="D3173" s="14" t="s">
        <v>549</v>
      </c>
      <c r="E3173" s="1">
        <v>2558.9899999999998</v>
      </c>
      <c r="F3173" s="2"/>
      <c r="G3173" s="1">
        <v>9192.31</v>
      </c>
      <c r="H3173" s="3"/>
      <c r="I3173" s="14" t="s">
        <v>6177</v>
      </c>
    </row>
    <row r="3174" spans="1:9" ht="18.75" customHeight="1" x14ac:dyDescent="0.4">
      <c r="A3174" s="14" t="s">
        <v>2473</v>
      </c>
      <c r="B3174" s="16" t="str">
        <f>TRIM("加美巽川排水機場")</f>
        <v>加美巽川排水機場</v>
      </c>
      <c r="C3174" s="14" t="s">
        <v>1525</v>
      </c>
      <c r="D3174" s="14" t="s">
        <v>549</v>
      </c>
      <c r="E3174" s="1"/>
      <c r="F3174" s="2"/>
      <c r="G3174" s="1">
        <v>277.33999999999997</v>
      </c>
      <c r="H3174" s="3"/>
      <c r="I3174" s="14" t="s">
        <v>2177</v>
      </c>
    </row>
    <row r="3175" spans="1:9" ht="18.75" customHeight="1" x14ac:dyDescent="0.4">
      <c r="A3175" s="14" t="s">
        <v>2476</v>
      </c>
      <c r="B3175" s="16" t="str">
        <f>TRIM("河川敷（生野）")</f>
        <v>河川敷（生野）</v>
      </c>
      <c r="C3175" s="14" t="s">
        <v>1525</v>
      </c>
      <c r="D3175" s="14" t="s">
        <v>549</v>
      </c>
      <c r="E3175" s="1">
        <v>81.02</v>
      </c>
      <c r="F3175" s="2"/>
      <c r="G3175" s="1"/>
      <c r="H3175" s="3"/>
      <c r="I3175" s="14" t="s">
        <v>2177</v>
      </c>
    </row>
    <row r="3176" spans="1:9" ht="18.75" customHeight="1" x14ac:dyDescent="0.4">
      <c r="A3176" s="14" t="s">
        <v>3018</v>
      </c>
      <c r="B3176" s="16" t="str">
        <f>TRIM("　巽西足代公園")</f>
        <v>巽西足代公園</v>
      </c>
      <c r="C3176" s="14" t="s">
        <v>1525</v>
      </c>
      <c r="D3176" s="14" t="s">
        <v>549</v>
      </c>
      <c r="E3176" s="1">
        <v>1692.6</v>
      </c>
      <c r="F3176" s="2"/>
      <c r="G3176" s="1"/>
      <c r="H3176" s="3"/>
      <c r="I3176" s="14" t="s">
        <v>2177</v>
      </c>
    </row>
    <row r="3177" spans="1:9" ht="18.75" customHeight="1" x14ac:dyDescent="0.4">
      <c r="A3177" s="14" t="s">
        <v>3022</v>
      </c>
      <c r="B3177" s="16" t="str">
        <f>TRIM("　巽中東公園")</f>
        <v>巽中東公園</v>
      </c>
      <c r="C3177" s="14" t="s">
        <v>1525</v>
      </c>
      <c r="D3177" s="14" t="s">
        <v>549</v>
      </c>
      <c r="E3177" s="1">
        <v>2208.27</v>
      </c>
      <c r="F3177" s="2"/>
      <c r="G3177" s="1"/>
      <c r="H3177" s="3"/>
      <c r="I3177" s="14" t="s">
        <v>2177</v>
      </c>
    </row>
    <row r="3178" spans="1:9" ht="18.75" customHeight="1" x14ac:dyDescent="0.4">
      <c r="A3178" s="14" t="s">
        <v>2082</v>
      </c>
      <c r="B3178" s="16" t="str">
        <f>TRIM("巽会館老人憩の家")</f>
        <v>巽会館老人憩の家</v>
      </c>
      <c r="C3178" s="14" t="s">
        <v>1525</v>
      </c>
      <c r="D3178" s="14" t="s">
        <v>656</v>
      </c>
      <c r="E3178" s="1">
        <v>320.38</v>
      </c>
      <c r="F3178" s="2"/>
      <c r="G3178" s="1"/>
      <c r="H3178" s="3"/>
      <c r="I3178" s="14" t="s">
        <v>1646</v>
      </c>
    </row>
    <row r="3179" spans="1:9" ht="18.75" customHeight="1" x14ac:dyDescent="0.4">
      <c r="A3179" s="14" t="s">
        <v>2561</v>
      </c>
      <c r="B3179" s="16" t="str">
        <f>TRIM("　伊賀ヶ西公園")</f>
        <v>伊賀ヶ西公園</v>
      </c>
      <c r="C3179" s="14" t="s">
        <v>1525</v>
      </c>
      <c r="D3179" s="14" t="s">
        <v>656</v>
      </c>
      <c r="E3179" s="1">
        <v>1025.94</v>
      </c>
      <c r="F3179" s="2"/>
      <c r="G3179" s="1"/>
      <c r="H3179" s="3"/>
      <c r="I3179" s="14" t="s">
        <v>2177</v>
      </c>
    </row>
    <row r="3180" spans="1:9" ht="18.75" customHeight="1" x14ac:dyDescent="0.4">
      <c r="A3180" s="14" t="s">
        <v>3020</v>
      </c>
      <c r="B3180" s="16" t="str">
        <f>TRIM("　巽大地北公園")</f>
        <v>巽大地北公園</v>
      </c>
      <c r="C3180" s="14" t="s">
        <v>1525</v>
      </c>
      <c r="D3180" s="14" t="s">
        <v>656</v>
      </c>
      <c r="E3180" s="1">
        <v>1127.17</v>
      </c>
      <c r="F3180" s="2"/>
      <c r="G3180" s="1"/>
      <c r="H3180" s="3"/>
      <c r="I3180" s="14" t="s">
        <v>2177</v>
      </c>
    </row>
    <row r="3181" spans="1:9" ht="18.75" customHeight="1" x14ac:dyDescent="0.4">
      <c r="A3181" s="14" t="s">
        <v>6145</v>
      </c>
      <c r="B3181" s="16" t="str">
        <f>TRIM("巽霊園")</f>
        <v>巽霊園</v>
      </c>
      <c r="C3181" s="14" t="s">
        <v>1525</v>
      </c>
      <c r="D3181" s="14" t="s">
        <v>656</v>
      </c>
      <c r="E3181" s="1">
        <v>535.52</v>
      </c>
      <c r="F3181" s="2"/>
      <c r="G3181" s="1"/>
      <c r="H3181" s="3"/>
      <c r="I3181" s="14" t="s">
        <v>5977</v>
      </c>
    </row>
    <row r="3182" spans="1:9" ht="18.75" customHeight="1" x14ac:dyDescent="0.4">
      <c r="A3182" s="14" t="s">
        <v>4953</v>
      </c>
      <c r="B3182" s="16" t="str">
        <f>TRIM("巽小学校")</f>
        <v>巽小学校</v>
      </c>
      <c r="C3182" s="14" t="s">
        <v>1525</v>
      </c>
      <c r="D3182" s="14" t="s">
        <v>1145</v>
      </c>
      <c r="E3182" s="1">
        <v>9366.34</v>
      </c>
      <c r="F3182" s="2"/>
      <c r="G3182" s="1">
        <v>6839.39</v>
      </c>
      <c r="H3182" s="3"/>
      <c r="I3182" s="14" t="s">
        <v>4689</v>
      </c>
    </row>
    <row r="3183" spans="1:9" ht="18.75" customHeight="1" x14ac:dyDescent="0.4">
      <c r="A3183" s="14" t="s">
        <v>4954</v>
      </c>
      <c r="B3183" s="16" t="str">
        <f>TRIM("巽中学校")</f>
        <v>巽中学校</v>
      </c>
      <c r="C3183" s="14" t="s">
        <v>1525</v>
      </c>
      <c r="D3183" s="14" t="s">
        <v>1145</v>
      </c>
      <c r="E3183" s="1">
        <v>4958.16</v>
      </c>
      <c r="F3183" s="2"/>
      <c r="G3183" s="1">
        <v>7135.92</v>
      </c>
      <c r="H3183" s="3"/>
      <c r="I3183" s="14" t="s">
        <v>4689</v>
      </c>
    </row>
    <row r="3184" spans="1:9" ht="18.75" customHeight="1" x14ac:dyDescent="0.4">
      <c r="A3184" s="14" t="s">
        <v>3019</v>
      </c>
      <c r="B3184" s="16" t="str">
        <f>TRIM("　巽大地公園")</f>
        <v>巽大地公園</v>
      </c>
      <c r="C3184" s="14" t="s">
        <v>1525</v>
      </c>
      <c r="D3184" s="14" t="s">
        <v>1145</v>
      </c>
      <c r="E3184" s="1">
        <v>1161.07</v>
      </c>
      <c r="F3184" s="2"/>
      <c r="G3184" s="1"/>
      <c r="H3184" s="3"/>
      <c r="I3184" s="14" t="s">
        <v>2177</v>
      </c>
    </row>
    <row r="3185" spans="1:9" ht="18.75" customHeight="1" x14ac:dyDescent="0.4">
      <c r="A3185" s="14" t="s">
        <v>4540</v>
      </c>
      <c r="B3185" s="16" t="str">
        <f>TRIM("もと生野区役所巽出張所")</f>
        <v>もと生野区役所巽出張所</v>
      </c>
      <c r="C3185" s="14" t="s">
        <v>1525</v>
      </c>
      <c r="D3185" s="14" t="s">
        <v>1145</v>
      </c>
      <c r="E3185" s="1">
        <v>368.77</v>
      </c>
      <c r="F3185" s="2"/>
      <c r="G3185" s="1"/>
      <c r="H3185" s="3"/>
      <c r="I3185" s="14" t="s">
        <v>1646</v>
      </c>
    </row>
    <row r="3186" spans="1:9" ht="18.75" customHeight="1" x14ac:dyDescent="0.4">
      <c r="A3186" s="14" t="s">
        <v>2333</v>
      </c>
      <c r="B3186" s="16" t="str">
        <f>TRIM("平野守口線（生野）（管財課）")</f>
        <v>平野守口線（生野）（管財課）</v>
      </c>
      <c r="C3186" s="14" t="s">
        <v>1525</v>
      </c>
      <c r="D3186" s="14" t="s">
        <v>965</v>
      </c>
      <c r="E3186" s="1">
        <v>460.73</v>
      </c>
      <c r="F3186" s="2"/>
      <c r="G3186" s="1"/>
      <c r="H3186" s="3"/>
      <c r="I3186" s="14" t="s">
        <v>2177</v>
      </c>
    </row>
    <row r="3187" spans="1:9" ht="18.75" customHeight="1" x14ac:dyDescent="0.4">
      <c r="A3187" s="14" t="s">
        <v>3021</v>
      </c>
      <c r="B3187" s="16" t="str">
        <f>TRIM("　巽中4公園")</f>
        <v>巽中4公園</v>
      </c>
      <c r="C3187" s="14" t="s">
        <v>1525</v>
      </c>
      <c r="D3187" s="14" t="s">
        <v>965</v>
      </c>
      <c r="E3187" s="1">
        <v>1001.65</v>
      </c>
      <c r="F3187" s="2"/>
      <c r="G3187" s="1"/>
      <c r="H3187" s="3"/>
      <c r="I3187" s="14" t="s">
        <v>2177</v>
      </c>
    </row>
    <row r="3188" spans="1:9" ht="18.75" customHeight="1" x14ac:dyDescent="0.4">
      <c r="A3188" s="14" t="s">
        <v>3924</v>
      </c>
      <c r="B3188" s="16" t="str">
        <f>TRIM("南巽駅自転車駐車場管理ボックス")</f>
        <v>南巽駅自転車駐車場管理ボックス</v>
      </c>
      <c r="C3188" s="14" t="s">
        <v>1525</v>
      </c>
      <c r="D3188" s="14" t="s">
        <v>965</v>
      </c>
      <c r="E3188" s="1"/>
      <c r="F3188" s="2"/>
      <c r="G3188" s="1">
        <v>1.44</v>
      </c>
      <c r="H3188" s="3"/>
      <c r="I3188" s="14" t="s">
        <v>2177</v>
      </c>
    </row>
    <row r="3189" spans="1:9" ht="18.75" customHeight="1" x14ac:dyDescent="0.4">
      <c r="A3189" s="14" t="s">
        <v>7107</v>
      </c>
      <c r="B3189" s="16" t="str">
        <f>TRIM("生野スポーツセンター")</f>
        <v>生野スポーツセンター</v>
      </c>
      <c r="C3189" s="14" t="s">
        <v>1525</v>
      </c>
      <c r="D3189" s="14" t="s">
        <v>76</v>
      </c>
      <c r="E3189" s="1">
        <v>2455.9699999999998</v>
      </c>
      <c r="F3189" s="2"/>
      <c r="G3189" s="1">
        <v>2062.3000000000002</v>
      </c>
      <c r="H3189" s="3"/>
      <c r="I3189" s="14" t="s">
        <v>4115</v>
      </c>
    </row>
    <row r="3190" spans="1:9" ht="18.75" customHeight="1" x14ac:dyDescent="0.4">
      <c r="A3190" s="14" t="s">
        <v>3014</v>
      </c>
      <c r="B3190" s="16" t="str">
        <f>TRIM("　巽公園")</f>
        <v>巽公園</v>
      </c>
      <c r="C3190" s="14" t="s">
        <v>1525</v>
      </c>
      <c r="D3190" s="14" t="s">
        <v>76</v>
      </c>
      <c r="E3190" s="1">
        <v>37671.699999999997</v>
      </c>
      <c r="F3190" s="2"/>
      <c r="G3190" s="1"/>
      <c r="H3190" s="3"/>
      <c r="I3190" s="14" t="s">
        <v>2177</v>
      </c>
    </row>
    <row r="3191" spans="1:9" ht="18.75" customHeight="1" x14ac:dyDescent="0.4">
      <c r="A3191" s="14" t="s">
        <v>3015</v>
      </c>
      <c r="B3191" s="16" t="str">
        <f>TRIM("　巽西1公園")</f>
        <v>巽西1公園</v>
      </c>
      <c r="C3191" s="14" t="s">
        <v>1525</v>
      </c>
      <c r="D3191" s="14" t="s">
        <v>76</v>
      </c>
      <c r="E3191" s="1">
        <v>959.45</v>
      </c>
      <c r="F3191" s="2"/>
      <c r="G3191" s="1"/>
      <c r="H3191" s="3"/>
      <c r="I3191" s="14" t="s">
        <v>2177</v>
      </c>
    </row>
    <row r="3192" spans="1:9" ht="18.75" customHeight="1" x14ac:dyDescent="0.4">
      <c r="A3192" s="14" t="s">
        <v>3612</v>
      </c>
      <c r="B3192" s="16" t="str">
        <f>TRIM("　巽公園")</f>
        <v>巽公園</v>
      </c>
      <c r="C3192" s="14" t="s">
        <v>1525</v>
      </c>
      <c r="D3192" s="14" t="s">
        <v>76</v>
      </c>
      <c r="E3192" s="1"/>
      <c r="F3192" s="2"/>
      <c r="G3192" s="1">
        <v>191.85</v>
      </c>
      <c r="H3192" s="3"/>
      <c r="I3192" s="14" t="s">
        <v>2177</v>
      </c>
    </row>
    <row r="3193" spans="1:9" ht="18.75" customHeight="1" x14ac:dyDescent="0.4">
      <c r="A3193" s="14" t="s">
        <v>4018</v>
      </c>
      <c r="B3193" s="16" t="str">
        <f>TRIM("下水道用地（生野）")</f>
        <v>下水道用地（生野）</v>
      </c>
      <c r="C3193" s="14" t="s">
        <v>1525</v>
      </c>
      <c r="D3193" s="14" t="s">
        <v>76</v>
      </c>
      <c r="E3193" s="1">
        <v>24508.33</v>
      </c>
      <c r="F3193" s="2"/>
      <c r="G3193" s="1"/>
      <c r="H3193" s="3"/>
      <c r="I3193" s="14" t="s">
        <v>2177</v>
      </c>
    </row>
    <row r="3194" spans="1:9" ht="18.75" customHeight="1" x14ac:dyDescent="0.4">
      <c r="A3194" s="14" t="s">
        <v>3016</v>
      </c>
      <c r="B3194" s="16" t="str">
        <f>TRIM("　巽西みのり公園")</f>
        <v>巽西みのり公園</v>
      </c>
      <c r="C3194" s="14" t="s">
        <v>1525</v>
      </c>
      <c r="D3194" s="14" t="s">
        <v>1143</v>
      </c>
      <c r="E3194" s="1">
        <v>1450.63</v>
      </c>
      <c r="F3194" s="2"/>
      <c r="G3194" s="1"/>
      <c r="H3194" s="3"/>
      <c r="I3194" s="14" t="s">
        <v>2177</v>
      </c>
    </row>
    <row r="3195" spans="1:9" ht="18.75" customHeight="1" x14ac:dyDescent="0.4">
      <c r="A3195" s="14" t="s">
        <v>3017</v>
      </c>
      <c r="B3195" s="16" t="str">
        <f>TRIM("　巽西公園")</f>
        <v>巽西公園</v>
      </c>
      <c r="C3195" s="14" t="s">
        <v>1525</v>
      </c>
      <c r="D3195" s="14" t="s">
        <v>1144</v>
      </c>
      <c r="E3195" s="1">
        <v>1288.78</v>
      </c>
      <c r="F3195" s="2"/>
      <c r="G3195" s="1"/>
      <c r="H3195" s="3"/>
      <c r="I3195" s="14" t="s">
        <v>2177</v>
      </c>
    </row>
    <row r="3196" spans="1:9" ht="18.75" customHeight="1" x14ac:dyDescent="0.4">
      <c r="A3196" s="14" t="s">
        <v>5256</v>
      </c>
      <c r="B3196" s="16" t="str">
        <f>TRIM("生野消防署巽出張所")</f>
        <v>生野消防署巽出張所</v>
      </c>
      <c r="C3196" s="14" t="s">
        <v>1525</v>
      </c>
      <c r="D3196" s="14" t="s">
        <v>1142</v>
      </c>
      <c r="E3196" s="1">
        <v>495.86</v>
      </c>
      <c r="F3196" s="2"/>
      <c r="G3196" s="1">
        <v>270.86</v>
      </c>
      <c r="H3196" s="3"/>
      <c r="I3196" s="14" t="s">
        <v>5219</v>
      </c>
    </row>
    <row r="3197" spans="1:9" ht="18.75" customHeight="1" x14ac:dyDescent="0.4">
      <c r="A3197" s="14" t="s">
        <v>3013</v>
      </c>
      <c r="B3197" s="16" t="str">
        <f>TRIM("　巽伊賀ヶ公園")</f>
        <v>巽伊賀ヶ公園</v>
      </c>
      <c r="C3197" s="14" t="s">
        <v>1525</v>
      </c>
      <c r="D3197" s="14" t="s">
        <v>1142</v>
      </c>
      <c r="E3197" s="1">
        <v>608.91</v>
      </c>
      <c r="F3197" s="2"/>
      <c r="G3197" s="1"/>
      <c r="H3197" s="3"/>
      <c r="I3197" s="14" t="s">
        <v>2177</v>
      </c>
    </row>
    <row r="3198" spans="1:9" ht="18.75" customHeight="1" x14ac:dyDescent="0.4">
      <c r="A3198" s="14" t="s">
        <v>3028</v>
      </c>
      <c r="B3198" s="16" t="str">
        <f>TRIM("　巽矢柄公園")</f>
        <v>巽矢柄公園</v>
      </c>
      <c r="C3198" s="14" t="s">
        <v>1525</v>
      </c>
      <c r="D3198" s="14" t="s">
        <v>1142</v>
      </c>
      <c r="E3198" s="1">
        <v>313.70999999999998</v>
      </c>
      <c r="F3198" s="2"/>
      <c r="G3198" s="1"/>
      <c r="H3198" s="3"/>
      <c r="I3198" s="14" t="s">
        <v>2177</v>
      </c>
    </row>
    <row r="3199" spans="1:9" ht="18.75" customHeight="1" x14ac:dyDescent="0.4">
      <c r="A3199" s="14" t="s">
        <v>3466</v>
      </c>
      <c r="B3199" s="16" t="str">
        <f>TRIM("巽東第一公園")</f>
        <v>巽東第一公園</v>
      </c>
      <c r="C3199" s="14" t="s">
        <v>1525</v>
      </c>
      <c r="D3199" s="14" t="s">
        <v>1142</v>
      </c>
      <c r="E3199" s="1">
        <v>842.41</v>
      </c>
      <c r="F3199" s="2"/>
      <c r="G3199" s="1"/>
      <c r="H3199" s="3"/>
      <c r="I3199" s="14" t="s">
        <v>2177</v>
      </c>
    </row>
    <row r="3200" spans="1:9" ht="18.75" customHeight="1" x14ac:dyDescent="0.4">
      <c r="A3200" s="14" t="s">
        <v>6496</v>
      </c>
      <c r="B3200" s="16" t="str">
        <f>TRIM("巽伊賀住宅")</f>
        <v>巽伊賀住宅</v>
      </c>
      <c r="C3200" s="14" t="s">
        <v>1525</v>
      </c>
      <c r="D3200" s="14" t="s">
        <v>45</v>
      </c>
      <c r="E3200" s="1">
        <v>6171.3</v>
      </c>
      <c r="F3200" s="2"/>
      <c r="G3200" s="1">
        <v>5096.99</v>
      </c>
      <c r="H3200" s="3"/>
      <c r="I3200" s="14" t="s">
        <v>6177</v>
      </c>
    </row>
    <row r="3201" spans="1:9" ht="18.75" customHeight="1" x14ac:dyDescent="0.4">
      <c r="A3201" s="14" t="s">
        <v>7062</v>
      </c>
      <c r="B3201" s="16" t="str">
        <f>TRIM("巽小売市場民営活性化事業施設")</f>
        <v>巽小売市場民営活性化事業施設</v>
      </c>
      <c r="C3201" s="14" t="s">
        <v>1525</v>
      </c>
      <c r="D3201" s="14" t="s">
        <v>45</v>
      </c>
      <c r="E3201" s="1">
        <v>1584.08</v>
      </c>
      <c r="F3201" s="2"/>
      <c r="G3201" s="1">
        <v>1793.8</v>
      </c>
      <c r="H3201" s="3"/>
      <c r="I3201" s="14" t="s">
        <v>4115</v>
      </c>
    </row>
    <row r="3202" spans="1:9" ht="18.75" customHeight="1" x14ac:dyDescent="0.4">
      <c r="A3202" s="14" t="s">
        <v>4876</v>
      </c>
      <c r="B3202" s="16" t="str">
        <f>TRIM("新生野中学校")</f>
        <v>新生野中学校</v>
      </c>
      <c r="C3202" s="14" t="s">
        <v>1525</v>
      </c>
      <c r="D3202" s="14" t="s">
        <v>1146</v>
      </c>
      <c r="E3202" s="1">
        <v>20917.900000000001</v>
      </c>
      <c r="F3202" s="2"/>
      <c r="G3202" s="1">
        <v>6385.06</v>
      </c>
      <c r="H3202" s="3"/>
      <c r="I3202" s="14" t="s">
        <v>4689</v>
      </c>
    </row>
    <row r="3203" spans="1:9" ht="18.75" customHeight="1" x14ac:dyDescent="0.4">
      <c r="A3203" s="14" t="s">
        <v>4955</v>
      </c>
      <c r="B3203" s="16" t="str">
        <f>TRIM("巽東小学校")</f>
        <v>巽東小学校</v>
      </c>
      <c r="C3203" s="14" t="s">
        <v>1525</v>
      </c>
      <c r="D3203" s="14" t="s">
        <v>1146</v>
      </c>
      <c r="E3203" s="1">
        <v>10435</v>
      </c>
      <c r="F3203" s="2"/>
      <c r="G3203" s="1">
        <v>5314</v>
      </c>
      <c r="H3203" s="3"/>
      <c r="I3203" s="14" t="s">
        <v>4689</v>
      </c>
    </row>
    <row r="3204" spans="1:9" ht="18.75" customHeight="1" x14ac:dyDescent="0.4">
      <c r="A3204" s="14" t="s">
        <v>3023</v>
      </c>
      <c r="B3204" s="16" t="str">
        <f>TRIM("　巽東3公園")</f>
        <v>巽東3公園</v>
      </c>
      <c r="C3204" s="14" t="s">
        <v>1525</v>
      </c>
      <c r="D3204" s="14" t="s">
        <v>1146</v>
      </c>
      <c r="E3204" s="1">
        <v>999.22</v>
      </c>
      <c r="F3204" s="2"/>
      <c r="G3204" s="1"/>
      <c r="H3204" s="3"/>
      <c r="I3204" s="14" t="s">
        <v>2177</v>
      </c>
    </row>
    <row r="3205" spans="1:9" ht="18.75" customHeight="1" x14ac:dyDescent="0.4">
      <c r="A3205" s="14" t="s">
        <v>5162</v>
      </c>
      <c r="B3205" s="16" t="str">
        <f>TRIM("もと新生野校園営繕園芸事務所")</f>
        <v>もと新生野校園営繕園芸事務所</v>
      </c>
      <c r="C3205" s="14" t="s">
        <v>1525</v>
      </c>
      <c r="D3205" s="14" t="s">
        <v>1146</v>
      </c>
      <c r="E3205" s="1"/>
      <c r="F3205" s="2"/>
      <c r="G3205" s="1">
        <v>363</v>
      </c>
      <c r="H3205" s="3" t="s">
        <v>7353</v>
      </c>
      <c r="I3205" s="14" t="s">
        <v>4689</v>
      </c>
    </row>
    <row r="3206" spans="1:9" ht="18.75" customHeight="1" x14ac:dyDescent="0.4">
      <c r="A3206" s="14" t="s">
        <v>1953</v>
      </c>
      <c r="B3206" s="16" t="str">
        <f>TRIM("特別養護老人ホーム瑞光苑・新生野地域在宅サービスステーション")</f>
        <v>特別養護老人ホーム瑞光苑・新生野地域在宅サービスステーション</v>
      </c>
      <c r="C3206" s="14" t="s">
        <v>1525</v>
      </c>
      <c r="D3206" s="14" t="s">
        <v>424</v>
      </c>
      <c r="E3206" s="1">
        <v>2803.84</v>
      </c>
      <c r="F3206" s="2"/>
      <c r="G3206" s="1"/>
      <c r="H3206" s="3"/>
      <c r="I3206" s="14" t="s">
        <v>1654</v>
      </c>
    </row>
    <row r="3207" spans="1:9" ht="18.75" customHeight="1" x14ac:dyDescent="0.4">
      <c r="A3207" s="14" t="s">
        <v>2083</v>
      </c>
      <c r="B3207" s="16" t="str">
        <f>TRIM("巽東会館老人憩の家")</f>
        <v>巽東会館老人憩の家</v>
      </c>
      <c r="C3207" s="14" t="s">
        <v>1525</v>
      </c>
      <c r="D3207" s="14" t="s">
        <v>424</v>
      </c>
      <c r="E3207" s="1">
        <v>226.25</v>
      </c>
      <c r="F3207" s="2"/>
      <c r="G3207" s="1"/>
      <c r="H3207" s="3"/>
      <c r="I3207" s="14" t="s">
        <v>1646</v>
      </c>
    </row>
    <row r="3208" spans="1:9" ht="18.75" customHeight="1" x14ac:dyDescent="0.4">
      <c r="A3208" s="14" t="s">
        <v>3024</v>
      </c>
      <c r="B3208" s="16" t="str">
        <f>TRIM("　巽東公園")</f>
        <v>巽東公園</v>
      </c>
      <c r="C3208" s="14" t="s">
        <v>1525</v>
      </c>
      <c r="D3208" s="14" t="s">
        <v>424</v>
      </c>
      <c r="E3208" s="1">
        <v>1636.9</v>
      </c>
      <c r="F3208" s="2"/>
      <c r="G3208" s="1"/>
      <c r="H3208" s="3"/>
      <c r="I3208" s="14" t="s">
        <v>2177</v>
      </c>
    </row>
    <row r="3209" spans="1:9" ht="18.75" customHeight="1" x14ac:dyDescent="0.4">
      <c r="A3209" s="14" t="s">
        <v>3701</v>
      </c>
      <c r="B3209" s="16" t="str">
        <f>TRIM("巽東緑地")</f>
        <v>巽東緑地</v>
      </c>
      <c r="C3209" s="14" t="s">
        <v>1525</v>
      </c>
      <c r="D3209" s="14" t="s">
        <v>424</v>
      </c>
      <c r="E3209" s="1"/>
      <c r="F3209" s="2"/>
      <c r="G3209" s="1">
        <v>40.9</v>
      </c>
      <c r="H3209" s="3"/>
      <c r="I3209" s="14" t="s">
        <v>2177</v>
      </c>
    </row>
    <row r="3210" spans="1:9" ht="18.75" customHeight="1" x14ac:dyDescent="0.4">
      <c r="A3210" s="14" t="s">
        <v>6000</v>
      </c>
      <c r="B3210" s="16" t="str">
        <f>TRIM("生野地盤沈下観測所")</f>
        <v>生野地盤沈下観測所</v>
      </c>
      <c r="C3210" s="14" t="s">
        <v>1525</v>
      </c>
      <c r="D3210" s="14" t="s">
        <v>424</v>
      </c>
      <c r="E3210" s="1"/>
      <c r="F3210" s="2"/>
      <c r="G3210" s="1">
        <v>21.16</v>
      </c>
      <c r="H3210" s="3"/>
      <c r="I3210" s="14" t="s">
        <v>5977</v>
      </c>
    </row>
    <row r="3211" spans="1:9" ht="18.75" customHeight="1" x14ac:dyDescent="0.4">
      <c r="A3211" s="14" t="s">
        <v>3025</v>
      </c>
      <c r="B3211" s="16" t="str">
        <f>TRIM("　巽南公園")</f>
        <v>巽南公園</v>
      </c>
      <c r="C3211" s="14" t="s">
        <v>1525</v>
      </c>
      <c r="D3211" s="14" t="s">
        <v>1147</v>
      </c>
      <c r="E3211" s="1">
        <v>1540.49</v>
      </c>
      <c r="F3211" s="2"/>
      <c r="G3211" s="1"/>
      <c r="H3211" s="3"/>
      <c r="I3211" s="14" t="s">
        <v>2177</v>
      </c>
    </row>
    <row r="3212" spans="1:9" ht="18.75" customHeight="1" x14ac:dyDescent="0.4">
      <c r="A3212" s="14" t="s">
        <v>4956</v>
      </c>
      <c r="B3212" s="16" t="str">
        <f>TRIM("巽南小学校")</f>
        <v>巽南小学校</v>
      </c>
      <c r="C3212" s="14" t="s">
        <v>1525</v>
      </c>
      <c r="D3212" s="14" t="s">
        <v>1414</v>
      </c>
      <c r="E3212" s="1">
        <v>11010.57</v>
      </c>
      <c r="F3212" s="2"/>
      <c r="G3212" s="1">
        <v>6204.97</v>
      </c>
      <c r="H3212" s="3"/>
      <c r="I3212" s="14" t="s">
        <v>4689</v>
      </c>
    </row>
    <row r="3213" spans="1:9" ht="18.75" customHeight="1" x14ac:dyDescent="0.4">
      <c r="A3213" s="14" t="s">
        <v>3195</v>
      </c>
      <c r="B3213" s="16" t="str">
        <f>TRIM("　南巽公園")</f>
        <v>南巽公園</v>
      </c>
      <c r="C3213" s="14" t="s">
        <v>1525</v>
      </c>
      <c r="D3213" s="14" t="s">
        <v>1207</v>
      </c>
      <c r="E3213" s="1">
        <v>1618.69</v>
      </c>
      <c r="F3213" s="2"/>
      <c r="G3213" s="1"/>
      <c r="H3213" s="3"/>
      <c r="I3213" s="14" t="s">
        <v>2177</v>
      </c>
    </row>
    <row r="3214" spans="1:9" ht="18.75" customHeight="1" x14ac:dyDescent="0.4">
      <c r="A3214" s="14" t="s">
        <v>3925</v>
      </c>
      <c r="B3214" s="16" t="str">
        <f>TRIM("南巽駅自転車駐車場管理事務所")</f>
        <v>南巽駅自転車駐車場管理事務所</v>
      </c>
      <c r="C3214" s="14" t="s">
        <v>1525</v>
      </c>
      <c r="D3214" s="14" t="s">
        <v>1207</v>
      </c>
      <c r="E3214" s="1"/>
      <c r="F3214" s="2"/>
      <c r="G3214" s="1">
        <v>9.7200000000000006</v>
      </c>
      <c r="H3214" s="3"/>
      <c r="I3214" s="14" t="s">
        <v>2177</v>
      </c>
    </row>
    <row r="3215" spans="1:9" ht="18.75" customHeight="1" x14ac:dyDescent="0.4">
      <c r="A3215" s="14" t="s">
        <v>4877</v>
      </c>
      <c r="B3215" s="16" t="str">
        <f>TRIM("新巽中学校")</f>
        <v>新巽中学校</v>
      </c>
      <c r="C3215" s="14" t="s">
        <v>1525</v>
      </c>
      <c r="D3215" s="14" t="s">
        <v>1295</v>
      </c>
      <c r="E3215" s="1">
        <v>18038.59</v>
      </c>
      <c r="F3215" s="2"/>
      <c r="G3215" s="1">
        <v>5446.72</v>
      </c>
      <c r="H3215" s="3"/>
      <c r="I3215" s="14" t="s">
        <v>4689</v>
      </c>
    </row>
    <row r="3216" spans="1:9" ht="18.75" customHeight="1" x14ac:dyDescent="0.4">
      <c r="A3216" s="14" t="s">
        <v>3488</v>
      </c>
      <c r="B3216" s="16" t="str">
        <f>TRIM("楠正長史跡公園")</f>
        <v>楠正長史跡公園</v>
      </c>
      <c r="C3216" s="14" t="s">
        <v>1525</v>
      </c>
      <c r="D3216" s="14" t="s">
        <v>1295</v>
      </c>
      <c r="E3216" s="1">
        <v>577.46</v>
      </c>
      <c r="F3216" s="2"/>
      <c r="G3216" s="1"/>
      <c r="H3216" s="3"/>
      <c r="I3216" s="14" t="s">
        <v>2177</v>
      </c>
    </row>
    <row r="3217" spans="1:9" ht="18.75" customHeight="1" x14ac:dyDescent="0.4">
      <c r="A3217" s="14" t="s">
        <v>3467</v>
      </c>
      <c r="B3217" s="16" t="str">
        <f>TRIM("巽南ふれあい公園")</f>
        <v>巽南ふれあい公園</v>
      </c>
      <c r="C3217" s="14" t="s">
        <v>1525</v>
      </c>
      <c r="D3217" s="14" t="s">
        <v>1290</v>
      </c>
      <c r="E3217" s="1">
        <v>2416.13</v>
      </c>
      <c r="F3217" s="2"/>
      <c r="G3217" s="1"/>
      <c r="H3217" s="3"/>
      <c r="I3217" s="14" t="s">
        <v>2177</v>
      </c>
    </row>
    <row r="3218" spans="1:9" ht="18.75" customHeight="1" x14ac:dyDescent="0.4">
      <c r="A3218" s="14" t="s">
        <v>4543</v>
      </c>
      <c r="B3218" s="16" t="str">
        <f>TRIM("巽南連合地域集会施設")</f>
        <v>巽南連合地域集会施設</v>
      </c>
      <c r="C3218" s="14" t="s">
        <v>1525</v>
      </c>
      <c r="D3218" s="14" t="s">
        <v>1290</v>
      </c>
      <c r="E3218" s="1">
        <v>197.04</v>
      </c>
      <c r="F3218" s="2"/>
      <c r="G3218" s="1"/>
      <c r="H3218" s="3"/>
      <c r="I3218" s="14" t="s">
        <v>1646</v>
      </c>
    </row>
    <row r="3219" spans="1:9" ht="18.75" customHeight="1" x14ac:dyDescent="0.4">
      <c r="A3219" s="14" t="s">
        <v>1645</v>
      </c>
      <c r="B3219" s="16" t="str">
        <f>TRIM("北鶴橋地区災害避難施設用地")</f>
        <v>北鶴橋地区災害避難施設用地</v>
      </c>
      <c r="C3219" s="14" t="s">
        <v>1525</v>
      </c>
      <c r="D3219" s="14" t="s">
        <v>318</v>
      </c>
      <c r="E3219" s="1">
        <v>4801.09</v>
      </c>
      <c r="F3219" s="2">
        <v>2145</v>
      </c>
      <c r="G3219" s="1"/>
      <c r="H3219" s="3"/>
      <c r="I3219" s="14" t="s">
        <v>1646</v>
      </c>
    </row>
    <row r="3220" spans="1:9" ht="18.75" customHeight="1" x14ac:dyDescent="0.4">
      <c r="A3220" s="14" t="s">
        <v>3309</v>
      </c>
      <c r="B3220" s="16" t="str">
        <f>TRIM("　北鶴ふれあい公園")</f>
        <v>北鶴ふれあい公園</v>
      </c>
      <c r="C3220" s="14" t="s">
        <v>1525</v>
      </c>
      <c r="D3220" s="14" t="s">
        <v>318</v>
      </c>
      <c r="E3220" s="1">
        <v>2500.9299999999998</v>
      </c>
      <c r="F3220" s="2"/>
      <c r="G3220" s="1"/>
      <c r="H3220" s="3"/>
      <c r="I3220" s="14" t="s">
        <v>2177</v>
      </c>
    </row>
    <row r="3221" spans="1:9" ht="18.75" customHeight="1" x14ac:dyDescent="0.4">
      <c r="A3221" s="14" t="s">
        <v>3761</v>
      </c>
      <c r="B3221" s="16" t="str">
        <f>TRIM("ＪＲ鶴橋駅自転車駐車場")</f>
        <v>ＪＲ鶴橋駅自転車駐車場</v>
      </c>
      <c r="C3221" s="14" t="s">
        <v>1525</v>
      </c>
      <c r="D3221" s="14" t="s">
        <v>318</v>
      </c>
      <c r="E3221" s="1"/>
      <c r="F3221" s="2"/>
      <c r="G3221" s="1">
        <v>564.79999999999995</v>
      </c>
      <c r="H3221" s="3"/>
      <c r="I3221" s="14" t="s">
        <v>2177</v>
      </c>
    </row>
    <row r="3222" spans="1:9" ht="18.75" customHeight="1" x14ac:dyDescent="0.4">
      <c r="A3222" s="14" t="s">
        <v>3082</v>
      </c>
      <c r="B3222" s="16" t="str">
        <f>TRIM("　鶴橋2公園")</f>
        <v>鶴橋2公園</v>
      </c>
      <c r="C3222" s="14" t="s">
        <v>1525</v>
      </c>
      <c r="D3222" s="14" t="s">
        <v>1168</v>
      </c>
      <c r="E3222" s="1">
        <v>529.84</v>
      </c>
      <c r="F3222" s="2"/>
      <c r="G3222" s="1"/>
      <c r="H3222" s="3"/>
      <c r="I3222" s="14" t="s">
        <v>2177</v>
      </c>
    </row>
    <row r="3223" spans="1:9" ht="18.75" customHeight="1" x14ac:dyDescent="0.4">
      <c r="A3223" s="14" t="s">
        <v>5106</v>
      </c>
      <c r="B3223" s="16" t="str">
        <f>TRIM("北鶴橋小学校")</f>
        <v>北鶴橋小学校</v>
      </c>
      <c r="C3223" s="14" t="s">
        <v>1525</v>
      </c>
      <c r="D3223" s="14" t="s">
        <v>229</v>
      </c>
      <c r="E3223" s="1">
        <v>2466.29</v>
      </c>
      <c r="F3223" s="2"/>
      <c r="G3223" s="1">
        <v>4662.84</v>
      </c>
      <c r="H3223" s="3"/>
      <c r="I3223" s="14" t="s">
        <v>4689</v>
      </c>
    </row>
    <row r="3224" spans="1:9" ht="18.75" customHeight="1" x14ac:dyDescent="0.4">
      <c r="A3224" s="14" t="s">
        <v>2146</v>
      </c>
      <c r="B3224" s="16" t="str">
        <f>TRIM("北鶴橋老人憩の家")</f>
        <v>北鶴橋老人憩の家</v>
      </c>
      <c r="C3224" s="14" t="s">
        <v>1525</v>
      </c>
      <c r="D3224" s="14" t="s">
        <v>229</v>
      </c>
      <c r="E3224" s="1">
        <v>86.9</v>
      </c>
      <c r="F3224" s="2"/>
      <c r="G3224" s="1"/>
      <c r="H3224" s="3"/>
      <c r="I3224" s="14" t="s">
        <v>1646</v>
      </c>
    </row>
    <row r="3225" spans="1:9" ht="18.75" customHeight="1" x14ac:dyDescent="0.4">
      <c r="A3225" s="14" t="s">
        <v>3310</v>
      </c>
      <c r="B3225" s="16" t="str">
        <f>TRIM("　北鶴橋公園")</f>
        <v>北鶴橋公園</v>
      </c>
      <c r="C3225" s="14" t="s">
        <v>1525</v>
      </c>
      <c r="D3225" s="14" t="s">
        <v>229</v>
      </c>
      <c r="E3225" s="1">
        <v>661.77</v>
      </c>
      <c r="F3225" s="2"/>
      <c r="G3225" s="1"/>
      <c r="H3225" s="3"/>
      <c r="I3225" s="14" t="s">
        <v>2177</v>
      </c>
    </row>
    <row r="3226" spans="1:9" ht="18.75" customHeight="1" x14ac:dyDescent="0.4">
      <c r="A3226" s="14" t="s">
        <v>5494</v>
      </c>
      <c r="B3226" s="16" t="str">
        <f>TRIM("生野署鶴橋交番")</f>
        <v>生野署鶴橋交番</v>
      </c>
      <c r="C3226" s="14" t="s">
        <v>1525</v>
      </c>
      <c r="D3226" s="14" t="s">
        <v>229</v>
      </c>
      <c r="E3226" s="1">
        <v>47.04</v>
      </c>
      <c r="F3226" s="2"/>
      <c r="G3226" s="1"/>
      <c r="H3226" s="3"/>
      <c r="I3226" s="14" t="s">
        <v>5349</v>
      </c>
    </row>
    <row r="3227" spans="1:9" ht="18.75" customHeight="1" x14ac:dyDescent="0.4">
      <c r="A3227" s="14" t="s">
        <v>3311</v>
      </c>
      <c r="B3227" s="16" t="str">
        <f>TRIM("　北鶴橋第2公園")</f>
        <v>北鶴橋第2公園</v>
      </c>
      <c r="C3227" s="14" t="s">
        <v>1525</v>
      </c>
      <c r="D3227" s="14" t="s">
        <v>1244</v>
      </c>
      <c r="E3227" s="1">
        <v>1915.35</v>
      </c>
      <c r="F3227" s="2"/>
      <c r="G3227" s="1"/>
      <c r="H3227" s="3"/>
      <c r="I3227" s="14" t="s">
        <v>2177</v>
      </c>
    </row>
    <row r="3228" spans="1:9" ht="18.75" customHeight="1" x14ac:dyDescent="0.4">
      <c r="A3228" s="14" t="s">
        <v>5592</v>
      </c>
      <c r="B3228" s="16" t="str">
        <f>TRIM("もと中川職員公舎１・２号棟")</f>
        <v>もと中川職員公舎１・２号棟</v>
      </c>
      <c r="C3228" s="14" t="s">
        <v>1525</v>
      </c>
      <c r="D3228" s="14" t="s">
        <v>296</v>
      </c>
      <c r="E3228" s="1">
        <v>2433.27</v>
      </c>
      <c r="F3228" s="2" t="s">
        <v>7272</v>
      </c>
      <c r="G3228" s="1"/>
      <c r="H3228" s="3"/>
      <c r="I3228" s="14" t="s">
        <v>5349</v>
      </c>
    </row>
    <row r="3229" spans="1:9" ht="18.75" customHeight="1" x14ac:dyDescent="0.4">
      <c r="A3229" s="14" t="s">
        <v>2086</v>
      </c>
      <c r="B3229" s="16" t="str">
        <f>TRIM("中川会館老人憩の家")</f>
        <v>中川会館老人憩の家</v>
      </c>
      <c r="C3229" s="14" t="s">
        <v>1525</v>
      </c>
      <c r="D3229" s="14" t="s">
        <v>296</v>
      </c>
      <c r="E3229" s="1">
        <v>575.24</v>
      </c>
      <c r="F3229" s="2" t="s">
        <v>7271</v>
      </c>
      <c r="G3229" s="1"/>
      <c r="H3229" s="3"/>
      <c r="I3229" s="14" t="s">
        <v>1646</v>
      </c>
    </row>
    <row r="3230" spans="1:9" ht="18.75" customHeight="1" x14ac:dyDescent="0.4">
      <c r="A3230" s="14" t="s">
        <v>5257</v>
      </c>
      <c r="B3230" s="16" t="str">
        <f>TRIM("生野消防署中川出張所")</f>
        <v>生野消防署中川出張所</v>
      </c>
      <c r="C3230" s="14" t="s">
        <v>1525</v>
      </c>
      <c r="D3230" s="14" t="s">
        <v>296</v>
      </c>
      <c r="E3230" s="1">
        <v>879.6</v>
      </c>
      <c r="F3230" s="2"/>
      <c r="G3230" s="1">
        <v>936.08</v>
      </c>
      <c r="H3230" s="3"/>
      <c r="I3230" s="14" t="s">
        <v>5219</v>
      </c>
    </row>
    <row r="3231" spans="1:9" ht="18.75" customHeight="1" x14ac:dyDescent="0.4">
      <c r="A3231" s="14" t="s">
        <v>5895</v>
      </c>
      <c r="B3231" s="16" t="str">
        <f>TRIM("中川保育所")</f>
        <v>中川保育所</v>
      </c>
      <c r="C3231" s="14" t="s">
        <v>1525</v>
      </c>
      <c r="D3231" s="14" t="s">
        <v>296</v>
      </c>
      <c r="E3231" s="1">
        <v>812.19</v>
      </c>
      <c r="F3231" s="2"/>
      <c r="G3231" s="1">
        <v>477.93</v>
      </c>
      <c r="H3231" s="3"/>
      <c r="I3231" s="14" t="s">
        <v>5617</v>
      </c>
    </row>
    <row r="3232" spans="1:9" ht="18.75" customHeight="1" x14ac:dyDescent="0.4">
      <c r="A3232" s="14" t="s">
        <v>3042</v>
      </c>
      <c r="B3232" s="16" t="str">
        <f>TRIM("　中川公園")</f>
        <v>中川公園</v>
      </c>
      <c r="C3232" s="14" t="s">
        <v>1525</v>
      </c>
      <c r="D3232" s="14" t="s">
        <v>296</v>
      </c>
      <c r="E3232" s="1">
        <v>1069.48</v>
      </c>
      <c r="F3232" s="2"/>
      <c r="G3232" s="1"/>
      <c r="H3232" s="3"/>
      <c r="I3232" s="14" t="s">
        <v>2177</v>
      </c>
    </row>
    <row r="3233" spans="1:9" ht="18.75" customHeight="1" x14ac:dyDescent="0.4">
      <c r="A3233" s="14" t="s">
        <v>4963</v>
      </c>
      <c r="B3233" s="16" t="str">
        <f>TRIM("大池小学校")</f>
        <v>大池小学校</v>
      </c>
      <c r="C3233" s="14" t="s">
        <v>1525</v>
      </c>
      <c r="D3233" s="14" t="s">
        <v>1415</v>
      </c>
      <c r="E3233" s="1">
        <v>10204.950000000001</v>
      </c>
      <c r="F3233" s="2"/>
      <c r="G3233" s="1">
        <v>6720.4</v>
      </c>
      <c r="H3233" s="3"/>
      <c r="I3233" s="14" t="s">
        <v>4689</v>
      </c>
    </row>
    <row r="3234" spans="1:9" ht="18.75" customHeight="1" x14ac:dyDescent="0.4">
      <c r="A3234" s="14" t="s">
        <v>3045</v>
      </c>
      <c r="B3234" s="16" t="str">
        <f>TRIM("　中川南公園")</f>
        <v>中川南公園</v>
      </c>
      <c r="C3234" s="14" t="s">
        <v>1525</v>
      </c>
      <c r="D3234" s="14" t="s">
        <v>1155</v>
      </c>
      <c r="E3234" s="1">
        <v>836.23</v>
      </c>
      <c r="F3234" s="2"/>
      <c r="G3234" s="1"/>
      <c r="H3234" s="3"/>
      <c r="I3234" s="14" t="s">
        <v>2177</v>
      </c>
    </row>
    <row r="3235" spans="1:9" ht="18.75" customHeight="1" x14ac:dyDescent="0.4">
      <c r="A3235" s="14" t="s">
        <v>3041</v>
      </c>
      <c r="B3235" s="16" t="str">
        <f>TRIM("　中川6公園")</f>
        <v>中川6公園</v>
      </c>
      <c r="C3235" s="14" t="s">
        <v>1525</v>
      </c>
      <c r="D3235" s="14" t="s">
        <v>1152</v>
      </c>
      <c r="E3235" s="1">
        <v>704.13</v>
      </c>
      <c r="F3235" s="2"/>
      <c r="G3235" s="1"/>
      <c r="H3235" s="3"/>
      <c r="I3235" s="14" t="s">
        <v>2177</v>
      </c>
    </row>
    <row r="3236" spans="1:9" ht="18.75" customHeight="1" x14ac:dyDescent="0.4">
      <c r="A3236" s="14" t="s">
        <v>4544</v>
      </c>
      <c r="B3236" s="16" t="str">
        <f>TRIM("中川連合地域集会所")</f>
        <v>中川連合地域集会所</v>
      </c>
      <c r="C3236" s="14" t="s">
        <v>1525</v>
      </c>
      <c r="D3236" s="14" t="s">
        <v>659</v>
      </c>
      <c r="E3236" s="1">
        <v>150</v>
      </c>
      <c r="F3236" s="2"/>
      <c r="G3236" s="1"/>
      <c r="H3236" s="3"/>
      <c r="I3236" s="14" t="s">
        <v>1646</v>
      </c>
    </row>
    <row r="3237" spans="1:9" ht="18.75" customHeight="1" x14ac:dyDescent="0.4">
      <c r="A3237" s="14" t="s">
        <v>6149</v>
      </c>
      <c r="B3237" s="16" t="str">
        <f>TRIM("鶴橋霊園")</f>
        <v>鶴橋霊園</v>
      </c>
      <c r="C3237" s="14" t="s">
        <v>1525</v>
      </c>
      <c r="D3237" s="14" t="s">
        <v>659</v>
      </c>
      <c r="E3237" s="1">
        <v>2372.6</v>
      </c>
      <c r="F3237" s="2"/>
      <c r="G3237" s="1"/>
      <c r="H3237" s="3"/>
      <c r="I3237" s="14" t="s">
        <v>5977</v>
      </c>
    </row>
    <row r="3238" spans="1:9" ht="18.75" customHeight="1" x14ac:dyDescent="0.4">
      <c r="A3238" s="14" t="s">
        <v>3043</v>
      </c>
      <c r="B3238" s="16" t="str">
        <f>TRIM("　中川西公園")</f>
        <v>中川西公園</v>
      </c>
      <c r="C3238" s="14" t="s">
        <v>1525</v>
      </c>
      <c r="D3238" s="14" t="s">
        <v>1153</v>
      </c>
      <c r="E3238" s="1">
        <v>826.56</v>
      </c>
      <c r="F3238" s="2"/>
      <c r="G3238" s="1"/>
      <c r="H3238" s="3"/>
      <c r="I3238" s="14" t="s">
        <v>2177</v>
      </c>
    </row>
    <row r="3239" spans="1:9" ht="18.75" customHeight="1" x14ac:dyDescent="0.4">
      <c r="A3239" s="14" t="s">
        <v>3044</v>
      </c>
      <c r="B3239" s="16" t="str">
        <f>TRIM("　中川東2公園")</f>
        <v>中川東2公園</v>
      </c>
      <c r="C3239" s="14" t="s">
        <v>1525</v>
      </c>
      <c r="D3239" s="14" t="s">
        <v>1154</v>
      </c>
      <c r="E3239" s="1">
        <v>746.14</v>
      </c>
      <c r="F3239" s="2"/>
      <c r="G3239" s="1"/>
      <c r="H3239" s="3"/>
      <c r="I3239" s="14" t="s">
        <v>2177</v>
      </c>
    </row>
    <row r="3240" spans="1:9" ht="18.75" customHeight="1" x14ac:dyDescent="0.4">
      <c r="A3240" s="14" t="s">
        <v>2445</v>
      </c>
      <c r="B3240" s="16" t="str">
        <f>TRIM("生野線")</f>
        <v>生野線</v>
      </c>
      <c r="C3240" s="14" t="s">
        <v>1525</v>
      </c>
      <c r="D3240" s="14" t="s">
        <v>987</v>
      </c>
      <c r="E3240" s="1">
        <v>158.33000000000001</v>
      </c>
      <c r="F3240" s="2"/>
      <c r="G3240" s="1"/>
      <c r="H3240" s="3"/>
      <c r="I3240" s="14" t="s">
        <v>2177</v>
      </c>
    </row>
    <row r="3241" spans="1:9" ht="18.75" customHeight="1" x14ac:dyDescent="0.4">
      <c r="A3241" s="14" t="s">
        <v>7046</v>
      </c>
      <c r="B3241" s="16" t="str">
        <f>TRIM("過小地（もと生野公設市場）")</f>
        <v>過小地（もと生野公設市場）</v>
      </c>
      <c r="C3241" s="14" t="s">
        <v>1525</v>
      </c>
      <c r="D3241" s="14" t="s">
        <v>32</v>
      </c>
      <c r="E3241" s="1">
        <v>27.69</v>
      </c>
      <c r="F3241" s="2"/>
      <c r="G3241" s="1"/>
      <c r="H3241" s="3"/>
      <c r="I3241" s="14" t="s">
        <v>4115</v>
      </c>
    </row>
    <row r="3242" spans="1:9" ht="18.75" customHeight="1" x14ac:dyDescent="0.4">
      <c r="A3242" s="14" t="s">
        <v>2161</v>
      </c>
      <c r="B3242" s="16" t="str">
        <f>TRIM("林寺会館老人憩の家")</f>
        <v>林寺会館老人憩の家</v>
      </c>
      <c r="C3242" s="14" t="s">
        <v>1525</v>
      </c>
      <c r="D3242" s="14" t="s">
        <v>1300</v>
      </c>
      <c r="E3242" s="1">
        <v>394.63</v>
      </c>
      <c r="F3242" s="2"/>
      <c r="G3242" s="1">
        <v>223.86</v>
      </c>
      <c r="H3242" s="3"/>
      <c r="I3242" s="14" t="s">
        <v>1646</v>
      </c>
    </row>
    <row r="3243" spans="1:9" ht="18.75" customHeight="1" x14ac:dyDescent="0.4">
      <c r="A3243" s="14" t="s">
        <v>5143</v>
      </c>
      <c r="B3243" s="16" t="str">
        <f>TRIM("もと林寺小学校")</f>
        <v>もと林寺小学校</v>
      </c>
      <c r="C3243" s="14" t="s">
        <v>1525</v>
      </c>
      <c r="D3243" s="14" t="s">
        <v>1300</v>
      </c>
      <c r="E3243" s="1">
        <v>6714.04</v>
      </c>
      <c r="F3243" s="2"/>
      <c r="G3243" s="1">
        <v>4229.75</v>
      </c>
      <c r="H3243" s="3" t="s">
        <v>7353</v>
      </c>
      <c r="I3243" s="14" t="s">
        <v>1646</v>
      </c>
    </row>
    <row r="3244" spans="1:9" ht="18.75" customHeight="1" x14ac:dyDescent="0.4">
      <c r="A3244" s="14" t="s">
        <v>3521</v>
      </c>
      <c r="B3244" s="16" t="str">
        <f>TRIM("林寺西公園")</f>
        <v>林寺西公園</v>
      </c>
      <c r="C3244" s="14" t="s">
        <v>1525</v>
      </c>
      <c r="D3244" s="14" t="s">
        <v>1300</v>
      </c>
      <c r="E3244" s="1">
        <v>960.5</v>
      </c>
      <c r="F3244" s="2"/>
      <c r="G3244" s="1"/>
      <c r="H3244" s="3"/>
      <c r="I3244" s="14" t="s">
        <v>2177</v>
      </c>
    </row>
    <row r="3245" spans="1:9" ht="18.75" customHeight="1" x14ac:dyDescent="0.4">
      <c r="A3245" s="14" t="s">
        <v>4546</v>
      </c>
      <c r="B3245" s="16" t="str">
        <f>TRIM("林寺集会所")</f>
        <v>林寺集会所</v>
      </c>
      <c r="C3245" s="14" t="s">
        <v>1525</v>
      </c>
      <c r="D3245" s="14" t="s">
        <v>1300</v>
      </c>
      <c r="E3245" s="1"/>
      <c r="F3245" s="2"/>
      <c r="G3245" s="1">
        <v>102.32</v>
      </c>
      <c r="H3245" s="3"/>
      <c r="I3245" s="14" t="s">
        <v>1646</v>
      </c>
    </row>
    <row r="3246" spans="1:9" ht="18.75" customHeight="1" x14ac:dyDescent="0.4">
      <c r="A3246" s="14" t="s">
        <v>5763</v>
      </c>
      <c r="B3246" s="16" t="str">
        <f>TRIM("林寺保育園")</f>
        <v>林寺保育園</v>
      </c>
      <c r="C3246" s="14" t="s">
        <v>1525</v>
      </c>
      <c r="D3246" s="14" t="s">
        <v>553</v>
      </c>
      <c r="E3246" s="1">
        <v>1034.95</v>
      </c>
      <c r="F3246" s="2"/>
      <c r="G3246" s="1">
        <v>497.82</v>
      </c>
      <c r="H3246" s="3"/>
      <c r="I3246" s="14" t="s">
        <v>5617</v>
      </c>
    </row>
    <row r="3247" spans="1:9" ht="18.75" customHeight="1" x14ac:dyDescent="0.4">
      <c r="A3247" s="14" t="s">
        <v>2909</v>
      </c>
      <c r="B3247" s="16" t="str">
        <f>TRIM("　生野南公園")</f>
        <v>生野南公園</v>
      </c>
      <c r="C3247" s="14" t="s">
        <v>1525</v>
      </c>
      <c r="D3247" s="14" t="s">
        <v>553</v>
      </c>
      <c r="E3247" s="1">
        <v>2455.39</v>
      </c>
      <c r="F3247" s="2"/>
      <c r="G3247" s="1"/>
      <c r="H3247" s="3"/>
      <c r="I3247" s="14" t="s">
        <v>2177</v>
      </c>
    </row>
    <row r="3248" spans="1:9" ht="18.75" customHeight="1" x14ac:dyDescent="0.4">
      <c r="A3248" s="14" t="s">
        <v>4548</v>
      </c>
      <c r="B3248" s="16" t="str">
        <f>TRIM("もと生野南小学校")</f>
        <v>もと生野南小学校</v>
      </c>
      <c r="C3248" s="14" t="s">
        <v>1525</v>
      </c>
      <c r="D3248" s="14" t="s">
        <v>1404</v>
      </c>
      <c r="E3248" s="1">
        <v>10901.69</v>
      </c>
      <c r="F3248" s="2"/>
      <c r="G3248" s="1">
        <v>5680.63</v>
      </c>
      <c r="H3248" s="3" t="s">
        <v>7353</v>
      </c>
      <c r="I3248" s="14" t="s">
        <v>1646</v>
      </c>
    </row>
    <row r="3249" spans="1:9" ht="18.75" customHeight="1" x14ac:dyDescent="0.4">
      <c r="A3249" s="14" t="s">
        <v>2062</v>
      </c>
      <c r="B3249" s="16" t="str">
        <f>TRIM("生野南会館老人憩の家")</f>
        <v>生野南会館老人憩の家</v>
      </c>
      <c r="C3249" s="14" t="s">
        <v>1525</v>
      </c>
      <c r="D3249" s="14" t="s">
        <v>1404</v>
      </c>
      <c r="E3249" s="1">
        <v>200.66</v>
      </c>
      <c r="F3249" s="2"/>
      <c r="G3249" s="1"/>
      <c r="H3249" s="3"/>
      <c r="I3249" s="14" t="s">
        <v>1646</v>
      </c>
    </row>
    <row r="3250" spans="1:9" ht="18.75" customHeight="1" x14ac:dyDescent="0.4">
      <c r="A3250" s="14" t="s">
        <v>4907</v>
      </c>
      <c r="B3250" s="16" t="str">
        <f>TRIM("生野南小学校")</f>
        <v>生野南小学校</v>
      </c>
      <c r="C3250" s="14" t="s">
        <v>1525</v>
      </c>
      <c r="D3250" s="14" t="s">
        <v>1404</v>
      </c>
      <c r="E3250" s="1"/>
      <c r="F3250" s="2"/>
      <c r="G3250" s="1">
        <v>154.93</v>
      </c>
      <c r="H3250" s="3"/>
      <c r="I3250" s="14" t="s">
        <v>4689</v>
      </c>
    </row>
    <row r="3251" spans="1:9" ht="18.75" customHeight="1" x14ac:dyDescent="0.4">
      <c r="A3251" s="14" t="s">
        <v>5612</v>
      </c>
      <c r="B3251" s="16" t="str">
        <f>TRIM("生野警察署林寺交番")</f>
        <v>生野警察署林寺交番</v>
      </c>
      <c r="C3251" s="14" t="s">
        <v>1525</v>
      </c>
      <c r="D3251" s="14" t="s">
        <v>1404</v>
      </c>
      <c r="E3251" s="1">
        <v>43.31</v>
      </c>
      <c r="F3251" s="2"/>
      <c r="G3251" s="1"/>
      <c r="H3251" s="3"/>
      <c r="I3251" s="14" t="s">
        <v>5349</v>
      </c>
    </row>
    <row r="3252" spans="1:9" ht="18.75" customHeight="1" x14ac:dyDescent="0.4">
      <c r="A3252" s="14" t="s">
        <v>3164</v>
      </c>
      <c r="B3252" s="16" t="str">
        <f>TRIM("　桃谷公園")</f>
        <v>桃谷公園</v>
      </c>
      <c r="C3252" s="14" t="s">
        <v>1525</v>
      </c>
      <c r="D3252" s="14" t="s">
        <v>1198</v>
      </c>
      <c r="E3252" s="1">
        <v>16608.46</v>
      </c>
      <c r="F3252" s="2"/>
      <c r="G3252" s="1"/>
      <c r="H3252" s="3"/>
      <c r="I3252" s="14" t="s">
        <v>2177</v>
      </c>
    </row>
    <row r="3253" spans="1:9" ht="18.75" customHeight="1" x14ac:dyDescent="0.4">
      <c r="A3253" s="14" t="s">
        <v>3650</v>
      </c>
      <c r="B3253" s="16" t="str">
        <f>TRIM("　桃谷公園")</f>
        <v>桃谷公園</v>
      </c>
      <c r="C3253" s="14" t="s">
        <v>1525</v>
      </c>
      <c r="D3253" s="14" t="s">
        <v>1198</v>
      </c>
      <c r="E3253" s="1"/>
      <c r="F3253" s="2"/>
      <c r="G3253" s="1">
        <v>52.45</v>
      </c>
      <c r="H3253" s="3"/>
      <c r="I3253" s="14" t="s">
        <v>2177</v>
      </c>
    </row>
    <row r="3254" spans="1:9" ht="18.75" customHeight="1" x14ac:dyDescent="0.4">
      <c r="A3254" s="14" t="s">
        <v>4993</v>
      </c>
      <c r="B3254" s="16" t="str">
        <f>TRIM("鶴橋小学校")</f>
        <v>鶴橋小学校</v>
      </c>
      <c r="C3254" s="14" t="s">
        <v>1525</v>
      </c>
      <c r="D3254" s="14" t="s">
        <v>513</v>
      </c>
      <c r="E3254" s="1">
        <v>8452.91</v>
      </c>
      <c r="F3254" s="2"/>
      <c r="G3254" s="1">
        <v>5957.92</v>
      </c>
      <c r="H3254" s="3"/>
      <c r="I3254" s="14" t="s">
        <v>4689</v>
      </c>
    </row>
    <row r="3255" spans="1:9" ht="18.75" customHeight="1" x14ac:dyDescent="0.4">
      <c r="A3255" s="14" t="s">
        <v>5807</v>
      </c>
      <c r="B3255" s="16" t="str">
        <f>TRIM("鶴橋幼稚園")</f>
        <v>鶴橋幼稚園</v>
      </c>
      <c r="C3255" s="14" t="s">
        <v>1525</v>
      </c>
      <c r="D3255" s="14" t="s">
        <v>513</v>
      </c>
      <c r="E3255" s="1">
        <v>2345</v>
      </c>
      <c r="F3255" s="2"/>
      <c r="G3255" s="1">
        <v>833.5</v>
      </c>
      <c r="H3255" s="3"/>
      <c r="I3255" s="14" t="s">
        <v>5617</v>
      </c>
    </row>
    <row r="3256" spans="1:9" ht="18.75" customHeight="1" x14ac:dyDescent="0.4">
      <c r="A3256" s="14" t="s">
        <v>2542</v>
      </c>
      <c r="B3256" s="16" t="str">
        <f>TRIM("　みゆき公園")</f>
        <v>みゆき公園</v>
      </c>
      <c r="C3256" s="14" t="s">
        <v>1525</v>
      </c>
      <c r="D3256" s="14" t="s">
        <v>77</v>
      </c>
      <c r="E3256" s="1">
        <v>654.30999999999995</v>
      </c>
      <c r="F3256" s="2"/>
      <c r="G3256" s="1"/>
      <c r="H3256" s="3"/>
      <c r="I3256" s="14" t="s">
        <v>2177</v>
      </c>
    </row>
    <row r="3257" spans="1:9" ht="18.75" customHeight="1" x14ac:dyDescent="0.4">
      <c r="A3257" s="14" t="s">
        <v>3165</v>
      </c>
      <c r="B3257" s="16" t="str">
        <f>TRIM("　桃谷南公園")</f>
        <v>桃谷南公園</v>
      </c>
      <c r="C3257" s="14" t="s">
        <v>1525</v>
      </c>
      <c r="D3257" s="14" t="s">
        <v>77</v>
      </c>
      <c r="E3257" s="1">
        <v>566.42999999999995</v>
      </c>
      <c r="F3257" s="2"/>
      <c r="G3257" s="1"/>
      <c r="H3257" s="3"/>
      <c r="I3257" s="14" t="s">
        <v>2177</v>
      </c>
    </row>
    <row r="3258" spans="1:9" ht="18.75" customHeight="1" x14ac:dyDescent="0.4">
      <c r="A3258" s="14" t="s">
        <v>3398</v>
      </c>
      <c r="B3258" s="16" t="str">
        <f>TRIM("つるのはし跡公園")</f>
        <v>つるのはし跡公園</v>
      </c>
      <c r="C3258" s="14" t="s">
        <v>1525</v>
      </c>
      <c r="D3258" s="14" t="s">
        <v>77</v>
      </c>
      <c r="E3258" s="1">
        <v>70.16</v>
      </c>
      <c r="F3258" s="2"/>
      <c r="G3258" s="1"/>
      <c r="H3258" s="3"/>
      <c r="I3258" s="14" t="s">
        <v>2177</v>
      </c>
    </row>
    <row r="3259" spans="1:9" ht="18.75" customHeight="1" x14ac:dyDescent="0.4">
      <c r="A3259" s="14" t="s">
        <v>5471</v>
      </c>
      <c r="B3259" s="16" t="str">
        <f>TRIM("契約管財局賃貸地（生野）")</f>
        <v>契約管財局賃貸地（生野）</v>
      </c>
      <c r="C3259" s="14" t="s">
        <v>1525</v>
      </c>
      <c r="D3259" s="14" t="s">
        <v>77</v>
      </c>
      <c r="E3259" s="1">
        <v>677.55</v>
      </c>
      <c r="F3259" s="2"/>
      <c r="G3259" s="1"/>
      <c r="H3259" s="3"/>
      <c r="I3259" s="14" t="s">
        <v>5349</v>
      </c>
    </row>
    <row r="3260" spans="1:9" ht="18.75" customHeight="1" x14ac:dyDescent="0.4">
      <c r="A3260" s="14" t="s">
        <v>5762</v>
      </c>
      <c r="B3260" s="16" t="str">
        <f>TRIM("北桃谷乳児保育園")</f>
        <v>北桃谷乳児保育園</v>
      </c>
      <c r="C3260" s="14" t="s">
        <v>1525</v>
      </c>
      <c r="D3260" s="14" t="s">
        <v>77</v>
      </c>
      <c r="E3260" s="1">
        <v>1250.04</v>
      </c>
      <c r="F3260" s="2"/>
      <c r="G3260" s="1"/>
      <c r="H3260" s="3"/>
      <c r="I3260" s="14" t="s">
        <v>5617</v>
      </c>
    </row>
    <row r="3261" spans="1:9" ht="18.75" customHeight="1" x14ac:dyDescent="0.4">
      <c r="A3261" s="14" t="s">
        <v>7108</v>
      </c>
      <c r="B3261" s="16" t="str">
        <f>TRIM("生野屋内プール")</f>
        <v>生野屋内プール</v>
      </c>
      <c r="C3261" s="14" t="s">
        <v>1525</v>
      </c>
      <c r="D3261" s="14" t="s">
        <v>77</v>
      </c>
      <c r="E3261" s="1"/>
      <c r="F3261" s="2"/>
      <c r="G3261" s="1">
        <v>2998.85</v>
      </c>
      <c r="H3261" s="3"/>
      <c r="I3261" s="14" t="s">
        <v>4115</v>
      </c>
    </row>
    <row r="3262" spans="1:9" ht="18.75" customHeight="1" x14ac:dyDescent="0.4">
      <c r="A3262" s="14" t="s">
        <v>7109</v>
      </c>
      <c r="B3262" s="16" t="str">
        <f>TRIM("生野温水プール")</f>
        <v>生野温水プール</v>
      </c>
      <c r="C3262" s="14" t="s">
        <v>1525</v>
      </c>
      <c r="D3262" s="14" t="s">
        <v>77</v>
      </c>
      <c r="E3262" s="1">
        <v>1812.04</v>
      </c>
      <c r="F3262" s="2"/>
      <c r="G3262" s="1"/>
      <c r="H3262" s="3"/>
      <c r="I3262" s="14" t="s">
        <v>4115</v>
      </c>
    </row>
    <row r="3263" spans="1:9" ht="18.75" customHeight="1" x14ac:dyDescent="0.4">
      <c r="A3263" s="14" t="s">
        <v>5904</v>
      </c>
      <c r="B3263" s="16" t="str">
        <f>TRIM("もと鶴橋保育所")</f>
        <v>もと鶴橋保育所</v>
      </c>
      <c r="C3263" s="14" t="s">
        <v>1525</v>
      </c>
      <c r="D3263" s="14" t="s">
        <v>589</v>
      </c>
      <c r="E3263" s="1">
        <v>686.04</v>
      </c>
      <c r="F3263" s="2">
        <v>1879</v>
      </c>
      <c r="G3263" s="1">
        <v>422.19</v>
      </c>
      <c r="H3263" s="3" t="s">
        <v>7353</v>
      </c>
      <c r="I3263" s="14" t="s">
        <v>5617</v>
      </c>
    </row>
    <row r="3264" spans="1:9" ht="18.75" customHeight="1" x14ac:dyDescent="0.4">
      <c r="A3264" s="14" t="s">
        <v>4547</v>
      </c>
      <c r="B3264" s="16" t="str">
        <f>TRIM("もと御幸森小学校")</f>
        <v>もと御幸森小学校</v>
      </c>
      <c r="C3264" s="14" t="s">
        <v>1525</v>
      </c>
      <c r="D3264" s="14" t="s">
        <v>589</v>
      </c>
      <c r="E3264" s="1">
        <v>7774.76</v>
      </c>
      <c r="F3264" s="2"/>
      <c r="G3264" s="1">
        <v>6463.72</v>
      </c>
      <c r="H3264" s="3" t="s">
        <v>7353</v>
      </c>
      <c r="I3264" s="14" t="s">
        <v>1646</v>
      </c>
    </row>
    <row r="3265" spans="1:9" ht="18.75" customHeight="1" x14ac:dyDescent="0.4">
      <c r="A3265" s="14" t="s">
        <v>2018</v>
      </c>
      <c r="B3265" s="16" t="str">
        <f>TRIM("御幸森老人憩の家")</f>
        <v>御幸森老人憩の家</v>
      </c>
      <c r="C3265" s="14" t="s">
        <v>1525</v>
      </c>
      <c r="D3265" s="14" t="s">
        <v>589</v>
      </c>
      <c r="E3265" s="1">
        <v>270</v>
      </c>
      <c r="F3265" s="2"/>
      <c r="G3265" s="1"/>
      <c r="H3265" s="3"/>
      <c r="I3265" s="14" t="s">
        <v>1646</v>
      </c>
    </row>
    <row r="3266" spans="1:9" ht="18.75" customHeight="1" x14ac:dyDescent="0.4">
      <c r="A3266" s="14" t="s">
        <v>2680</v>
      </c>
      <c r="B3266" s="16" t="str">
        <f>TRIM("　御幸森公園")</f>
        <v>御幸森公園</v>
      </c>
      <c r="C3266" s="14" t="s">
        <v>1525</v>
      </c>
      <c r="D3266" s="14" t="s">
        <v>589</v>
      </c>
      <c r="E3266" s="1">
        <v>1181.75</v>
      </c>
      <c r="F3266" s="2"/>
      <c r="G3266" s="1"/>
      <c r="H3266" s="3"/>
      <c r="I3266" s="14" t="s">
        <v>2177</v>
      </c>
    </row>
    <row r="3267" spans="1:9" ht="18.75" customHeight="1" x14ac:dyDescent="0.4">
      <c r="A3267" s="14" t="s">
        <v>2681</v>
      </c>
      <c r="B3267" s="16" t="str">
        <f>TRIM("　御幸森第2公園")</f>
        <v>御幸森第2公園</v>
      </c>
      <c r="C3267" s="14" t="s">
        <v>1525</v>
      </c>
      <c r="D3267" s="14" t="s">
        <v>589</v>
      </c>
      <c r="E3267" s="1">
        <v>2775.9</v>
      </c>
      <c r="F3267" s="2"/>
      <c r="G3267" s="1"/>
      <c r="H3267" s="3"/>
      <c r="I3267" s="14" t="s">
        <v>2177</v>
      </c>
    </row>
    <row r="3268" spans="1:9" ht="18.75" customHeight="1" x14ac:dyDescent="0.4">
      <c r="A3268" s="14" t="s">
        <v>4555</v>
      </c>
      <c r="B3268" s="16" t="str">
        <f>TRIM("城北集会所")</f>
        <v>城北集会所</v>
      </c>
      <c r="C3268" s="14" t="s">
        <v>1532</v>
      </c>
      <c r="D3268" s="14" t="s">
        <v>774</v>
      </c>
      <c r="E3268" s="1">
        <v>362.92</v>
      </c>
      <c r="F3268" s="2"/>
      <c r="G3268" s="1">
        <v>104.34</v>
      </c>
      <c r="H3268" s="3"/>
      <c r="I3268" s="14" t="s">
        <v>2017</v>
      </c>
    </row>
    <row r="3269" spans="1:9" ht="18.75" customHeight="1" x14ac:dyDescent="0.4">
      <c r="A3269" s="14" t="s">
        <v>2949</v>
      </c>
      <c r="B3269" s="16" t="str">
        <f>TRIM("　赤川南公園")</f>
        <v>赤川南公園</v>
      </c>
      <c r="C3269" s="14" t="s">
        <v>1532</v>
      </c>
      <c r="D3269" s="14" t="s">
        <v>774</v>
      </c>
      <c r="E3269" s="1">
        <v>705.69</v>
      </c>
      <c r="F3269" s="2"/>
      <c r="G3269" s="1"/>
      <c r="H3269" s="3"/>
      <c r="I3269" s="14" t="s">
        <v>2177</v>
      </c>
    </row>
    <row r="3270" spans="1:9" ht="18.75" customHeight="1" x14ac:dyDescent="0.4">
      <c r="A3270" s="14" t="s">
        <v>6460</v>
      </c>
      <c r="B3270" s="16" t="str">
        <f>TRIM("赤川住宅")</f>
        <v>赤川住宅</v>
      </c>
      <c r="C3270" s="14" t="s">
        <v>1532</v>
      </c>
      <c r="D3270" s="14" t="s">
        <v>774</v>
      </c>
      <c r="E3270" s="1">
        <v>3391.11</v>
      </c>
      <c r="F3270" s="2"/>
      <c r="G3270" s="1"/>
      <c r="H3270" s="3"/>
      <c r="I3270" s="14" t="s">
        <v>6177</v>
      </c>
    </row>
    <row r="3271" spans="1:9" ht="18.75" customHeight="1" x14ac:dyDescent="0.4">
      <c r="A3271" s="14" t="s">
        <v>5230</v>
      </c>
      <c r="B3271" s="16" t="str">
        <f>TRIM("旭消防署赤川出張所")</f>
        <v>旭消防署赤川出張所</v>
      </c>
      <c r="C3271" s="14" t="s">
        <v>1532</v>
      </c>
      <c r="D3271" s="14" t="s">
        <v>485</v>
      </c>
      <c r="E3271" s="1">
        <v>317.13</v>
      </c>
      <c r="F3271" s="2"/>
      <c r="G3271" s="1">
        <v>203.88</v>
      </c>
      <c r="H3271" s="3"/>
      <c r="I3271" s="14" t="s">
        <v>5219</v>
      </c>
    </row>
    <row r="3272" spans="1:9" ht="18.75" customHeight="1" x14ac:dyDescent="0.4">
      <c r="A3272" s="14" t="s">
        <v>5648</v>
      </c>
      <c r="B3272" s="16" t="str">
        <f>TRIM("赤川児童遊園")</f>
        <v>赤川児童遊園</v>
      </c>
      <c r="C3272" s="14" t="s">
        <v>1532</v>
      </c>
      <c r="D3272" s="14" t="s">
        <v>485</v>
      </c>
      <c r="E3272" s="1">
        <v>165.18</v>
      </c>
      <c r="F3272" s="2"/>
      <c r="G3272" s="1"/>
      <c r="H3272" s="3"/>
      <c r="I3272" s="14" t="s">
        <v>5617</v>
      </c>
    </row>
    <row r="3273" spans="1:9" ht="18.75" customHeight="1" x14ac:dyDescent="0.4">
      <c r="A3273" s="14" t="s">
        <v>5882</v>
      </c>
      <c r="B3273" s="16" t="str">
        <f>TRIM("もと赤川保育所")</f>
        <v>もと赤川保育所</v>
      </c>
      <c r="C3273" s="14" t="s">
        <v>1532</v>
      </c>
      <c r="D3273" s="14" t="s">
        <v>485</v>
      </c>
      <c r="E3273" s="1">
        <v>542.59</v>
      </c>
      <c r="F3273" s="2"/>
      <c r="G3273" s="1"/>
      <c r="H3273" s="3"/>
      <c r="I3273" s="14" t="s">
        <v>5617</v>
      </c>
    </row>
    <row r="3274" spans="1:9" ht="18.75" customHeight="1" x14ac:dyDescent="0.4">
      <c r="A3274" s="14" t="s">
        <v>6461</v>
      </c>
      <c r="B3274" s="16" t="str">
        <f>TRIM("赤川西住宅")</f>
        <v>赤川西住宅</v>
      </c>
      <c r="C3274" s="14" t="s">
        <v>1532</v>
      </c>
      <c r="D3274" s="14" t="s">
        <v>775</v>
      </c>
      <c r="E3274" s="1">
        <v>9085.91</v>
      </c>
      <c r="F3274" s="2">
        <v>432</v>
      </c>
      <c r="G3274" s="1">
        <v>3425.14</v>
      </c>
      <c r="H3274" s="3"/>
      <c r="I3274" s="14" t="s">
        <v>6177</v>
      </c>
    </row>
    <row r="3275" spans="1:9" ht="18.75" customHeight="1" x14ac:dyDescent="0.4">
      <c r="A3275" s="14" t="s">
        <v>4868</v>
      </c>
      <c r="B3275" s="16" t="str">
        <f>TRIM("城北小学校")</f>
        <v>城北小学校</v>
      </c>
      <c r="C3275" s="14" t="s">
        <v>1532</v>
      </c>
      <c r="D3275" s="14" t="s">
        <v>775</v>
      </c>
      <c r="E3275" s="1">
        <v>9984.7999999999993</v>
      </c>
      <c r="F3275" s="2"/>
      <c r="G3275" s="1">
        <v>11341.62</v>
      </c>
      <c r="H3275" s="3"/>
      <c r="I3275" s="14" t="s">
        <v>4689</v>
      </c>
    </row>
    <row r="3276" spans="1:9" ht="18.75" customHeight="1" x14ac:dyDescent="0.4">
      <c r="A3276" s="14" t="s">
        <v>2289</v>
      </c>
      <c r="B3276" s="16" t="str">
        <f>TRIM("中津太子橋線（旭）（管財課）")</f>
        <v>中津太子橋線（旭）（管財課）</v>
      </c>
      <c r="C3276" s="14" t="s">
        <v>1532</v>
      </c>
      <c r="D3276" s="14" t="s">
        <v>775</v>
      </c>
      <c r="E3276" s="1">
        <v>6346.42</v>
      </c>
      <c r="F3276" s="2"/>
      <c r="G3276" s="1"/>
      <c r="H3276" s="3"/>
      <c r="I3276" s="14" t="s">
        <v>2177</v>
      </c>
    </row>
    <row r="3277" spans="1:9" ht="18.75" customHeight="1" x14ac:dyDescent="0.4">
      <c r="A3277" s="14" t="s">
        <v>2051</v>
      </c>
      <c r="B3277" s="16" t="str">
        <f>TRIM("城北老人憩の家")</f>
        <v>城北老人憩の家</v>
      </c>
      <c r="C3277" s="14" t="s">
        <v>1532</v>
      </c>
      <c r="D3277" s="14" t="s">
        <v>1122</v>
      </c>
      <c r="E3277" s="1">
        <v>245.71</v>
      </c>
      <c r="F3277" s="2"/>
      <c r="G3277" s="1"/>
      <c r="H3277" s="3"/>
      <c r="I3277" s="14" t="s">
        <v>2017</v>
      </c>
    </row>
    <row r="3278" spans="1:9" ht="18.75" customHeight="1" x14ac:dyDescent="0.4">
      <c r="A3278" s="14" t="s">
        <v>2948</v>
      </c>
      <c r="B3278" s="16" t="str">
        <f>TRIM("　赤川公園")</f>
        <v>赤川公園</v>
      </c>
      <c r="C3278" s="14" t="s">
        <v>1532</v>
      </c>
      <c r="D3278" s="14" t="s">
        <v>1122</v>
      </c>
      <c r="E3278" s="1">
        <v>687.21</v>
      </c>
      <c r="F3278" s="2"/>
      <c r="G3278" s="1"/>
      <c r="H3278" s="3"/>
      <c r="I3278" s="14" t="s">
        <v>2177</v>
      </c>
    </row>
    <row r="3279" spans="1:9" ht="18.75" customHeight="1" x14ac:dyDescent="0.4">
      <c r="A3279" s="14" t="s">
        <v>5531</v>
      </c>
      <c r="B3279" s="16" t="str">
        <f>TRIM("廃溝（旭）")</f>
        <v>廃溝（旭）</v>
      </c>
      <c r="C3279" s="14" t="s">
        <v>1532</v>
      </c>
      <c r="D3279" s="14" t="s">
        <v>252</v>
      </c>
      <c r="E3279" s="1">
        <v>119</v>
      </c>
      <c r="F3279" s="2"/>
      <c r="G3279" s="1"/>
      <c r="H3279" s="3"/>
      <c r="I3279" s="14" t="s">
        <v>5349</v>
      </c>
    </row>
    <row r="3280" spans="1:9" ht="18.75" customHeight="1" x14ac:dyDescent="0.4">
      <c r="A3280" s="14" t="s">
        <v>4903</v>
      </c>
      <c r="B3280" s="16" t="str">
        <f>TRIM("生江小学校")</f>
        <v>生江小学校</v>
      </c>
      <c r="C3280" s="14" t="s">
        <v>1532</v>
      </c>
      <c r="D3280" s="14" t="s">
        <v>1107</v>
      </c>
      <c r="E3280" s="1">
        <v>11624.82</v>
      </c>
      <c r="F3280" s="2"/>
      <c r="G3280" s="1">
        <v>8863.67</v>
      </c>
      <c r="H3280" s="3"/>
      <c r="I3280" s="14" t="s">
        <v>4689</v>
      </c>
    </row>
    <row r="3281" spans="1:9" ht="18.75" customHeight="1" x14ac:dyDescent="0.4">
      <c r="A3281" s="14" t="s">
        <v>2061</v>
      </c>
      <c r="B3281" s="16" t="str">
        <f>TRIM("生江憩の家")</f>
        <v>生江憩の家</v>
      </c>
      <c r="C3281" s="14" t="s">
        <v>1532</v>
      </c>
      <c r="D3281" s="14" t="s">
        <v>1107</v>
      </c>
      <c r="E3281" s="1">
        <v>100</v>
      </c>
      <c r="F3281" s="2"/>
      <c r="G3281" s="1"/>
      <c r="H3281" s="3"/>
      <c r="I3281" s="14" t="s">
        <v>2017</v>
      </c>
    </row>
    <row r="3282" spans="1:9" ht="18.75" customHeight="1" x14ac:dyDescent="0.4">
      <c r="A3282" s="14" t="s">
        <v>2904</v>
      </c>
      <c r="B3282" s="16" t="str">
        <f>TRIM("　生江南公園")</f>
        <v>生江南公園</v>
      </c>
      <c r="C3282" s="14" t="s">
        <v>1532</v>
      </c>
      <c r="D3282" s="14" t="s">
        <v>1107</v>
      </c>
      <c r="E3282" s="1">
        <v>1019.06</v>
      </c>
      <c r="F3282" s="2"/>
      <c r="G3282" s="1"/>
      <c r="H3282" s="3"/>
      <c r="I3282" s="14" t="s">
        <v>2177</v>
      </c>
    </row>
    <row r="3283" spans="1:9" ht="18.75" customHeight="1" x14ac:dyDescent="0.4">
      <c r="A3283" s="14" t="s">
        <v>3446</v>
      </c>
      <c r="B3283" s="16" t="str">
        <f>TRIM("生江西公園")</f>
        <v>生江西公園</v>
      </c>
      <c r="C3283" s="14" t="s">
        <v>1532</v>
      </c>
      <c r="D3283" s="14" t="s">
        <v>1107</v>
      </c>
      <c r="E3283" s="1">
        <v>911.39</v>
      </c>
      <c r="F3283" s="2"/>
      <c r="G3283" s="1"/>
      <c r="H3283" s="3"/>
      <c r="I3283" s="14" t="s">
        <v>2177</v>
      </c>
    </row>
    <row r="3284" spans="1:9" ht="18.75" customHeight="1" x14ac:dyDescent="0.4">
      <c r="A3284" s="14" t="s">
        <v>2903</v>
      </c>
      <c r="B3284" s="16" t="str">
        <f>TRIM("　生江東公園")</f>
        <v>生江東公園</v>
      </c>
      <c r="C3284" s="14" t="s">
        <v>1532</v>
      </c>
      <c r="D3284" s="14" t="s">
        <v>650</v>
      </c>
      <c r="E3284" s="1">
        <v>972.13</v>
      </c>
      <c r="F3284" s="2"/>
      <c r="G3284" s="1"/>
      <c r="H3284" s="3"/>
      <c r="I3284" s="14" t="s">
        <v>2177</v>
      </c>
    </row>
    <row r="3285" spans="1:9" ht="18.75" customHeight="1" x14ac:dyDescent="0.4">
      <c r="A3285" s="14" t="s">
        <v>6134</v>
      </c>
      <c r="B3285" s="16" t="str">
        <f>TRIM("生江霊園")</f>
        <v>生江霊園</v>
      </c>
      <c r="C3285" s="14" t="s">
        <v>1532</v>
      </c>
      <c r="D3285" s="14" t="s">
        <v>650</v>
      </c>
      <c r="E3285" s="1">
        <v>608.26</v>
      </c>
      <c r="F3285" s="2"/>
      <c r="G3285" s="1"/>
      <c r="H3285" s="3"/>
      <c r="I3285" s="14" t="s">
        <v>5977</v>
      </c>
    </row>
    <row r="3286" spans="1:9" ht="18.75" customHeight="1" x14ac:dyDescent="0.4">
      <c r="A3286" s="14" t="s">
        <v>5656</v>
      </c>
      <c r="B3286" s="16" t="str">
        <f>TRIM("もと生江保育所")</f>
        <v>もと生江保育所</v>
      </c>
      <c r="C3286" s="14" t="s">
        <v>1532</v>
      </c>
      <c r="D3286" s="14" t="s">
        <v>99</v>
      </c>
      <c r="E3286" s="1">
        <v>687.09</v>
      </c>
      <c r="F3286" s="2">
        <v>1880</v>
      </c>
      <c r="G3286" s="1"/>
      <c r="H3286" s="3"/>
      <c r="I3286" s="14" t="s">
        <v>5617</v>
      </c>
    </row>
    <row r="3287" spans="1:9" ht="18.75" customHeight="1" x14ac:dyDescent="0.4">
      <c r="A3287" s="14" t="s">
        <v>6985</v>
      </c>
      <c r="B3287" s="16" t="str">
        <f>TRIM("もと生江診療所")</f>
        <v>もと生江診療所</v>
      </c>
      <c r="C3287" s="14" t="s">
        <v>1532</v>
      </c>
      <c r="D3287" s="14" t="s">
        <v>99</v>
      </c>
      <c r="E3287" s="1">
        <v>346.75</v>
      </c>
      <c r="F3287" s="2">
        <v>1984</v>
      </c>
      <c r="G3287" s="1">
        <v>375.51</v>
      </c>
      <c r="H3287" s="3" t="s">
        <v>7353</v>
      </c>
      <c r="I3287" s="14" t="s">
        <v>2402</v>
      </c>
    </row>
    <row r="3288" spans="1:9" ht="18.75" customHeight="1" x14ac:dyDescent="0.4">
      <c r="A3288" s="14" t="s">
        <v>6253</v>
      </c>
      <c r="B3288" s="16" t="str">
        <f>TRIM("生江住宅")</f>
        <v>生江住宅</v>
      </c>
      <c r="C3288" s="14" t="s">
        <v>1532</v>
      </c>
      <c r="D3288" s="14" t="s">
        <v>99</v>
      </c>
      <c r="E3288" s="1">
        <v>211.79</v>
      </c>
      <c r="F3288" s="2" t="s">
        <v>7350</v>
      </c>
      <c r="G3288" s="1"/>
      <c r="H3288" s="3"/>
      <c r="I3288" s="14" t="s">
        <v>6177</v>
      </c>
    </row>
    <row r="3289" spans="1:9" ht="18.75" customHeight="1" x14ac:dyDescent="0.4">
      <c r="A3289" s="14" t="s">
        <v>6444</v>
      </c>
      <c r="B3289" s="16" t="str">
        <f>TRIM("生江住宅")</f>
        <v>生江住宅</v>
      </c>
      <c r="C3289" s="14" t="s">
        <v>1532</v>
      </c>
      <c r="D3289" s="14" t="s">
        <v>99</v>
      </c>
      <c r="E3289" s="1">
        <v>20538.23</v>
      </c>
      <c r="F3289" s="2" t="s">
        <v>7349</v>
      </c>
      <c r="G3289" s="1">
        <v>4902.97</v>
      </c>
      <c r="H3289" s="3"/>
      <c r="I3289" s="14" t="s">
        <v>6177</v>
      </c>
    </row>
    <row r="3290" spans="1:9" ht="18.75" customHeight="1" x14ac:dyDescent="0.4">
      <c r="A3290" s="14" t="s">
        <v>6430</v>
      </c>
      <c r="B3290" s="16" t="str">
        <f>TRIM("新生江住宅")</f>
        <v>新生江住宅</v>
      </c>
      <c r="C3290" s="14" t="s">
        <v>1532</v>
      </c>
      <c r="D3290" s="14" t="s">
        <v>99</v>
      </c>
      <c r="E3290" s="1">
        <v>4179.0600000000004</v>
      </c>
      <c r="F3290" s="2"/>
      <c r="G3290" s="1">
        <v>13834.36</v>
      </c>
      <c r="H3290" s="3"/>
      <c r="I3290" s="14" t="s">
        <v>6177</v>
      </c>
    </row>
    <row r="3291" spans="1:9" ht="18.75" customHeight="1" x14ac:dyDescent="0.4">
      <c r="A3291" s="14" t="s">
        <v>1601</v>
      </c>
      <c r="B3291" s="16" t="str">
        <f>TRIM("もと市民交流センターあさひ西")</f>
        <v>もと市民交流センターあさひ西</v>
      </c>
      <c r="C3291" s="14" t="s">
        <v>1532</v>
      </c>
      <c r="D3291" s="14" t="s">
        <v>99</v>
      </c>
      <c r="E3291" s="1">
        <v>165.28</v>
      </c>
      <c r="F3291" s="2"/>
      <c r="G3291" s="1"/>
      <c r="H3291" s="3"/>
      <c r="I3291" s="14" t="s">
        <v>1598</v>
      </c>
    </row>
    <row r="3292" spans="1:9" ht="18.75" customHeight="1" x14ac:dyDescent="0.4">
      <c r="A3292" s="14" t="s">
        <v>1888</v>
      </c>
      <c r="B3292" s="16" t="str">
        <f>TRIM("生江地域在宅サービスステーション")</f>
        <v>生江地域在宅サービスステーション</v>
      </c>
      <c r="C3292" s="14" t="s">
        <v>1532</v>
      </c>
      <c r="D3292" s="14" t="s">
        <v>99</v>
      </c>
      <c r="E3292" s="1">
        <v>349.83</v>
      </c>
      <c r="F3292" s="2"/>
      <c r="G3292" s="1"/>
      <c r="H3292" s="3"/>
      <c r="I3292" s="14" t="s">
        <v>1654</v>
      </c>
    </row>
    <row r="3293" spans="1:9" ht="18.75" customHeight="1" x14ac:dyDescent="0.4">
      <c r="A3293" s="14" t="s">
        <v>1889</v>
      </c>
      <c r="B3293" s="16" t="str">
        <f>TRIM("生江特別養護老人ホーム白寿荘")</f>
        <v>生江特別養護老人ホーム白寿荘</v>
      </c>
      <c r="C3293" s="14" t="s">
        <v>1532</v>
      </c>
      <c r="D3293" s="14" t="s">
        <v>99</v>
      </c>
      <c r="E3293" s="1">
        <v>2128.5300000000002</v>
      </c>
      <c r="F3293" s="2"/>
      <c r="G3293" s="1"/>
      <c r="H3293" s="3"/>
      <c r="I3293" s="14" t="s">
        <v>1654</v>
      </c>
    </row>
    <row r="3294" spans="1:9" ht="18.75" customHeight="1" x14ac:dyDescent="0.4">
      <c r="A3294" s="14" t="s">
        <v>2401</v>
      </c>
      <c r="B3294" s="16" t="str">
        <f>TRIM("動物愛護体験学習センター")</f>
        <v>動物愛護体験学習センター</v>
      </c>
      <c r="C3294" s="14" t="s">
        <v>1532</v>
      </c>
      <c r="D3294" s="14" t="s">
        <v>99</v>
      </c>
      <c r="E3294" s="1"/>
      <c r="F3294" s="2"/>
      <c r="G3294" s="1">
        <v>452.76</v>
      </c>
      <c r="H3294" s="3"/>
      <c r="I3294" s="14" t="s">
        <v>2402</v>
      </c>
    </row>
    <row r="3295" spans="1:9" ht="18.75" customHeight="1" x14ac:dyDescent="0.4">
      <c r="A3295" s="14" t="s">
        <v>2830</v>
      </c>
      <c r="B3295" s="16" t="str">
        <f>TRIM("　城北公園")</f>
        <v>城北公園</v>
      </c>
      <c r="C3295" s="14" t="s">
        <v>1532</v>
      </c>
      <c r="D3295" s="14" t="s">
        <v>99</v>
      </c>
      <c r="E3295" s="1">
        <v>96481.3</v>
      </c>
      <c r="F3295" s="2"/>
      <c r="G3295" s="1"/>
      <c r="H3295" s="3"/>
      <c r="I3295" s="14" t="s">
        <v>2177</v>
      </c>
    </row>
    <row r="3296" spans="1:9" ht="18.75" customHeight="1" x14ac:dyDescent="0.4">
      <c r="A3296" s="14" t="s">
        <v>3579</v>
      </c>
      <c r="B3296" s="16" t="str">
        <f>TRIM("　城北公園")</f>
        <v>城北公園</v>
      </c>
      <c r="C3296" s="14" t="s">
        <v>1532</v>
      </c>
      <c r="D3296" s="14" t="s">
        <v>99</v>
      </c>
      <c r="E3296" s="1"/>
      <c r="F3296" s="2"/>
      <c r="G3296" s="1">
        <v>1872.19</v>
      </c>
      <c r="H3296" s="3"/>
      <c r="I3296" s="14" t="s">
        <v>2177</v>
      </c>
    </row>
    <row r="3297" spans="1:9" ht="18.75" customHeight="1" x14ac:dyDescent="0.4">
      <c r="A3297" s="14" t="s">
        <v>5657</v>
      </c>
      <c r="B3297" s="16" t="str">
        <f>TRIM("もと生江保育所（東部分）")</f>
        <v>もと生江保育所（東部分）</v>
      </c>
      <c r="C3297" s="14" t="s">
        <v>1532</v>
      </c>
      <c r="D3297" s="14" t="s">
        <v>99</v>
      </c>
      <c r="E3297" s="1">
        <v>10.92</v>
      </c>
      <c r="F3297" s="2"/>
      <c r="G3297" s="1"/>
      <c r="H3297" s="3"/>
      <c r="I3297" s="14" t="s">
        <v>5617</v>
      </c>
    </row>
    <row r="3298" spans="1:9" ht="18.75" customHeight="1" x14ac:dyDescent="0.4">
      <c r="A3298" s="14" t="s">
        <v>5874</v>
      </c>
      <c r="B3298" s="16" t="str">
        <f>TRIM("生江保育所")</f>
        <v>生江保育所</v>
      </c>
      <c r="C3298" s="14" t="s">
        <v>1532</v>
      </c>
      <c r="D3298" s="14" t="s">
        <v>99</v>
      </c>
      <c r="E3298" s="1">
        <v>1090.25</v>
      </c>
      <c r="F3298" s="2"/>
      <c r="G3298" s="1"/>
      <c r="H3298" s="3"/>
      <c r="I3298" s="14" t="s">
        <v>5617</v>
      </c>
    </row>
    <row r="3299" spans="1:9" ht="18.75" customHeight="1" x14ac:dyDescent="0.4">
      <c r="A3299" s="14" t="s">
        <v>5945</v>
      </c>
      <c r="B3299" s="16" t="str">
        <f>TRIM("　生江保育所")</f>
        <v>生江保育所</v>
      </c>
      <c r="C3299" s="14" t="s">
        <v>1532</v>
      </c>
      <c r="D3299" s="14" t="s">
        <v>99</v>
      </c>
      <c r="E3299" s="1"/>
      <c r="F3299" s="2"/>
      <c r="G3299" s="1">
        <v>868.4</v>
      </c>
      <c r="H3299" s="3"/>
      <c r="I3299" s="14" t="s">
        <v>5617</v>
      </c>
    </row>
    <row r="3300" spans="1:9" ht="18.75" customHeight="1" x14ac:dyDescent="0.4">
      <c r="A3300" s="14" t="s">
        <v>5947</v>
      </c>
      <c r="B3300" s="16" t="str">
        <f>TRIM("生江保育所第2所庭")</f>
        <v>生江保育所第2所庭</v>
      </c>
      <c r="C3300" s="14" t="s">
        <v>1532</v>
      </c>
      <c r="D3300" s="14" t="s">
        <v>99</v>
      </c>
      <c r="E3300" s="1">
        <v>881.24</v>
      </c>
      <c r="F3300" s="2"/>
      <c r="G3300" s="1"/>
      <c r="H3300" s="3"/>
      <c r="I3300" s="14" t="s">
        <v>5617</v>
      </c>
    </row>
    <row r="3301" spans="1:9" ht="18.75" customHeight="1" x14ac:dyDescent="0.4">
      <c r="A3301" s="14" t="s">
        <v>6200</v>
      </c>
      <c r="B3301" s="16" t="str">
        <f>TRIM("生江第3地区住宅改良事業用地")</f>
        <v>生江第3地区住宅改良事業用地</v>
      </c>
      <c r="C3301" s="14" t="s">
        <v>1532</v>
      </c>
      <c r="D3301" s="14" t="s">
        <v>99</v>
      </c>
      <c r="E3301" s="1">
        <v>1366.03</v>
      </c>
      <c r="F3301" s="2"/>
      <c r="G3301" s="1"/>
      <c r="H3301" s="3"/>
      <c r="I3301" s="14" t="s">
        <v>6177</v>
      </c>
    </row>
    <row r="3302" spans="1:9" ht="18.75" customHeight="1" x14ac:dyDescent="0.4">
      <c r="A3302" s="14" t="s">
        <v>1873</v>
      </c>
      <c r="B3302" s="16" t="str">
        <f>TRIM("今市地域在宅サービスステーション")</f>
        <v>今市地域在宅サービスステーション</v>
      </c>
      <c r="C3302" s="14" t="s">
        <v>1532</v>
      </c>
      <c r="D3302" s="14" t="s">
        <v>379</v>
      </c>
      <c r="E3302" s="1">
        <v>448.67</v>
      </c>
      <c r="F3302" s="2"/>
      <c r="G3302" s="1"/>
      <c r="H3302" s="3"/>
      <c r="I3302" s="14" t="s">
        <v>1654</v>
      </c>
    </row>
    <row r="3303" spans="1:9" ht="18.75" customHeight="1" x14ac:dyDescent="0.4">
      <c r="A3303" s="14" t="s">
        <v>4011</v>
      </c>
      <c r="B3303" s="16" t="str">
        <f>TRIM("下水道用地（旭）")</f>
        <v>下水道用地（旭）</v>
      </c>
      <c r="C3303" s="14" t="s">
        <v>1532</v>
      </c>
      <c r="D3303" s="14" t="s">
        <v>379</v>
      </c>
      <c r="E3303" s="1">
        <v>34025.79</v>
      </c>
      <c r="F3303" s="2"/>
      <c r="G3303" s="1"/>
      <c r="H3303" s="3"/>
      <c r="I3303" s="14" t="s">
        <v>2177</v>
      </c>
    </row>
    <row r="3304" spans="1:9" ht="18.75" customHeight="1" x14ac:dyDescent="0.4">
      <c r="A3304" s="14" t="s">
        <v>2721</v>
      </c>
      <c r="B3304" s="16" t="str">
        <f>TRIM("　今市公園")</f>
        <v>今市公園</v>
      </c>
      <c r="C3304" s="14" t="s">
        <v>1532</v>
      </c>
      <c r="D3304" s="14" t="s">
        <v>645</v>
      </c>
      <c r="E3304" s="1">
        <v>552.09</v>
      </c>
      <c r="F3304" s="2"/>
      <c r="G3304" s="1"/>
      <c r="H3304" s="3"/>
      <c r="I3304" s="14" t="s">
        <v>2177</v>
      </c>
    </row>
    <row r="3305" spans="1:9" ht="18.75" customHeight="1" x14ac:dyDescent="0.4">
      <c r="A3305" s="14" t="s">
        <v>6130</v>
      </c>
      <c r="B3305" s="16" t="str">
        <f>TRIM("上辻霊園")</f>
        <v>上辻霊園</v>
      </c>
      <c r="C3305" s="14" t="s">
        <v>1532</v>
      </c>
      <c r="D3305" s="14" t="s">
        <v>645</v>
      </c>
      <c r="E3305" s="1">
        <v>191.73</v>
      </c>
      <c r="F3305" s="2"/>
      <c r="G3305" s="1"/>
      <c r="H3305" s="3"/>
      <c r="I3305" s="14" t="s">
        <v>5977</v>
      </c>
    </row>
    <row r="3306" spans="1:9" ht="18.75" customHeight="1" x14ac:dyDescent="0.4">
      <c r="A3306" s="14" t="s">
        <v>6189</v>
      </c>
      <c r="B3306" s="16" t="str">
        <f>TRIM("古市処分住宅用地")</f>
        <v>古市処分住宅用地</v>
      </c>
      <c r="C3306" s="14" t="s">
        <v>1532</v>
      </c>
      <c r="D3306" s="14" t="s">
        <v>645</v>
      </c>
      <c r="E3306" s="1">
        <v>137.61000000000001</v>
      </c>
      <c r="F3306" s="2"/>
      <c r="G3306" s="1"/>
      <c r="H3306" s="3"/>
      <c r="I3306" s="14" t="s">
        <v>6177</v>
      </c>
    </row>
    <row r="3307" spans="1:9" ht="18.75" customHeight="1" x14ac:dyDescent="0.4">
      <c r="A3307" s="14" t="s">
        <v>6962</v>
      </c>
      <c r="B3307" s="16" t="str">
        <f>TRIM("もと職員大宮寮")</f>
        <v>もと職員大宮寮</v>
      </c>
      <c r="C3307" s="14" t="s">
        <v>1532</v>
      </c>
      <c r="D3307" s="14" t="s">
        <v>118</v>
      </c>
      <c r="E3307" s="1">
        <v>1584.95</v>
      </c>
      <c r="F3307" s="2">
        <v>445</v>
      </c>
      <c r="G3307" s="1">
        <v>2603.79</v>
      </c>
      <c r="H3307" s="3" t="s">
        <v>7353</v>
      </c>
      <c r="I3307" s="14" t="s">
        <v>2402</v>
      </c>
    </row>
    <row r="3308" spans="1:9" ht="18.75" customHeight="1" x14ac:dyDescent="0.4">
      <c r="A3308" s="14" t="s">
        <v>6065</v>
      </c>
      <c r="B3308" s="16" t="str">
        <f>TRIM("もと大宮詰所")</f>
        <v>もと大宮詰所</v>
      </c>
      <c r="C3308" s="14" t="s">
        <v>1532</v>
      </c>
      <c r="D3308" s="14" t="s">
        <v>118</v>
      </c>
      <c r="E3308" s="1">
        <v>607.85</v>
      </c>
      <c r="F3308" s="2" t="s">
        <v>7343</v>
      </c>
      <c r="G3308" s="1">
        <v>283.51</v>
      </c>
      <c r="H3308" s="3" t="s">
        <v>7353</v>
      </c>
      <c r="I3308" s="14" t="s">
        <v>5977</v>
      </c>
    </row>
    <row r="3309" spans="1:9" ht="18.75" customHeight="1" x14ac:dyDescent="0.4">
      <c r="A3309" s="14" t="s">
        <v>3881</v>
      </c>
      <c r="B3309" s="16" t="str">
        <f>TRIM("大宮自転車保管所")</f>
        <v>大宮自転車保管所</v>
      </c>
      <c r="C3309" s="14" t="s">
        <v>1532</v>
      </c>
      <c r="D3309" s="14" t="s">
        <v>118</v>
      </c>
      <c r="E3309" s="1">
        <v>2703.53</v>
      </c>
      <c r="F3309" s="2"/>
      <c r="G3309" s="1">
        <v>429.09</v>
      </c>
      <c r="H3309" s="3"/>
      <c r="I3309" s="14" t="s">
        <v>2177</v>
      </c>
    </row>
    <row r="3310" spans="1:9" ht="18.75" customHeight="1" x14ac:dyDescent="0.4">
      <c r="A3310" s="14" t="s">
        <v>4550</v>
      </c>
      <c r="B3310" s="16" t="str">
        <f>TRIM("旭区役所")</f>
        <v>旭区役所</v>
      </c>
      <c r="C3310" s="14" t="s">
        <v>1532</v>
      </c>
      <c r="D3310" s="14" t="s">
        <v>118</v>
      </c>
      <c r="E3310" s="1">
        <v>4044.63</v>
      </c>
      <c r="F3310" s="2"/>
      <c r="G3310" s="1">
        <v>5968.16</v>
      </c>
      <c r="H3310" s="3"/>
      <c r="I3310" s="14" t="s">
        <v>2017</v>
      </c>
    </row>
    <row r="3311" spans="1:9" ht="18.75" customHeight="1" x14ac:dyDescent="0.4">
      <c r="A3311" s="14" t="s">
        <v>5228</v>
      </c>
      <c r="B3311" s="16" t="str">
        <f>TRIM("旭消防署")</f>
        <v>旭消防署</v>
      </c>
      <c r="C3311" s="14" t="s">
        <v>1532</v>
      </c>
      <c r="D3311" s="14" t="s">
        <v>118</v>
      </c>
      <c r="E3311" s="1">
        <v>1644.8</v>
      </c>
      <c r="F3311" s="2"/>
      <c r="G3311" s="1">
        <v>1672.36</v>
      </c>
      <c r="H3311" s="3"/>
      <c r="I3311" s="14" t="s">
        <v>5219</v>
      </c>
    </row>
    <row r="3312" spans="1:9" ht="18.75" customHeight="1" x14ac:dyDescent="0.4">
      <c r="A3312" s="14" t="s">
        <v>2076</v>
      </c>
      <c r="B3312" s="16" t="str">
        <f>TRIM("大宮会館")</f>
        <v>大宮会館</v>
      </c>
      <c r="C3312" s="14" t="s">
        <v>1532</v>
      </c>
      <c r="D3312" s="14" t="s">
        <v>118</v>
      </c>
      <c r="E3312" s="1">
        <v>316.08999999999997</v>
      </c>
      <c r="F3312" s="2"/>
      <c r="G3312" s="1"/>
      <c r="H3312" s="3"/>
      <c r="I3312" s="14" t="s">
        <v>2017</v>
      </c>
    </row>
    <row r="3313" spans="1:9" ht="18.75" customHeight="1" x14ac:dyDescent="0.4">
      <c r="A3313" s="14" t="s">
        <v>2981</v>
      </c>
      <c r="B3313" s="16" t="str">
        <f>TRIM("　大宮南公園")</f>
        <v>大宮南公園</v>
      </c>
      <c r="C3313" s="14" t="s">
        <v>1532</v>
      </c>
      <c r="D3313" s="14" t="s">
        <v>118</v>
      </c>
      <c r="E3313" s="1">
        <v>1006.94</v>
      </c>
      <c r="F3313" s="2"/>
      <c r="G3313" s="1"/>
      <c r="H3313" s="3"/>
      <c r="I3313" s="14" t="s">
        <v>2177</v>
      </c>
    </row>
    <row r="3314" spans="1:9" ht="18.75" customHeight="1" x14ac:dyDescent="0.4">
      <c r="A3314" s="14" t="s">
        <v>4560</v>
      </c>
      <c r="B3314" s="16" t="str">
        <f>TRIM("旭区自転車駐車場")</f>
        <v>旭区自転車駐車場</v>
      </c>
      <c r="C3314" s="14" t="s">
        <v>1532</v>
      </c>
      <c r="D3314" s="14" t="s">
        <v>118</v>
      </c>
      <c r="E3314" s="1">
        <v>176.37</v>
      </c>
      <c r="F3314" s="2"/>
      <c r="G3314" s="1"/>
      <c r="H3314" s="3"/>
      <c r="I3314" s="14" t="s">
        <v>2017</v>
      </c>
    </row>
    <row r="3315" spans="1:9" ht="18.75" customHeight="1" x14ac:dyDescent="0.4">
      <c r="A3315" s="14" t="s">
        <v>5341</v>
      </c>
      <c r="B3315" s="16" t="str">
        <f>TRIM("もと旭災害待機宿舎")</f>
        <v>もと旭災害待機宿舎</v>
      </c>
      <c r="C3315" s="14" t="s">
        <v>1532</v>
      </c>
      <c r="D3315" s="14" t="s">
        <v>118</v>
      </c>
      <c r="E3315" s="1"/>
      <c r="F3315" s="2"/>
      <c r="G3315" s="1">
        <v>85.58</v>
      </c>
      <c r="H3315" s="3"/>
      <c r="I3315" s="14" t="s">
        <v>5219</v>
      </c>
    </row>
    <row r="3316" spans="1:9" ht="18.75" customHeight="1" x14ac:dyDescent="0.4">
      <c r="A3316" s="14" t="s">
        <v>5353</v>
      </c>
      <c r="B3316" s="16" t="str">
        <f>TRIM("その他の土地（旭）")</f>
        <v>その他の土地（旭）</v>
      </c>
      <c r="C3316" s="14" t="s">
        <v>1532</v>
      </c>
      <c r="D3316" s="14" t="s">
        <v>118</v>
      </c>
      <c r="E3316" s="1">
        <v>548.75</v>
      </c>
      <c r="F3316" s="2"/>
      <c r="G3316" s="1"/>
      <c r="H3316" s="3"/>
      <c r="I3316" s="14" t="s">
        <v>5349</v>
      </c>
    </row>
    <row r="3317" spans="1:9" ht="18.75" customHeight="1" x14ac:dyDescent="0.4">
      <c r="A3317" s="14" t="s">
        <v>5887</v>
      </c>
      <c r="B3317" s="16" t="str">
        <f>TRIM("大宮まぶね保育園")</f>
        <v>大宮まぶね保育園</v>
      </c>
      <c r="C3317" s="14" t="s">
        <v>1532</v>
      </c>
      <c r="D3317" s="14" t="s">
        <v>118</v>
      </c>
      <c r="E3317" s="1">
        <v>1175.6300000000001</v>
      </c>
      <c r="F3317" s="2"/>
      <c r="G3317" s="1"/>
      <c r="H3317" s="3"/>
      <c r="I3317" s="14" t="s">
        <v>5617</v>
      </c>
    </row>
    <row r="3318" spans="1:9" ht="18.75" customHeight="1" x14ac:dyDescent="0.4">
      <c r="A3318" s="14" t="s">
        <v>2980</v>
      </c>
      <c r="B3318" s="16" t="str">
        <f>TRIM("　大宮中公園")</f>
        <v>大宮中公園</v>
      </c>
      <c r="C3318" s="14" t="s">
        <v>1532</v>
      </c>
      <c r="D3318" s="14" t="s">
        <v>648</v>
      </c>
      <c r="E3318" s="1">
        <v>3404.42</v>
      </c>
      <c r="F3318" s="2"/>
      <c r="G3318" s="1"/>
      <c r="H3318" s="3"/>
      <c r="I3318" s="14" t="s">
        <v>2177</v>
      </c>
    </row>
    <row r="3319" spans="1:9" ht="18.75" customHeight="1" x14ac:dyDescent="0.4">
      <c r="A3319" s="14" t="s">
        <v>6132</v>
      </c>
      <c r="B3319" s="16" t="str">
        <f>TRIM("森小路霊園")</f>
        <v>森小路霊園</v>
      </c>
      <c r="C3319" s="14" t="s">
        <v>1532</v>
      </c>
      <c r="D3319" s="14" t="s">
        <v>648</v>
      </c>
      <c r="E3319" s="1">
        <v>759.47</v>
      </c>
      <c r="F3319" s="2"/>
      <c r="G3319" s="1"/>
      <c r="H3319" s="3"/>
      <c r="I3319" s="14" t="s">
        <v>5977</v>
      </c>
    </row>
    <row r="3320" spans="1:9" ht="18.75" customHeight="1" x14ac:dyDescent="0.4">
      <c r="A3320" s="14" t="s">
        <v>4928</v>
      </c>
      <c r="B3320" s="16" t="str">
        <f>TRIM("大宮小学校")</f>
        <v>大宮小学校</v>
      </c>
      <c r="C3320" s="14" t="s">
        <v>1532</v>
      </c>
      <c r="D3320" s="14" t="s">
        <v>1286</v>
      </c>
      <c r="E3320" s="1">
        <v>13621.42</v>
      </c>
      <c r="F3320" s="2"/>
      <c r="G3320" s="1">
        <v>6910.19</v>
      </c>
      <c r="H3320" s="3"/>
      <c r="I3320" s="14" t="s">
        <v>4689</v>
      </c>
    </row>
    <row r="3321" spans="1:9" ht="18.75" customHeight="1" x14ac:dyDescent="0.4">
      <c r="A3321" s="14" t="s">
        <v>3458</v>
      </c>
      <c r="B3321" s="16" t="str">
        <f>TRIM("大宮ふれあい公園")</f>
        <v>大宮ふれあい公園</v>
      </c>
      <c r="C3321" s="14" t="s">
        <v>1532</v>
      </c>
      <c r="D3321" s="14" t="s">
        <v>1286</v>
      </c>
      <c r="E3321" s="1">
        <v>2701.01</v>
      </c>
      <c r="F3321" s="2"/>
      <c r="G3321" s="1"/>
      <c r="H3321" s="3"/>
      <c r="I3321" s="14" t="s">
        <v>2177</v>
      </c>
    </row>
    <row r="3322" spans="1:9" ht="18.75" customHeight="1" x14ac:dyDescent="0.4">
      <c r="A3322" s="14" t="s">
        <v>4559</v>
      </c>
      <c r="B3322" s="16" t="str">
        <f>TRIM("大宮地域集会所")</f>
        <v>大宮地域集会所</v>
      </c>
      <c r="C3322" s="14" t="s">
        <v>1532</v>
      </c>
      <c r="D3322" s="14" t="s">
        <v>1286</v>
      </c>
      <c r="E3322" s="1">
        <v>248.89</v>
      </c>
      <c r="F3322" s="2"/>
      <c r="G3322" s="1"/>
      <c r="H3322" s="3"/>
      <c r="I3322" s="14" t="s">
        <v>2017</v>
      </c>
    </row>
    <row r="3323" spans="1:9" ht="18.75" customHeight="1" x14ac:dyDescent="0.4">
      <c r="A3323" s="14" t="s">
        <v>2077</v>
      </c>
      <c r="B3323" s="16" t="str">
        <f>TRIM("大宮北老人憩の家")</f>
        <v>大宮北老人憩の家</v>
      </c>
      <c r="C3323" s="14" t="s">
        <v>1532</v>
      </c>
      <c r="D3323" s="14" t="s">
        <v>306</v>
      </c>
      <c r="E3323" s="1">
        <v>174</v>
      </c>
      <c r="F3323" s="2"/>
      <c r="G3323" s="1">
        <v>102.7</v>
      </c>
      <c r="H3323" s="3"/>
      <c r="I3323" s="14" t="s">
        <v>2017</v>
      </c>
    </row>
    <row r="3324" spans="1:9" ht="18.75" customHeight="1" x14ac:dyDescent="0.4">
      <c r="A3324" s="14" t="s">
        <v>4815</v>
      </c>
      <c r="B3324" s="16" t="str">
        <f>TRIM("今市中学校")</f>
        <v>今市中学校</v>
      </c>
      <c r="C3324" s="14" t="s">
        <v>1532</v>
      </c>
      <c r="D3324" s="14" t="s">
        <v>306</v>
      </c>
      <c r="E3324" s="1">
        <v>13888.25</v>
      </c>
      <c r="F3324" s="2"/>
      <c r="G3324" s="1">
        <v>7654.72</v>
      </c>
      <c r="H3324" s="3"/>
      <c r="I3324" s="14" t="s">
        <v>4689</v>
      </c>
    </row>
    <row r="3325" spans="1:9" ht="18.75" customHeight="1" x14ac:dyDescent="0.4">
      <c r="A3325" s="14" t="s">
        <v>5745</v>
      </c>
      <c r="B3325" s="16" t="str">
        <f>TRIM("大宮保育園")</f>
        <v>大宮保育園</v>
      </c>
      <c r="C3325" s="14" t="s">
        <v>1532</v>
      </c>
      <c r="D3325" s="14" t="s">
        <v>306</v>
      </c>
      <c r="E3325" s="1">
        <v>869.7</v>
      </c>
      <c r="F3325" s="2"/>
      <c r="G3325" s="1">
        <v>471.7</v>
      </c>
      <c r="H3325" s="3"/>
      <c r="I3325" s="14" t="s">
        <v>5617</v>
      </c>
    </row>
    <row r="3326" spans="1:9" ht="18.75" customHeight="1" x14ac:dyDescent="0.4">
      <c r="A3326" s="14" t="s">
        <v>6425</v>
      </c>
      <c r="B3326" s="16" t="str">
        <f>TRIM("城北住宅")</f>
        <v>城北住宅</v>
      </c>
      <c r="C3326" s="14" t="s">
        <v>1532</v>
      </c>
      <c r="D3326" s="14" t="s">
        <v>306</v>
      </c>
      <c r="E3326" s="1">
        <v>29135.08</v>
      </c>
      <c r="F3326" s="2"/>
      <c r="G3326" s="1">
        <v>45721.95</v>
      </c>
      <c r="H3326" s="3"/>
      <c r="I3326" s="14" t="s">
        <v>6177</v>
      </c>
    </row>
    <row r="3327" spans="1:9" ht="18.75" customHeight="1" x14ac:dyDescent="0.4">
      <c r="A3327" s="14" t="s">
        <v>6481</v>
      </c>
      <c r="B3327" s="16" t="str">
        <f>TRIM("大宮住宅")</f>
        <v>大宮住宅</v>
      </c>
      <c r="C3327" s="14" t="s">
        <v>1532</v>
      </c>
      <c r="D3327" s="14" t="s">
        <v>306</v>
      </c>
      <c r="E3327" s="1">
        <v>3894.35</v>
      </c>
      <c r="F3327" s="2"/>
      <c r="G3327" s="1">
        <v>7423.87</v>
      </c>
      <c r="H3327" s="3"/>
      <c r="I3327" s="14" t="s">
        <v>6177</v>
      </c>
    </row>
    <row r="3328" spans="1:9" ht="18.75" customHeight="1" x14ac:dyDescent="0.4">
      <c r="A3328" s="14" t="s">
        <v>2294</v>
      </c>
      <c r="B3328" s="16" t="str">
        <f>TRIM("道路（旭）（管財課）")</f>
        <v>道路（旭）（管財課）</v>
      </c>
      <c r="C3328" s="14" t="s">
        <v>1532</v>
      </c>
      <c r="D3328" s="14" t="s">
        <v>306</v>
      </c>
      <c r="E3328" s="1">
        <v>136537.92000000001</v>
      </c>
      <c r="F3328" s="2"/>
      <c r="G3328" s="1"/>
      <c r="H3328" s="3"/>
      <c r="I3328" s="14" t="s">
        <v>2177</v>
      </c>
    </row>
    <row r="3329" spans="1:9" ht="18.75" customHeight="1" x14ac:dyDescent="0.4">
      <c r="A3329" s="14" t="s">
        <v>2375</v>
      </c>
      <c r="B3329" s="16" t="str">
        <f>TRIM("もと軌道敷(都島守口線)")</f>
        <v>もと軌道敷(都島守口線)</v>
      </c>
      <c r="C3329" s="14" t="s">
        <v>1532</v>
      </c>
      <c r="D3329" s="14" t="s">
        <v>306</v>
      </c>
      <c r="E3329" s="1">
        <v>99118.96</v>
      </c>
      <c r="F3329" s="2"/>
      <c r="G3329" s="1"/>
      <c r="H3329" s="3"/>
      <c r="I3329" s="14" t="s">
        <v>2177</v>
      </c>
    </row>
    <row r="3330" spans="1:9" ht="18.75" customHeight="1" x14ac:dyDescent="0.4">
      <c r="A3330" s="14" t="s">
        <v>5607</v>
      </c>
      <c r="B3330" s="16" t="str">
        <f>TRIM("もと軌道敷（都島守口線）")</f>
        <v>もと軌道敷（都島守口線）</v>
      </c>
      <c r="C3330" s="14" t="s">
        <v>1532</v>
      </c>
      <c r="D3330" s="14" t="s">
        <v>306</v>
      </c>
      <c r="E3330" s="1">
        <v>1854.54</v>
      </c>
      <c r="F3330" s="2"/>
      <c r="G3330" s="1"/>
      <c r="H3330" s="3"/>
      <c r="I3330" s="14" t="s">
        <v>5349</v>
      </c>
    </row>
    <row r="3331" spans="1:9" ht="18.75" customHeight="1" x14ac:dyDescent="0.4">
      <c r="A3331" s="14" t="s">
        <v>6247</v>
      </c>
      <c r="B3331" s="16" t="str">
        <f>TRIM("もと城北住宅")</f>
        <v>もと城北住宅</v>
      </c>
      <c r="C3331" s="14" t="s">
        <v>1532</v>
      </c>
      <c r="D3331" s="14" t="s">
        <v>306</v>
      </c>
      <c r="E3331" s="1">
        <v>638.20000000000005</v>
      </c>
      <c r="F3331" s="2"/>
      <c r="G3331" s="1"/>
      <c r="H3331" s="3"/>
      <c r="I3331" s="14" t="s">
        <v>6177</v>
      </c>
    </row>
    <row r="3332" spans="1:9" ht="18.75" customHeight="1" x14ac:dyDescent="0.4">
      <c r="A3332" s="14" t="s">
        <v>1843</v>
      </c>
      <c r="B3332" s="16" t="str">
        <f>TRIM("シルバー人材センター清水作業所")</f>
        <v>シルバー人材センター清水作業所</v>
      </c>
      <c r="C3332" s="14" t="s">
        <v>1532</v>
      </c>
      <c r="D3332" s="14" t="s">
        <v>468</v>
      </c>
      <c r="E3332" s="1">
        <v>399.99</v>
      </c>
      <c r="F3332" s="2"/>
      <c r="G3332" s="1">
        <v>191.4</v>
      </c>
      <c r="H3332" s="3"/>
      <c r="I3332" s="14" t="s">
        <v>1654</v>
      </c>
    </row>
    <row r="3333" spans="1:9" ht="18.75" customHeight="1" x14ac:dyDescent="0.4">
      <c r="A3333" s="14" t="s">
        <v>5873</v>
      </c>
      <c r="B3333" s="16" t="str">
        <f>TRIM("清水保育所")</f>
        <v>清水保育所</v>
      </c>
      <c r="C3333" s="14" t="s">
        <v>1532</v>
      </c>
      <c r="D3333" s="14" t="s">
        <v>468</v>
      </c>
      <c r="E3333" s="1">
        <v>1005.07</v>
      </c>
      <c r="F3333" s="2"/>
      <c r="G3333" s="1">
        <v>421.15</v>
      </c>
      <c r="H3333" s="3"/>
      <c r="I3333" s="14" t="s">
        <v>5617</v>
      </c>
    </row>
    <row r="3334" spans="1:9" ht="18.75" customHeight="1" x14ac:dyDescent="0.4">
      <c r="A3334" s="14" t="s">
        <v>2059</v>
      </c>
      <c r="B3334" s="16" t="str">
        <f>TRIM("清水老人憩の家")</f>
        <v>清水老人憩の家</v>
      </c>
      <c r="C3334" s="14" t="s">
        <v>1532</v>
      </c>
      <c r="D3334" s="14" t="s">
        <v>468</v>
      </c>
      <c r="E3334" s="1"/>
      <c r="F3334" s="2"/>
      <c r="G3334" s="1">
        <v>166.61</v>
      </c>
      <c r="H3334" s="3"/>
      <c r="I3334" s="14" t="s">
        <v>2017</v>
      </c>
    </row>
    <row r="3335" spans="1:9" ht="18.75" customHeight="1" x14ac:dyDescent="0.4">
      <c r="A3335" s="14" t="s">
        <v>2897</v>
      </c>
      <c r="B3335" s="16" t="str">
        <f>TRIM("　清水小公園")</f>
        <v>清水小公園</v>
      </c>
      <c r="C3335" s="14" t="s">
        <v>1532</v>
      </c>
      <c r="D3335" s="14" t="s">
        <v>468</v>
      </c>
      <c r="E3335" s="1">
        <v>493.06</v>
      </c>
      <c r="F3335" s="2"/>
      <c r="G3335" s="1"/>
      <c r="H3335" s="3"/>
      <c r="I3335" s="14" t="s">
        <v>2177</v>
      </c>
    </row>
    <row r="3336" spans="1:9" ht="18.75" customHeight="1" x14ac:dyDescent="0.4">
      <c r="A3336" s="14" t="s">
        <v>2900</v>
      </c>
      <c r="B3336" s="16" t="str">
        <f>TRIM("　清水南公園")</f>
        <v>清水南公園</v>
      </c>
      <c r="C3336" s="14" t="s">
        <v>1532</v>
      </c>
      <c r="D3336" s="14" t="s">
        <v>468</v>
      </c>
      <c r="E3336" s="1">
        <v>1923.96</v>
      </c>
      <c r="F3336" s="2"/>
      <c r="G3336" s="1"/>
      <c r="H3336" s="3"/>
      <c r="I3336" s="14" t="s">
        <v>2177</v>
      </c>
    </row>
    <row r="3337" spans="1:9" ht="18.75" customHeight="1" x14ac:dyDescent="0.4">
      <c r="A3337" s="14" t="s">
        <v>6165</v>
      </c>
      <c r="B3337" s="16" t="str">
        <f>TRIM("北清水霊園")</f>
        <v>北清水霊園</v>
      </c>
      <c r="C3337" s="14" t="s">
        <v>1532</v>
      </c>
      <c r="D3337" s="14" t="s">
        <v>468</v>
      </c>
      <c r="E3337" s="1">
        <v>487.79</v>
      </c>
      <c r="F3337" s="2"/>
      <c r="G3337" s="1"/>
      <c r="H3337" s="3"/>
      <c r="I3337" s="14" t="s">
        <v>5977</v>
      </c>
    </row>
    <row r="3338" spans="1:9" ht="18.75" customHeight="1" x14ac:dyDescent="0.4">
      <c r="A3338" s="14" t="s">
        <v>4557</v>
      </c>
      <c r="B3338" s="16" t="str">
        <f>TRIM("清水地域集会センター")</f>
        <v>清水地域集会センター</v>
      </c>
      <c r="C3338" s="14" t="s">
        <v>1532</v>
      </c>
      <c r="D3338" s="14" t="s">
        <v>188</v>
      </c>
      <c r="E3338" s="1">
        <v>374.08</v>
      </c>
      <c r="F3338" s="2"/>
      <c r="G3338" s="1">
        <v>102.6</v>
      </c>
      <c r="H3338" s="3"/>
      <c r="I3338" s="14" t="s">
        <v>2017</v>
      </c>
    </row>
    <row r="3339" spans="1:9" ht="18.75" customHeight="1" x14ac:dyDescent="0.4">
      <c r="A3339" s="14" t="s">
        <v>1847</v>
      </c>
      <c r="B3339" s="16" t="str">
        <f>TRIM("（仮称）清水特別養護老人ホーム用地")</f>
        <v>（仮称）清水特別養護老人ホーム用地</v>
      </c>
      <c r="C3339" s="14" t="s">
        <v>1532</v>
      </c>
      <c r="D3339" s="14" t="s">
        <v>188</v>
      </c>
      <c r="E3339" s="1">
        <v>235.2</v>
      </c>
      <c r="F3339" s="2"/>
      <c r="G3339" s="1"/>
      <c r="H3339" s="3"/>
      <c r="I3339" s="14" t="s">
        <v>1654</v>
      </c>
    </row>
    <row r="3340" spans="1:9" ht="18.75" customHeight="1" x14ac:dyDescent="0.4">
      <c r="A3340" s="14" t="s">
        <v>1943</v>
      </c>
      <c r="B3340" s="16" t="str">
        <f>TRIM("特別養護老人ホーム旭さくら苑・養護老人ホーム旭さくら苑・旭東地域在宅サービスステーション")</f>
        <v>特別養護老人ホーム旭さくら苑・養護老人ホーム旭さくら苑・旭東地域在宅サービスステーション</v>
      </c>
      <c r="C3340" s="14" t="s">
        <v>1532</v>
      </c>
      <c r="D3340" s="14" t="s">
        <v>188</v>
      </c>
      <c r="E3340" s="1">
        <v>3834.48</v>
      </c>
      <c r="F3340" s="2"/>
      <c r="G3340" s="1"/>
      <c r="H3340" s="3"/>
      <c r="I3340" s="14" t="s">
        <v>1654</v>
      </c>
    </row>
    <row r="3341" spans="1:9" ht="18.75" customHeight="1" x14ac:dyDescent="0.4">
      <c r="A3341" s="14" t="s">
        <v>2235</v>
      </c>
      <c r="B3341" s="16" t="str">
        <f>TRIM("深野南寺方大阪線（旭）（管財課）")</f>
        <v>深野南寺方大阪線（旭）（管財課）</v>
      </c>
      <c r="C3341" s="14" t="s">
        <v>1532</v>
      </c>
      <c r="D3341" s="14" t="s">
        <v>188</v>
      </c>
      <c r="E3341" s="1">
        <v>2027.65</v>
      </c>
      <c r="F3341" s="2"/>
      <c r="G3341" s="1"/>
      <c r="H3341" s="3"/>
      <c r="I3341" s="14" t="s">
        <v>2177</v>
      </c>
    </row>
    <row r="3342" spans="1:9" ht="18.75" customHeight="1" x14ac:dyDescent="0.4">
      <c r="A3342" s="14" t="s">
        <v>2899</v>
      </c>
      <c r="B3342" s="16" t="str">
        <f>TRIM("　清水中公園")</f>
        <v>清水中公園</v>
      </c>
      <c r="C3342" s="14" t="s">
        <v>1532</v>
      </c>
      <c r="D3342" s="14" t="s">
        <v>188</v>
      </c>
      <c r="E3342" s="1">
        <v>276.58</v>
      </c>
      <c r="F3342" s="2"/>
      <c r="G3342" s="1"/>
      <c r="H3342" s="3"/>
      <c r="I3342" s="14" t="s">
        <v>2177</v>
      </c>
    </row>
    <row r="3343" spans="1:9" ht="18.75" customHeight="1" x14ac:dyDescent="0.4">
      <c r="A3343" s="14" t="s">
        <v>2901</v>
      </c>
      <c r="B3343" s="16" t="str">
        <f>TRIM("　清水北公園")</f>
        <v>清水北公園</v>
      </c>
      <c r="C3343" s="14" t="s">
        <v>1532</v>
      </c>
      <c r="D3343" s="14" t="s">
        <v>188</v>
      </c>
      <c r="E3343" s="1">
        <v>721.98</v>
      </c>
      <c r="F3343" s="2"/>
      <c r="G3343" s="1"/>
      <c r="H3343" s="3"/>
      <c r="I3343" s="14" t="s">
        <v>2177</v>
      </c>
    </row>
    <row r="3344" spans="1:9" ht="18.75" customHeight="1" x14ac:dyDescent="0.4">
      <c r="A3344" s="14" t="s">
        <v>5438</v>
      </c>
      <c r="B3344" s="16" t="str">
        <f>TRIM("もと北清水町会館（コミュニティ用地等）")</f>
        <v>もと北清水町会館（コミュニティ用地等）</v>
      </c>
      <c r="C3344" s="14" t="s">
        <v>1532</v>
      </c>
      <c r="D3344" s="14" t="s">
        <v>188</v>
      </c>
      <c r="E3344" s="1">
        <v>186.07</v>
      </c>
      <c r="F3344" s="2"/>
      <c r="G3344" s="1"/>
      <c r="H3344" s="3"/>
      <c r="I3344" s="14" t="s">
        <v>5349</v>
      </c>
    </row>
    <row r="3345" spans="1:9" ht="18.75" customHeight="1" x14ac:dyDescent="0.4">
      <c r="A3345" s="14" t="s">
        <v>4902</v>
      </c>
      <c r="B3345" s="16" t="str">
        <f>TRIM("清水小学校")</f>
        <v>清水小学校</v>
      </c>
      <c r="C3345" s="14" t="s">
        <v>1532</v>
      </c>
      <c r="D3345" s="14" t="s">
        <v>607</v>
      </c>
      <c r="E3345" s="1">
        <v>14608.27</v>
      </c>
      <c r="F3345" s="2"/>
      <c r="G3345" s="1">
        <v>9941.2900000000009</v>
      </c>
      <c r="H3345" s="3"/>
      <c r="I3345" s="14" t="s">
        <v>4689</v>
      </c>
    </row>
    <row r="3346" spans="1:9" ht="18.75" customHeight="1" x14ac:dyDescent="0.4">
      <c r="A3346" s="14" t="s">
        <v>5939</v>
      </c>
      <c r="B3346" s="16" t="str">
        <f>TRIM("両国保育所")</f>
        <v>両国保育所</v>
      </c>
      <c r="C3346" s="14" t="s">
        <v>1532</v>
      </c>
      <c r="D3346" s="14" t="s">
        <v>607</v>
      </c>
      <c r="E3346" s="1">
        <v>2096.7600000000002</v>
      </c>
      <c r="F3346" s="2"/>
      <c r="G3346" s="1">
        <v>1039.6199999999999</v>
      </c>
      <c r="H3346" s="3"/>
      <c r="I3346" s="14" t="s">
        <v>5617</v>
      </c>
    </row>
    <row r="3347" spans="1:9" ht="18.75" customHeight="1" x14ac:dyDescent="0.4">
      <c r="A3347" s="14" t="s">
        <v>6694</v>
      </c>
      <c r="B3347" s="16" t="str">
        <f>TRIM("両国住宅")</f>
        <v>両国住宅</v>
      </c>
      <c r="C3347" s="14" t="s">
        <v>1532</v>
      </c>
      <c r="D3347" s="14" t="s">
        <v>607</v>
      </c>
      <c r="E3347" s="1">
        <v>3296.59</v>
      </c>
      <c r="F3347" s="2"/>
      <c r="G3347" s="1">
        <v>5363.3</v>
      </c>
      <c r="H3347" s="3"/>
      <c r="I3347" s="14" t="s">
        <v>6177</v>
      </c>
    </row>
    <row r="3348" spans="1:9" ht="18.75" customHeight="1" x14ac:dyDescent="0.4">
      <c r="A3348" s="14" t="s">
        <v>2219</v>
      </c>
      <c r="B3348" s="16" t="str">
        <f>TRIM("国道４７９号（旭）（管財課）")</f>
        <v>国道４７９号（旭）（管財課）</v>
      </c>
      <c r="C3348" s="14" t="s">
        <v>1532</v>
      </c>
      <c r="D3348" s="14" t="s">
        <v>607</v>
      </c>
      <c r="E3348" s="1">
        <v>12519.08</v>
      </c>
      <c r="F3348" s="2"/>
      <c r="G3348" s="1"/>
      <c r="H3348" s="3"/>
      <c r="I3348" s="14" t="s">
        <v>2177</v>
      </c>
    </row>
    <row r="3349" spans="1:9" ht="18.75" customHeight="1" x14ac:dyDescent="0.4">
      <c r="A3349" s="14" t="s">
        <v>3374</v>
      </c>
      <c r="B3349" s="16" t="str">
        <f>TRIM("　両国町公園")</f>
        <v>両国町公園</v>
      </c>
      <c r="C3349" s="14" t="s">
        <v>1532</v>
      </c>
      <c r="D3349" s="14" t="s">
        <v>607</v>
      </c>
      <c r="E3349" s="1">
        <v>1273.6199999999999</v>
      </c>
      <c r="F3349" s="2"/>
      <c r="G3349" s="1"/>
      <c r="H3349" s="3"/>
      <c r="I3349" s="14" t="s">
        <v>2177</v>
      </c>
    </row>
    <row r="3350" spans="1:9" ht="18.75" customHeight="1" x14ac:dyDescent="0.4">
      <c r="A3350" s="14" t="s">
        <v>3966</v>
      </c>
      <c r="B3350" s="16" t="str">
        <f>TRIM("清水駅自転車駐車場  ")</f>
        <v>清水駅自転車駐車場</v>
      </c>
      <c r="C3350" s="14" t="s">
        <v>1532</v>
      </c>
      <c r="D3350" s="14" t="s">
        <v>607</v>
      </c>
      <c r="E3350" s="1"/>
      <c r="F3350" s="2"/>
      <c r="G3350" s="1">
        <v>416.27</v>
      </c>
      <c r="H3350" s="3"/>
      <c r="I3350" s="14" t="s">
        <v>2177</v>
      </c>
    </row>
    <row r="3351" spans="1:9" ht="18.75" customHeight="1" x14ac:dyDescent="0.4">
      <c r="A3351" s="14" t="s">
        <v>6443</v>
      </c>
      <c r="B3351" s="16" t="str">
        <f>TRIM("清水住宅")</f>
        <v>清水住宅</v>
      </c>
      <c r="C3351" s="14" t="s">
        <v>1532</v>
      </c>
      <c r="D3351" s="14" t="s">
        <v>180</v>
      </c>
      <c r="E3351" s="1">
        <v>13077.15</v>
      </c>
      <c r="F3351" s="2">
        <v>449</v>
      </c>
      <c r="G3351" s="1">
        <v>11394.21</v>
      </c>
      <c r="H3351" s="3"/>
      <c r="I3351" s="14" t="s">
        <v>6177</v>
      </c>
    </row>
    <row r="3352" spans="1:9" ht="18.75" customHeight="1" x14ac:dyDescent="0.4">
      <c r="A3352" s="14" t="s">
        <v>1772</v>
      </c>
      <c r="B3352" s="16" t="str">
        <f>TRIM("もと地域活動支援プラザ旭")</f>
        <v>もと地域活動支援プラザ旭</v>
      </c>
      <c r="C3352" s="14" t="s">
        <v>1532</v>
      </c>
      <c r="D3352" s="14" t="s">
        <v>180</v>
      </c>
      <c r="E3352" s="1">
        <v>913.52</v>
      </c>
      <c r="F3352" s="2">
        <v>1111</v>
      </c>
      <c r="G3352" s="1">
        <v>669.97</v>
      </c>
      <c r="H3352" s="3" t="s">
        <v>7353</v>
      </c>
      <c r="I3352" s="14" t="s">
        <v>1654</v>
      </c>
    </row>
    <row r="3353" spans="1:9" ht="18.75" customHeight="1" x14ac:dyDescent="0.4">
      <c r="A3353" s="14" t="s">
        <v>6990</v>
      </c>
      <c r="B3353" s="16" t="str">
        <f>TRIM("もと両国診療所")</f>
        <v>もと両国診療所</v>
      </c>
      <c r="C3353" s="14" t="s">
        <v>1532</v>
      </c>
      <c r="D3353" s="14" t="s">
        <v>180</v>
      </c>
      <c r="E3353" s="1">
        <v>338.52</v>
      </c>
      <c r="F3353" s="2" t="s">
        <v>7268</v>
      </c>
      <c r="G3353" s="1">
        <v>306.60000000000002</v>
      </c>
      <c r="H3353" s="3" t="s">
        <v>7353</v>
      </c>
      <c r="I3353" s="14" t="s">
        <v>2402</v>
      </c>
    </row>
    <row r="3354" spans="1:9" ht="18.75" customHeight="1" x14ac:dyDescent="0.4">
      <c r="A3354" s="14" t="s">
        <v>1677</v>
      </c>
      <c r="B3354" s="16" t="str">
        <f>TRIM("もと両国理髪館")</f>
        <v>もと両国理髪館</v>
      </c>
      <c r="C3354" s="14" t="s">
        <v>1532</v>
      </c>
      <c r="D3354" s="14" t="s">
        <v>180</v>
      </c>
      <c r="E3354" s="1"/>
      <c r="F3354" s="2"/>
      <c r="G3354" s="1">
        <v>85.01</v>
      </c>
      <c r="H3354" s="3" t="s">
        <v>7353</v>
      </c>
      <c r="I3354" s="14" t="s">
        <v>1654</v>
      </c>
    </row>
    <row r="3355" spans="1:9" ht="18.75" customHeight="1" x14ac:dyDescent="0.4">
      <c r="A3355" s="14" t="s">
        <v>1712</v>
      </c>
      <c r="B3355" s="16" t="str">
        <f>TRIM("障がい者小規模作業所　両国福祉作業センター")</f>
        <v>障がい者小規模作業所　両国福祉作業センター</v>
      </c>
      <c r="C3355" s="14" t="s">
        <v>1532</v>
      </c>
      <c r="D3355" s="14" t="s">
        <v>180</v>
      </c>
      <c r="E3355" s="1">
        <v>128.91999999999999</v>
      </c>
      <c r="F3355" s="2"/>
      <c r="G3355" s="1"/>
      <c r="H3355" s="3"/>
      <c r="I3355" s="14" t="s">
        <v>1654</v>
      </c>
    </row>
    <row r="3356" spans="1:9" ht="18.75" customHeight="1" x14ac:dyDescent="0.4">
      <c r="A3356" s="14" t="s">
        <v>2332</v>
      </c>
      <c r="B3356" s="16" t="str">
        <f>TRIM("平野守口線（旭）（管財課）")</f>
        <v>平野守口線（旭）（管財課）</v>
      </c>
      <c r="C3356" s="14" t="s">
        <v>1532</v>
      </c>
      <c r="D3356" s="14" t="s">
        <v>180</v>
      </c>
      <c r="E3356" s="1">
        <v>1938.79</v>
      </c>
      <c r="F3356" s="2"/>
      <c r="G3356" s="1"/>
      <c r="H3356" s="3"/>
      <c r="I3356" s="14" t="s">
        <v>2177</v>
      </c>
    </row>
    <row r="3357" spans="1:9" ht="18.75" customHeight="1" x14ac:dyDescent="0.4">
      <c r="A3357" s="14" t="s">
        <v>5176</v>
      </c>
      <c r="B3357" s="16" t="str">
        <f>TRIM("もと両国青少年会館")</f>
        <v>もと両国青少年会館</v>
      </c>
      <c r="C3357" s="14" t="s">
        <v>1532</v>
      </c>
      <c r="D3357" s="14" t="s">
        <v>180</v>
      </c>
      <c r="E3357" s="1">
        <v>10.46</v>
      </c>
      <c r="F3357" s="2"/>
      <c r="G3357" s="1"/>
      <c r="H3357" s="3"/>
      <c r="I3357" s="14" t="s">
        <v>4689</v>
      </c>
    </row>
    <row r="3358" spans="1:9" ht="18.75" customHeight="1" x14ac:dyDescent="0.4">
      <c r="A3358" s="14" t="s">
        <v>5426</v>
      </c>
      <c r="B3358" s="16" t="str">
        <f>TRIM("もと道路")</f>
        <v>もと道路</v>
      </c>
      <c r="C3358" s="14" t="s">
        <v>1532</v>
      </c>
      <c r="D3358" s="14" t="s">
        <v>180</v>
      </c>
      <c r="E3358" s="1">
        <v>50.86</v>
      </c>
      <c r="F3358" s="2"/>
      <c r="G3358" s="1"/>
      <c r="H3358" s="3"/>
      <c r="I3358" s="14" t="s">
        <v>5349</v>
      </c>
    </row>
    <row r="3359" spans="1:9" ht="18.75" customHeight="1" x14ac:dyDescent="0.4">
      <c r="A3359" s="14" t="s">
        <v>5445</v>
      </c>
      <c r="B3359" s="16" t="str">
        <f>TRIM("もと用悪水路（旭）")</f>
        <v>もと用悪水路（旭）</v>
      </c>
      <c r="C3359" s="14" t="s">
        <v>1532</v>
      </c>
      <c r="D3359" s="14" t="s">
        <v>180</v>
      </c>
      <c r="E3359" s="1">
        <v>492.46</v>
      </c>
      <c r="F3359" s="2"/>
      <c r="G3359" s="1"/>
      <c r="H3359" s="3"/>
      <c r="I3359" s="14" t="s">
        <v>5349</v>
      </c>
    </row>
    <row r="3360" spans="1:9" ht="18.75" customHeight="1" x14ac:dyDescent="0.4">
      <c r="A3360" s="14" t="s">
        <v>6695</v>
      </c>
      <c r="B3360" s="16" t="str">
        <f>TRIM("両国住宅地区改良事業用地")</f>
        <v>両国住宅地区改良事業用地</v>
      </c>
      <c r="C3360" s="14" t="s">
        <v>1532</v>
      </c>
      <c r="D3360" s="14" t="s">
        <v>180</v>
      </c>
      <c r="E3360" s="1">
        <v>2668.12</v>
      </c>
      <c r="F3360" s="2"/>
      <c r="G3360" s="1"/>
      <c r="H3360" s="3"/>
      <c r="I3360" s="14" t="s">
        <v>6177</v>
      </c>
    </row>
    <row r="3361" spans="1:9" ht="18.75" customHeight="1" x14ac:dyDescent="0.4">
      <c r="A3361" s="14" t="s">
        <v>2852</v>
      </c>
      <c r="B3361" s="16" t="str">
        <f>TRIM("　新森南公園")</f>
        <v>新森南公園</v>
      </c>
      <c r="C3361" s="14" t="s">
        <v>1532</v>
      </c>
      <c r="D3361" s="14" t="s">
        <v>1092</v>
      </c>
      <c r="E3361" s="1">
        <v>2352.86</v>
      </c>
      <c r="F3361" s="2"/>
      <c r="G3361" s="1"/>
      <c r="H3361" s="3"/>
      <c r="I3361" s="14" t="s">
        <v>2177</v>
      </c>
    </row>
    <row r="3362" spans="1:9" ht="18.75" customHeight="1" x14ac:dyDescent="0.4">
      <c r="A3362" s="14" t="s">
        <v>2853</v>
      </c>
      <c r="B3362" s="16" t="str">
        <f>TRIM("　新森南小公園")</f>
        <v>新森南小公園</v>
      </c>
      <c r="C3362" s="14" t="s">
        <v>1532</v>
      </c>
      <c r="D3362" s="14" t="s">
        <v>1092</v>
      </c>
      <c r="E3362" s="1">
        <v>496.73</v>
      </c>
      <c r="F3362" s="2"/>
      <c r="G3362" s="1"/>
      <c r="H3362" s="3"/>
      <c r="I3362" s="14" t="s">
        <v>2177</v>
      </c>
    </row>
    <row r="3363" spans="1:9" ht="18.75" customHeight="1" x14ac:dyDescent="0.4">
      <c r="A3363" s="14" t="s">
        <v>5229</v>
      </c>
      <c r="B3363" s="16" t="str">
        <f>TRIM("旭消防署新森出張所")</f>
        <v>旭消防署新森出張所</v>
      </c>
      <c r="C3363" s="14" t="s">
        <v>1532</v>
      </c>
      <c r="D3363" s="14" t="s">
        <v>1360</v>
      </c>
      <c r="E3363" s="1">
        <v>323.42</v>
      </c>
      <c r="F3363" s="2"/>
      <c r="G3363" s="1">
        <v>227.04</v>
      </c>
      <c r="H3363" s="3"/>
      <c r="I3363" s="14" t="s">
        <v>5219</v>
      </c>
    </row>
    <row r="3364" spans="1:9" ht="18.75" customHeight="1" x14ac:dyDescent="0.4">
      <c r="A3364" s="14" t="s">
        <v>2854</v>
      </c>
      <c r="B3364" s="16" t="str">
        <f>TRIM("　新森北公園")</f>
        <v>新森北公園</v>
      </c>
      <c r="C3364" s="14" t="s">
        <v>1532</v>
      </c>
      <c r="D3364" s="14" t="s">
        <v>1093</v>
      </c>
      <c r="E3364" s="1">
        <v>2197.98</v>
      </c>
      <c r="F3364" s="2"/>
      <c r="G3364" s="1"/>
      <c r="H3364" s="3"/>
      <c r="I3364" s="14" t="s">
        <v>2177</v>
      </c>
    </row>
    <row r="3365" spans="1:9" ht="18.75" customHeight="1" x14ac:dyDescent="0.4">
      <c r="A3365" s="14" t="s">
        <v>2850</v>
      </c>
      <c r="B3365" s="16" t="str">
        <f>TRIM("　新森中央公園")</f>
        <v>新森中央公園</v>
      </c>
      <c r="C3365" s="14" t="s">
        <v>1532</v>
      </c>
      <c r="D3365" s="14" t="s">
        <v>1091</v>
      </c>
      <c r="E3365" s="1">
        <v>8809.1299999999992</v>
      </c>
      <c r="F3365" s="2"/>
      <c r="G3365" s="1"/>
      <c r="H3365" s="3"/>
      <c r="I3365" s="14" t="s">
        <v>2177</v>
      </c>
    </row>
    <row r="3366" spans="1:9" ht="18.75" customHeight="1" x14ac:dyDescent="0.4">
      <c r="A3366" s="14" t="s">
        <v>3582</v>
      </c>
      <c r="B3366" s="16" t="str">
        <f>TRIM("　新森中央公園")</f>
        <v>新森中央公園</v>
      </c>
      <c r="C3366" s="14" t="s">
        <v>1532</v>
      </c>
      <c r="D3366" s="14" t="s">
        <v>1091</v>
      </c>
      <c r="E3366" s="1"/>
      <c r="F3366" s="2"/>
      <c r="G3366" s="1">
        <v>63.32</v>
      </c>
      <c r="H3366" s="3"/>
      <c r="I3366" s="14" t="s">
        <v>2177</v>
      </c>
    </row>
    <row r="3367" spans="1:9" ht="18.75" customHeight="1" x14ac:dyDescent="0.4">
      <c r="A3367" s="14" t="s">
        <v>4556</v>
      </c>
      <c r="B3367" s="16" t="str">
        <f>TRIM("新森中央公園集会所")</f>
        <v>新森中央公園集会所</v>
      </c>
      <c r="C3367" s="14" t="s">
        <v>1532</v>
      </c>
      <c r="D3367" s="14" t="s">
        <v>1091</v>
      </c>
      <c r="E3367" s="1"/>
      <c r="F3367" s="2"/>
      <c r="G3367" s="1">
        <v>204</v>
      </c>
      <c r="H3367" s="3"/>
      <c r="I3367" s="14" t="s">
        <v>2017</v>
      </c>
    </row>
    <row r="3368" spans="1:9" ht="18.75" customHeight="1" x14ac:dyDescent="0.4">
      <c r="A3368" s="14" t="s">
        <v>4710</v>
      </c>
      <c r="B3368" s="16" t="str">
        <f>TRIM("旭東中学校")</f>
        <v>旭東中学校</v>
      </c>
      <c r="C3368" s="14" t="s">
        <v>1532</v>
      </c>
      <c r="D3368" s="14" t="s">
        <v>667</v>
      </c>
      <c r="E3368" s="1">
        <v>20049.5</v>
      </c>
      <c r="F3368" s="2"/>
      <c r="G3368" s="1">
        <v>15395.85</v>
      </c>
      <c r="H3368" s="3"/>
      <c r="I3368" s="14" t="s">
        <v>4689</v>
      </c>
    </row>
    <row r="3369" spans="1:9" ht="18.75" customHeight="1" x14ac:dyDescent="0.4">
      <c r="A3369" s="14" t="s">
        <v>4875</v>
      </c>
      <c r="B3369" s="16" t="str">
        <f>TRIM("新森小路小学校")</f>
        <v>新森小路小学校</v>
      </c>
      <c r="C3369" s="14" t="s">
        <v>1532</v>
      </c>
      <c r="D3369" s="14" t="s">
        <v>667</v>
      </c>
      <c r="E3369" s="1">
        <v>13978.94</v>
      </c>
      <c r="F3369" s="2"/>
      <c r="G3369" s="1">
        <v>7779.13</v>
      </c>
      <c r="H3369" s="3"/>
      <c r="I3369" s="14" t="s">
        <v>4689</v>
      </c>
    </row>
    <row r="3370" spans="1:9" ht="18.75" customHeight="1" x14ac:dyDescent="0.4">
      <c r="A3370" s="14" t="s">
        <v>6429</v>
      </c>
      <c r="B3370" s="16" t="str">
        <f>TRIM("新森住宅")</f>
        <v>新森住宅</v>
      </c>
      <c r="C3370" s="14" t="s">
        <v>1532</v>
      </c>
      <c r="D3370" s="14" t="s">
        <v>667</v>
      </c>
      <c r="E3370" s="1">
        <v>6098.28</v>
      </c>
      <c r="F3370" s="2"/>
      <c r="G3370" s="1">
        <v>5767.6</v>
      </c>
      <c r="H3370" s="3"/>
      <c r="I3370" s="14" t="s">
        <v>6177</v>
      </c>
    </row>
    <row r="3371" spans="1:9" ht="18.75" customHeight="1" x14ac:dyDescent="0.4">
      <c r="A3371" s="14" t="s">
        <v>2849</v>
      </c>
      <c r="B3371" s="16" t="str">
        <f>TRIM("　新森6丁目公園")</f>
        <v>新森6丁目公園</v>
      </c>
      <c r="C3371" s="14" t="s">
        <v>1532</v>
      </c>
      <c r="D3371" s="14" t="s">
        <v>667</v>
      </c>
      <c r="E3371" s="1">
        <v>172.95</v>
      </c>
      <c r="F3371" s="2"/>
      <c r="G3371" s="1"/>
      <c r="H3371" s="3"/>
      <c r="I3371" s="14" t="s">
        <v>2177</v>
      </c>
    </row>
    <row r="3372" spans="1:9" ht="18.75" customHeight="1" x14ac:dyDescent="0.4">
      <c r="A3372" s="14" t="s">
        <v>2851</v>
      </c>
      <c r="B3372" s="16" t="str">
        <f>TRIM("　新森東公園")</f>
        <v>新森東公園</v>
      </c>
      <c r="C3372" s="14" t="s">
        <v>1532</v>
      </c>
      <c r="D3372" s="14" t="s">
        <v>667</v>
      </c>
      <c r="E3372" s="1">
        <v>2475.23</v>
      </c>
      <c r="F3372" s="2"/>
      <c r="G3372" s="1"/>
      <c r="H3372" s="3"/>
      <c r="I3372" s="14" t="s">
        <v>2177</v>
      </c>
    </row>
    <row r="3373" spans="1:9" ht="18.75" customHeight="1" x14ac:dyDescent="0.4">
      <c r="A3373" s="14" t="s">
        <v>4796</v>
      </c>
      <c r="B3373" s="16" t="str">
        <f>TRIM("もと光陽特別支援学校")</f>
        <v>もと光陽特別支援学校</v>
      </c>
      <c r="C3373" s="14" t="s">
        <v>1532</v>
      </c>
      <c r="D3373" s="14" t="s">
        <v>667</v>
      </c>
      <c r="E3373" s="1">
        <v>2102.23</v>
      </c>
      <c r="F3373" s="2"/>
      <c r="G3373" s="1"/>
      <c r="H3373" s="3"/>
      <c r="I3373" s="14" t="s">
        <v>4689</v>
      </c>
    </row>
    <row r="3374" spans="1:9" ht="18.75" customHeight="1" x14ac:dyDescent="0.4">
      <c r="A3374" s="14" t="s">
        <v>5998</v>
      </c>
      <c r="B3374" s="16" t="str">
        <f>TRIM("大気汚染常時監視測定局（新森小路小学校）")</f>
        <v>大気汚染常時監視測定局（新森小路小学校）</v>
      </c>
      <c r="C3374" s="14" t="s">
        <v>1532</v>
      </c>
      <c r="D3374" s="14" t="s">
        <v>667</v>
      </c>
      <c r="E3374" s="1"/>
      <c r="F3374" s="2"/>
      <c r="G3374" s="1">
        <v>10.14</v>
      </c>
      <c r="H3374" s="3"/>
      <c r="I3374" s="14" t="s">
        <v>5977</v>
      </c>
    </row>
    <row r="3375" spans="1:9" ht="18.75" customHeight="1" x14ac:dyDescent="0.4">
      <c r="A3375" s="14" t="s">
        <v>6163</v>
      </c>
      <c r="B3375" s="16" t="str">
        <f>TRIM("別所霊園")</f>
        <v>別所霊園</v>
      </c>
      <c r="C3375" s="14" t="s">
        <v>1532</v>
      </c>
      <c r="D3375" s="14" t="s">
        <v>667</v>
      </c>
      <c r="E3375" s="1">
        <v>152.06</v>
      </c>
      <c r="F3375" s="2"/>
      <c r="G3375" s="1"/>
      <c r="H3375" s="3"/>
      <c r="I3375" s="14" t="s">
        <v>5977</v>
      </c>
    </row>
    <row r="3376" spans="1:9" ht="18.75" customHeight="1" x14ac:dyDescent="0.4">
      <c r="A3376" s="14" t="s">
        <v>5827</v>
      </c>
      <c r="B3376" s="16" t="str">
        <f>TRIM("旭東幼稚園")</f>
        <v>旭東幼稚園</v>
      </c>
      <c r="C3376" s="14" t="s">
        <v>1532</v>
      </c>
      <c r="D3376" s="14" t="s">
        <v>196</v>
      </c>
      <c r="E3376" s="1">
        <v>1487.6</v>
      </c>
      <c r="F3376" s="2"/>
      <c r="G3376" s="1">
        <v>579.94000000000005</v>
      </c>
      <c r="H3376" s="3"/>
      <c r="I3376" s="14" t="s">
        <v>5617</v>
      </c>
    </row>
    <row r="3377" spans="1:9" ht="18.75" customHeight="1" x14ac:dyDescent="0.4">
      <c r="A3377" s="14" t="s">
        <v>5450</v>
      </c>
      <c r="B3377" s="16" t="str">
        <f>TRIM("過小地（その他）")</f>
        <v>過小地（その他）</v>
      </c>
      <c r="C3377" s="14" t="s">
        <v>1532</v>
      </c>
      <c r="D3377" s="14" t="s">
        <v>196</v>
      </c>
      <c r="E3377" s="1">
        <v>1078.1600000000001</v>
      </c>
      <c r="F3377" s="2"/>
      <c r="G3377" s="1"/>
      <c r="H3377" s="3"/>
      <c r="I3377" s="14" t="s">
        <v>5349</v>
      </c>
    </row>
    <row r="3378" spans="1:9" ht="18.75" customHeight="1" x14ac:dyDescent="0.4">
      <c r="A3378" s="14" t="s">
        <v>6021</v>
      </c>
      <c r="B3378" s="16" t="str">
        <f>TRIM("旭区内公衆便所")</f>
        <v>旭区内公衆便所</v>
      </c>
      <c r="C3378" s="14" t="s">
        <v>1532</v>
      </c>
      <c r="D3378" s="14" t="s">
        <v>1474</v>
      </c>
      <c r="E3378" s="1"/>
      <c r="F3378" s="2"/>
      <c r="G3378" s="1">
        <v>19.66</v>
      </c>
      <c r="H3378" s="3"/>
      <c r="I3378" s="14" t="s">
        <v>5977</v>
      </c>
    </row>
    <row r="3379" spans="1:9" ht="18.75" customHeight="1" x14ac:dyDescent="0.4">
      <c r="A3379" s="14" t="s">
        <v>2958</v>
      </c>
      <c r="B3379" s="16" t="str">
        <f>TRIM("　千林公園")</f>
        <v>千林公園</v>
      </c>
      <c r="C3379" s="14" t="s">
        <v>1532</v>
      </c>
      <c r="D3379" s="14" t="s">
        <v>60</v>
      </c>
      <c r="E3379" s="1">
        <v>1497.6</v>
      </c>
      <c r="F3379" s="2"/>
      <c r="G3379" s="1"/>
      <c r="H3379" s="3"/>
      <c r="I3379" s="14" t="s">
        <v>2177</v>
      </c>
    </row>
    <row r="3380" spans="1:9" ht="18.75" customHeight="1" x14ac:dyDescent="0.4">
      <c r="A3380" s="14" t="s">
        <v>7078</v>
      </c>
      <c r="B3380" s="16" t="str">
        <f>TRIM("森小路小売市場民営活性化事業施設  ")</f>
        <v>森小路小売市場民営活性化事業施設</v>
      </c>
      <c r="C3380" s="14" t="s">
        <v>1532</v>
      </c>
      <c r="D3380" s="14" t="s">
        <v>60</v>
      </c>
      <c r="E3380" s="1">
        <v>2043.75</v>
      </c>
      <c r="F3380" s="2"/>
      <c r="G3380" s="1"/>
      <c r="H3380" s="3"/>
      <c r="I3380" s="14" t="s">
        <v>4115</v>
      </c>
    </row>
    <row r="3381" spans="1:9" ht="18.75" customHeight="1" x14ac:dyDescent="0.4">
      <c r="A3381" s="14" t="s">
        <v>4926</v>
      </c>
      <c r="B3381" s="16" t="str">
        <f>TRIM("太子橋小学校")</f>
        <v>太子橋小学校</v>
      </c>
      <c r="C3381" s="14" t="s">
        <v>1532</v>
      </c>
      <c r="D3381" s="14" t="s">
        <v>194</v>
      </c>
      <c r="E3381" s="1">
        <v>9518.19</v>
      </c>
      <c r="F3381" s="2"/>
      <c r="G3381" s="1">
        <v>9016.19</v>
      </c>
      <c r="H3381" s="3"/>
      <c r="I3381" s="14" t="s">
        <v>4689</v>
      </c>
    </row>
    <row r="3382" spans="1:9" ht="18.75" customHeight="1" x14ac:dyDescent="0.4">
      <c r="A3382" s="14" t="s">
        <v>6375</v>
      </c>
      <c r="B3382" s="16" t="str">
        <f>TRIM("今市住宅")</f>
        <v>今市住宅</v>
      </c>
      <c r="C3382" s="14" t="s">
        <v>1532</v>
      </c>
      <c r="D3382" s="14" t="s">
        <v>194</v>
      </c>
      <c r="E3382" s="1">
        <v>2591.73</v>
      </c>
      <c r="F3382" s="2"/>
      <c r="G3382" s="1">
        <v>5013.45</v>
      </c>
      <c r="H3382" s="3"/>
      <c r="I3382" s="14" t="s">
        <v>6177</v>
      </c>
    </row>
    <row r="3383" spans="1:9" ht="18.75" customHeight="1" x14ac:dyDescent="0.4">
      <c r="A3383" s="14" t="s">
        <v>6743</v>
      </c>
      <c r="B3383" s="16" t="str">
        <f>TRIM("太子橋住宅")</f>
        <v>太子橋住宅</v>
      </c>
      <c r="C3383" s="14" t="s">
        <v>1532</v>
      </c>
      <c r="D3383" s="14" t="s">
        <v>194</v>
      </c>
      <c r="E3383" s="1">
        <v>1589.75</v>
      </c>
      <c r="F3383" s="2"/>
      <c r="G3383" s="1">
        <v>1048.49</v>
      </c>
      <c r="H3383" s="3"/>
      <c r="I3383" s="14" t="s">
        <v>6177</v>
      </c>
    </row>
    <row r="3384" spans="1:9" ht="18.75" customHeight="1" x14ac:dyDescent="0.4">
      <c r="A3384" s="14" t="s">
        <v>2974</v>
      </c>
      <c r="B3384" s="16" t="str">
        <f>TRIM("　太子橋西公園")</f>
        <v>太子橋西公園</v>
      </c>
      <c r="C3384" s="14" t="s">
        <v>1532</v>
      </c>
      <c r="D3384" s="14" t="s">
        <v>194</v>
      </c>
      <c r="E3384" s="1">
        <v>1032.33</v>
      </c>
      <c r="F3384" s="2"/>
      <c r="G3384" s="1"/>
      <c r="H3384" s="3"/>
      <c r="I3384" s="14" t="s">
        <v>2177</v>
      </c>
    </row>
    <row r="3385" spans="1:9" ht="18.75" customHeight="1" x14ac:dyDescent="0.4">
      <c r="A3385" s="14" t="s">
        <v>2977</v>
      </c>
      <c r="B3385" s="16" t="str">
        <f>TRIM("　太子橋南公園")</f>
        <v>太子橋南公園</v>
      </c>
      <c r="C3385" s="14" t="s">
        <v>1532</v>
      </c>
      <c r="D3385" s="14" t="s">
        <v>194</v>
      </c>
      <c r="E3385" s="1">
        <v>1994.04</v>
      </c>
      <c r="F3385" s="2"/>
      <c r="G3385" s="1"/>
      <c r="H3385" s="3"/>
      <c r="I3385" s="14" t="s">
        <v>2177</v>
      </c>
    </row>
    <row r="3386" spans="1:9" ht="18.75" customHeight="1" x14ac:dyDescent="0.4">
      <c r="A3386" s="14" t="s">
        <v>3880</v>
      </c>
      <c r="B3386" s="16" t="str">
        <f>TRIM("太子橋今市駅自転車駐車場管理事務所")</f>
        <v>太子橋今市駅自転車駐車場管理事務所</v>
      </c>
      <c r="C3386" s="14" t="s">
        <v>1532</v>
      </c>
      <c r="D3386" s="14" t="s">
        <v>194</v>
      </c>
      <c r="E3386" s="1"/>
      <c r="F3386" s="2"/>
      <c r="G3386" s="1">
        <v>3.89</v>
      </c>
      <c r="H3386" s="3"/>
      <c r="I3386" s="14" t="s">
        <v>2177</v>
      </c>
    </row>
    <row r="3387" spans="1:9" ht="18.75" customHeight="1" x14ac:dyDescent="0.4">
      <c r="A3387" s="14" t="s">
        <v>5448</v>
      </c>
      <c r="B3387" s="16" t="str">
        <f>TRIM("旭署太子橋交番")</f>
        <v>旭署太子橋交番</v>
      </c>
      <c r="C3387" s="14" t="s">
        <v>1532</v>
      </c>
      <c r="D3387" s="14" t="s">
        <v>194</v>
      </c>
      <c r="E3387" s="1">
        <v>42.97</v>
      </c>
      <c r="F3387" s="2"/>
      <c r="G3387" s="1"/>
      <c r="H3387" s="3"/>
      <c r="I3387" s="14" t="s">
        <v>5349</v>
      </c>
    </row>
    <row r="3388" spans="1:9" ht="18.75" customHeight="1" x14ac:dyDescent="0.4">
      <c r="A3388" s="14" t="s">
        <v>2975</v>
      </c>
      <c r="B3388" s="16" t="str">
        <f>TRIM("　太子橋中公園")</f>
        <v>太子橋中公園</v>
      </c>
      <c r="C3388" s="14" t="s">
        <v>1532</v>
      </c>
      <c r="D3388" s="14" t="s">
        <v>1126</v>
      </c>
      <c r="E3388" s="1">
        <v>15361.02</v>
      </c>
      <c r="F3388" s="2"/>
      <c r="G3388" s="1"/>
      <c r="H3388" s="3"/>
      <c r="I3388" s="14" t="s">
        <v>2177</v>
      </c>
    </row>
    <row r="3389" spans="1:9" ht="18.75" customHeight="1" x14ac:dyDescent="0.4">
      <c r="A3389" s="14" t="s">
        <v>3606</v>
      </c>
      <c r="B3389" s="16" t="str">
        <f>TRIM("　太子橋中公園")</f>
        <v>太子橋中公園</v>
      </c>
      <c r="C3389" s="14" t="s">
        <v>1532</v>
      </c>
      <c r="D3389" s="14" t="s">
        <v>1126</v>
      </c>
      <c r="E3389" s="1"/>
      <c r="F3389" s="2"/>
      <c r="G3389" s="1">
        <v>18.239999999999998</v>
      </c>
      <c r="H3389" s="3"/>
      <c r="I3389" s="14" t="s">
        <v>2177</v>
      </c>
    </row>
    <row r="3390" spans="1:9" ht="18.75" customHeight="1" x14ac:dyDescent="0.4">
      <c r="A3390" s="14" t="s">
        <v>4558</v>
      </c>
      <c r="B3390" s="16" t="str">
        <f>TRIM("太子橋中公園集会所")</f>
        <v>太子橋中公園集会所</v>
      </c>
      <c r="C3390" s="14" t="s">
        <v>1532</v>
      </c>
      <c r="D3390" s="14" t="s">
        <v>1126</v>
      </c>
      <c r="E3390" s="1"/>
      <c r="F3390" s="2"/>
      <c r="G3390" s="1">
        <v>201.48</v>
      </c>
      <c r="H3390" s="3"/>
      <c r="I3390" s="14" t="s">
        <v>2017</v>
      </c>
    </row>
    <row r="3391" spans="1:9" ht="18.75" customHeight="1" x14ac:dyDescent="0.4">
      <c r="A3391" s="14" t="s">
        <v>6724</v>
      </c>
      <c r="B3391" s="16" t="str">
        <f>TRIM("橋寺住宅")</f>
        <v>橋寺住宅</v>
      </c>
      <c r="C3391" s="14" t="s">
        <v>1532</v>
      </c>
      <c r="D3391" s="14" t="s">
        <v>855</v>
      </c>
      <c r="E3391" s="1">
        <v>6517.89</v>
      </c>
      <c r="F3391" s="2"/>
      <c r="G3391" s="1">
        <v>8567.4</v>
      </c>
      <c r="H3391" s="3"/>
      <c r="I3391" s="14" t="s">
        <v>6177</v>
      </c>
    </row>
    <row r="3392" spans="1:9" ht="18.75" customHeight="1" x14ac:dyDescent="0.4">
      <c r="A3392" s="14" t="s">
        <v>2976</v>
      </c>
      <c r="B3392" s="16" t="str">
        <f>TRIM("　太子橋東公園")</f>
        <v>太子橋東公園</v>
      </c>
      <c r="C3392" s="14" t="s">
        <v>1532</v>
      </c>
      <c r="D3392" s="14" t="s">
        <v>855</v>
      </c>
      <c r="E3392" s="1">
        <v>993.06</v>
      </c>
      <c r="F3392" s="2"/>
      <c r="G3392" s="1"/>
      <c r="H3392" s="3"/>
      <c r="I3392" s="14" t="s">
        <v>2177</v>
      </c>
    </row>
    <row r="3393" spans="1:9" ht="18.75" customHeight="1" x14ac:dyDescent="0.4">
      <c r="A3393" s="14" t="s">
        <v>2713</v>
      </c>
      <c r="B3393" s="16" t="str">
        <f>TRIM("　高殿西公園")</f>
        <v>高殿西公園</v>
      </c>
      <c r="C3393" s="14" t="s">
        <v>1532</v>
      </c>
      <c r="D3393" s="14" t="s">
        <v>1042</v>
      </c>
      <c r="E3393" s="1">
        <v>991.73</v>
      </c>
      <c r="F3393" s="2"/>
      <c r="G3393" s="1"/>
      <c r="H3393" s="3"/>
      <c r="I3393" s="14" t="s">
        <v>2177</v>
      </c>
    </row>
    <row r="3394" spans="1:9" ht="18.75" customHeight="1" x14ac:dyDescent="0.4">
      <c r="A3394" s="14" t="s">
        <v>3451</v>
      </c>
      <c r="B3394" s="16" t="str">
        <f>TRIM("西浪橋公園")</f>
        <v>西浪橋公園</v>
      </c>
      <c r="C3394" s="14" t="s">
        <v>1532</v>
      </c>
      <c r="D3394" s="14" t="s">
        <v>1042</v>
      </c>
      <c r="E3394" s="1">
        <v>1950.77</v>
      </c>
      <c r="F3394" s="2"/>
      <c r="G3394" s="1"/>
      <c r="H3394" s="3"/>
      <c r="I3394" s="14" t="s">
        <v>2177</v>
      </c>
    </row>
    <row r="3395" spans="1:9" ht="18.75" customHeight="1" x14ac:dyDescent="0.4">
      <c r="A3395" s="14" t="s">
        <v>6371</v>
      </c>
      <c r="B3395" s="16" t="str">
        <f>TRIM("高殿西第2住宅")</f>
        <v>高殿西第2住宅</v>
      </c>
      <c r="C3395" s="14" t="s">
        <v>1532</v>
      </c>
      <c r="D3395" s="14" t="s">
        <v>746</v>
      </c>
      <c r="E3395" s="1">
        <v>3150.41</v>
      </c>
      <c r="F3395" s="2"/>
      <c r="G3395" s="1">
        <v>2606.23</v>
      </c>
      <c r="H3395" s="3"/>
      <c r="I3395" s="14" t="s">
        <v>6177</v>
      </c>
    </row>
    <row r="3396" spans="1:9" ht="18.75" customHeight="1" x14ac:dyDescent="0.4">
      <c r="A3396" s="14" t="s">
        <v>6372</v>
      </c>
      <c r="B3396" s="16" t="str">
        <f>TRIM("高殿西第3住宅")</f>
        <v>高殿西第3住宅</v>
      </c>
      <c r="C3396" s="14" t="s">
        <v>1532</v>
      </c>
      <c r="D3396" s="14" t="s">
        <v>746</v>
      </c>
      <c r="E3396" s="1">
        <v>2047.68</v>
      </c>
      <c r="F3396" s="2"/>
      <c r="G3396" s="1">
        <v>1606.53</v>
      </c>
      <c r="H3396" s="3"/>
      <c r="I3396" s="14" t="s">
        <v>6177</v>
      </c>
    </row>
    <row r="3397" spans="1:9" ht="18.75" customHeight="1" x14ac:dyDescent="0.4">
      <c r="A3397" s="14" t="s">
        <v>6445</v>
      </c>
      <c r="B3397" s="16" t="str">
        <f>TRIM("高殿西第4住宅")</f>
        <v>高殿西第4住宅</v>
      </c>
      <c r="C3397" s="14" t="s">
        <v>1532</v>
      </c>
      <c r="D3397" s="14" t="s">
        <v>746</v>
      </c>
      <c r="E3397" s="1">
        <v>2549.14</v>
      </c>
      <c r="F3397" s="2"/>
      <c r="G3397" s="1">
        <v>5007.78</v>
      </c>
      <c r="H3397" s="3"/>
      <c r="I3397" s="14" t="s">
        <v>6177</v>
      </c>
    </row>
    <row r="3398" spans="1:9" ht="18.75" customHeight="1" x14ac:dyDescent="0.4">
      <c r="A3398" s="14" t="s">
        <v>4554</v>
      </c>
      <c r="B3398" s="16" t="str">
        <f>TRIM("高殿南地域集会所")</f>
        <v>高殿南地域集会所</v>
      </c>
      <c r="C3398" s="14" t="s">
        <v>1532</v>
      </c>
      <c r="D3398" s="14" t="s">
        <v>745</v>
      </c>
      <c r="E3398" s="1">
        <v>347.32</v>
      </c>
      <c r="F3398" s="2"/>
      <c r="G3398" s="1">
        <v>178.3</v>
      </c>
      <c r="H3398" s="3"/>
      <c r="I3398" s="14" t="s">
        <v>2017</v>
      </c>
    </row>
    <row r="3399" spans="1:9" ht="18.75" customHeight="1" x14ac:dyDescent="0.4">
      <c r="A3399" s="14" t="s">
        <v>4811</v>
      </c>
      <c r="B3399" s="16" t="str">
        <f>TRIM("高殿南小学校")</f>
        <v>高殿南小学校</v>
      </c>
      <c r="C3399" s="14" t="s">
        <v>1532</v>
      </c>
      <c r="D3399" s="14" t="s">
        <v>745</v>
      </c>
      <c r="E3399" s="1">
        <v>10755.43</v>
      </c>
      <c r="F3399" s="2"/>
      <c r="G3399" s="1">
        <v>5605.72</v>
      </c>
      <c r="H3399" s="3"/>
      <c r="I3399" s="14" t="s">
        <v>4689</v>
      </c>
    </row>
    <row r="3400" spans="1:9" ht="18.75" customHeight="1" x14ac:dyDescent="0.4">
      <c r="A3400" s="14" t="s">
        <v>6370</v>
      </c>
      <c r="B3400" s="16" t="str">
        <f>TRIM("高殿西住宅")</f>
        <v>高殿西住宅</v>
      </c>
      <c r="C3400" s="14" t="s">
        <v>1532</v>
      </c>
      <c r="D3400" s="14" t="s">
        <v>745</v>
      </c>
      <c r="E3400" s="1">
        <v>29049.54</v>
      </c>
      <c r="F3400" s="2"/>
      <c r="G3400" s="1">
        <v>32040.959999999999</v>
      </c>
      <c r="H3400" s="3"/>
      <c r="I3400" s="14" t="s">
        <v>6177</v>
      </c>
    </row>
    <row r="3401" spans="1:9" ht="18.75" customHeight="1" x14ac:dyDescent="0.4">
      <c r="A3401" s="14" t="s">
        <v>6373</v>
      </c>
      <c r="B3401" s="16" t="str">
        <f>TRIM("高殿南住宅")</f>
        <v>高殿南住宅</v>
      </c>
      <c r="C3401" s="14" t="s">
        <v>1532</v>
      </c>
      <c r="D3401" s="14" t="s">
        <v>745</v>
      </c>
      <c r="E3401" s="1">
        <v>3249.56</v>
      </c>
      <c r="F3401" s="2"/>
      <c r="G3401" s="1">
        <v>3090.35</v>
      </c>
      <c r="H3401" s="3"/>
      <c r="I3401" s="14" t="s">
        <v>6177</v>
      </c>
    </row>
    <row r="3402" spans="1:9" ht="18.75" customHeight="1" x14ac:dyDescent="0.4">
      <c r="A3402" s="14" t="s">
        <v>3425</v>
      </c>
      <c r="B3402" s="16" t="str">
        <f>TRIM("高殿南三公園")</f>
        <v>高殿南三公園</v>
      </c>
      <c r="C3402" s="14" t="s">
        <v>1532</v>
      </c>
      <c r="D3402" s="14" t="s">
        <v>745</v>
      </c>
      <c r="E3402" s="1">
        <v>1389.55</v>
      </c>
      <c r="F3402" s="2"/>
      <c r="G3402" s="1"/>
      <c r="H3402" s="3"/>
      <c r="I3402" s="14" t="s">
        <v>2177</v>
      </c>
    </row>
    <row r="3403" spans="1:9" ht="18.75" customHeight="1" x14ac:dyDescent="0.4">
      <c r="A3403" s="14" t="s">
        <v>3426</v>
      </c>
      <c r="B3403" s="16" t="str">
        <f>TRIM("高殿南四公園")</f>
        <v>高殿南四公園</v>
      </c>
      <c r="C3403" s="14" t="s">
        <v>1532</v>
      </c>
      <c r="D3403" s="14" t="s">
        <v>1277</v>
      </c>
      <c r="E3403" s="1">
        <v>993.91</v>
      </c>
      <c r="F3403" s="2"/>
      <c r="G3403" s="1"/>
      <c r="H3403" s="3"/>
      <c r="I3403" s="14" t="s">
        <v>2177</v>
      </c>
    </row>
    <row r="3404" spans="1:9" ht="18.75" customHeight="1" x14ac:dyDescent="0.4">
      <c r="A3404" s="14" t="s">
        <v>3792</v>
      </c>
      <c r="B3404" s="16" t="str">
        <f>TRIM("関目高殿駅自転車駐車場管理ボックス")</f>
        <v>関目高殿駅自転車駐車場管理ボックス</v>
      </c>
      <c r="C3404" s="14" t="s">
        <v>1532</v>
      </c>
      <c r="D3404" s="14" t="s">
        <v>1277</v>
      </c>
      <c r="E3404" s="1"/>
      <c r="F3404" s="2"/>
      <c r="G3404" s="1">
        <v>14.8</v>
      </c>
      <c r="H3404" s="3"/>
      <c r="I3404" s="14" t="s">
        <v>2177</v>
      </c>
    </row>
    <row r="3405" spans="1:9" ht="18.75" customHeight="1" x14ac:dyDescent="0.4">
      <c r="A3405" s="14" t="s">
        <v>3793</v>
      </c>
      <c r="B3405" s="16" t="str">
        <f>TRIM("関目高殿駅自転車駐車場管理事務所")</f>
        <v>関目高殿駅自転車駐車場管理事務所</v>
      </c>
      <c r="C3405" s="14" t="s">
        <v>1532</v>
      </c>
      <c r="D3405" s="14" t="s">
        <v>1277</v>
      </c>
      <c r="E3405" s="1"/>
      <c r="F3405" s="2"/>
      <c r="G3405" s="1">
        <v>3.89</v>
      </c>
      <c r="H3405" s="3"/>
      <c r="I3405" s="14" t="s">
        <v>2177</v>
      </c>
    </row>
    <row r="3406" spans="1:9" ht="18.75" customHeight="1" x14ac:dyDescent="0.4">
      <c r="A3406" s="14" t="s">
        <v>4711</v>
      </c>
      <c r="B3406" s="16" t="str">
        <f>TRIM("旭陽中学校")</f>
        <v>旭陽中学校</v>
      </c>
      <c r="C3406" s="14" t="s">
        <v>1532</v>
      </c>
      <c r="D3406" s="14" t="s">
        <v>207</v>
      </c>
      <c r="E3406" s="1">
        <v>16707.43</v>
      </c>
      <c r="F3406" s="2"/>
      <c r="G3406" s="1">
        <v>10551.49</v>
      </c>
      <c r="H3406" s="3"/>
      <c r="I3406" s="14" t="s">
        <v>4689</v>
      </c>
    </row>
    <row r="3407" spans="1:9" ht="18.75" customHeight="1" x14ac:dyDescent="0.4">
      <c r="A3407" s="14" t="s">
        <v>6374</v>
      </c>
      <c r="B3407" s="16" t="str">
        <f>TRIM("高殿北住宅")</f>
        <v>高殿北住宅</v>
      </c>
      <c r="C3407" s="14" t="s">
        <v>1532</v>
      </c>
      <c r="D3407" s="14" t="s">
        <v>207</v>
      </c>
      <c r="E3407" s="1">
        <v>6538.21</v>
      </c>
      <c r="F3407" s="2"/>
      <c r="G3407" s="1">
        <v>12399.4</v>
      </c>
      <c r="H3407" s="3"/>
      <c r="I3407" s="14" t="s">
        <v>6177</v>
      </c>
    </row>
    <row r="3408" spans="1:9" ht="18.75" customHeight="1" x14ac:dyDescent="0.4">
      <c r="A3408" s="14" t="s">
        <v>2231</v>
      </c>
      <c r="B3408" s="16" t="str">
        <f>TRIM("上新庄生野線（旭）（管財課）")</f>
        <v>上新庄生野線（旭）（管財課）</v>
      </c>
      <c r="C3408" s="14" t="s">
        <v>1532</v>
      </c>
      <c r="D3408" s="14" t="s">
        <v>207</v>
      </c>
      <c r="E3408" s="1">
        <v>18610.22</v>
      </c>
      <c r="F3408" s="2"/>
      <c r="G3408" s="1"/>
      <c r="H3408" s="3"/>
      <c r="I3408" s="14" t="s">
        <v>2177</v>
      </c>
    </row>
    <row r="3409" spans="1:9" ht="18.75" customHeight="1" x14ac:dyDescent="0.4">
      <c r="A3409" s="14" t="s">
        <v>2465</v>
      </c>
      <c r="B3409" s="16" t="str">
        <f>TRIM("運河（旭）")</f>
        <v>運河（旭）</v>
      </c>
      <c r="C3409" s="14" t="s">
        <v>1532</v>
      </c>
      <c r="D3409" s="14" t="s">
        <v>207</v>
      </c>
      <c r="E3409" s="1">
        <v>84400.16</v>
      </c>
      <c r="F3409" s="2"/>
      <c r="G3409" s="1"/>
      <c r="H3409" s="3"/>
      <c r="I3409" s="14" t="s">
        <v>2177</v>
      </c>
    </row>
    <row r="3410" spans="1:9" ht="18.75" customHeight="1" x14ac:dyDescent="0.4">
      <c r="A3410" s="14" t="s">
        <v>2552</v>
      </c>
      <c r="B3410" s="16" t="str">
        <f>TRIM("　旭公園")</f>
        <v>旭公園</v>
      </c>
      <c r="C3410" s="14" t="s">
        <v>1532</v>
      </c>
      <c r="D3410" s="14" t="s">
        <v>207</v>
      </c>
      <c r="E3410" s="1">
        <v>40775.42</v>
      </c>
      <c r="F3410" s="2"/>
      <c r="G3410" s="1"/>
      <c r="H3410" s="3"/>
      <c r="I3410" s="14" t="s">
        <v>2177</v>
      </c>
    </row>
    <row r="3411" spans="1:9" ht="18.75" customHeight="1" x14ac:dyDescent="0.4">
      <c r="A3411" s="14" t="s">
        <v>3528</v>
      </c>
      <c r="B3411" s="16" t="str">
        <f>TRIM("　旭公園")</f>
        <v>旭公園</v>
      </c>
      <c r="C3411" s="14" t="s">
        <v>1532</v>
      </c>
      <c r="D3411" s="14" t="s">
        <v>207</v>
      </c>
      <c r="E3411" s="1"/>
      <c r="F3411" s="2"/>
      <c r="G3411" s="1">
        <v>331.72</v>
      </c>
      <c r="H3411" s="3"/>
      <c r="I3411" s="14" t="s">
        <v>2177</v>
      </c>
    </row>
    <row r="3412" spans="1:9" ht="18.75" customHeight="1" x14ac:dyDescent="0.4">
      <c r="A3412" s="14" t="s">
        <v>5466</v>
      </c>
      <c r="B3412" s="16" t="str">
        <f>TRIM("契約管財局賃貸地（旭）")</f>
        <v>契約管財局賃貸地（旭）</v>
      </c>
      <c r="C3412" s="14" t="s">
        <v>1532</v>
      </c>
      <c r="D3412" s="14" t="s">
        <v>207</v>
      </c>
      <c r="E3412" s="1">
        <v>3862.96</v>
      </c>
      <c r="F3412" s="2"/>
      <c r="G3412" s="1"/>
      <c r="H3412" s="3"/>
      <c r="I3412" s="14" t="s">
        <v>5349</v>
      </c>
    </row>
    <row r="3413" spans="1:9" ht="18.75" customHeight="1" x14ac:dyDescent="0.4">
      <c r="A3413" s="14" t="s">
        <v>7095</v>
      </c>
      <c r="B3413" s="16" t="str">
        <f>TRIM("旭スポーツセンター")</f>
        <v>旭スポーツセンター</v>
      </c>
      <c r="C3413" s="14" t="s">
        <v>1532</v>
      </c>
      <c r="D3413" s="14" t="s">
        <v>207</v>
      </c>
      <c r="E3413" s="1"/>
      <c r="F3413" s="2"/>
      <c r="G3413" s="1">
        <v>3559.4</v>
      </c>
      <c r="H3413" s="3"/>
      <c r="I3413" s="14" t="s">
        <v>4115</v>
      </c>
    </row>
    <row r="3414" spans="1:9" ht="18.75" customHeight="1" x14ac:dyDescent="0.4">
      <c r="A3414" s="14" t="s">
        <v>7139</v>
      </c>
      <c r="B3414" s="16" t="str">
        <f>TRIM("旭プール")</f>
        <v>旭プール</v>
      </c>
      <c r="C3414" s="14" t="s">
        <v>1532</v>
      </c>
      <c r="D3414" s="14" t="s">
        <v>207</v>
      </c>
      <c r="E3414" s="1"/>
      <c r="F3414" s="2"/>
      <c r="G3414" s="1">
        <v>764.25</v>
      </c>
      <c r="H3414" s="3"/>
      <c r="I3414" s="14" t="s">
        <v>4115</v>
      </c>
    </row>
    <row r="3415" spans="1:9" ht="18.75" customHeight="1" x14ac:dyDescent="0.4">
      <c r="A3415" s="14" t="s">
        <v>1861</v>
      </c>
      <c r="B3415" s="16" t="str">
        <f>TRIM("もと介護老人保健施設おとしよりすこやかセンター（北部館）")</f>
        <v>もと介護老人保健施設おとしよりすこやかセンター（北部館）</v>
      </c>
      <c r="C3415" s="14" t="s">
        <v>1532</v>
      </c>
      <c r="D3415" s="14" t="s">
        <v>71</v>
      </c>
      <c r="E3415" s="1">
        <v>3011.87</v>
      </c>
      <c r="F3415" s="2"/>
      <c r="G3415" s="1">
        <v>6096.34</v>
      </c>
      <c r="H3415" s="3"/>
      <c r="I3415" s="14" t="s">
        <v>1654</v>
      </c>
    </row>
    <row r="3416" spans="1:9" ht="18.75" customHeight="1" x14ac:dyDescent="0.4">
      <c r="A3416" s="14" t="s">
        <v>4810</v>
      </c>
      <c r="B3416" s="16" t="str">
        <f>TRIM("高殿小学校")</f>
        <v>高殿小学校</v>
      </c>
      <c r="C3416" s="14" t="s">
        <v>1532</v>
      </c>
      <c r="D3416" s="14" t="s">
        <v>71</v>
      </c>
      <c r="E3416" s="1">
        <v>12356.8</v>
      </c>
      <c r="F3416" s="2"/>
      <c r="G3416" s="1">
        <v>12015.21</v>
      </c>
      <c r="H3416" s="3"/>
      <c r="I3416" s="14" t="s">
        <v>4689</v>
      </c>
    </row>
    <row r="3417" spans="1:9" ht="18.75" customHeight="1" x14ac:dyDescent="0.4">
      <c r="A3417" s="14" t="s">
        <v>5974</v>
      </c>
      <c r="B3417" s="16" t="str">
        <f>TRIM("保育・幼児教育センター")</f>
        <v>保育・幼児教育センター</v>
      </c>
      <c r="C3417" s="14" t="s">
        <v>1532</v>
      </c>
      <c r="D3417" s="14" t="s">
        <v>71</v>
      </c>
      <c r="E3417" s="1">
        <v>1538.97</v>
      </c>
      <c r="F3417" s="2"/>
      <c r="G3417" s="1">
        <v>2163.71</v>
      </c>
      <c r="H3417" s="3"/>
      <c r="I3417" s="14" t="s">
        <v>5617</v>
      </c>
    </row>
    <row r="3418" spans="1:9" ht="18.75" customHeight="1" x14ac:dyDescent="0.4">
      <c r="A3418" s="14" t="s">
        <v>6369</v>
      </c>
      <c r="B3418" s="16" t="str">
        <f>TRIM("高殿住宅")</f>
        <v>高殿住宅</v>
      </c>
      <c r="C3418" s="14" t="s">
        <v>1532</v>
      </c>
      <c r="D3418" s="14" t="s">
        <v>71</v>
      </c>
      <c r="E3418" s="1">
        <v>18398.87</v>
      </c>
      <c r="F3418" s="2"/>
      <c r="G3418" s="1">
        <v>15330.79</v>
      </c>
      <c r="H3418" s="3"/>
      <c r="I3418" s="14" t="s">
        <v>6177</v>
      </c>
    </row>
    <row r="3419" spans="1:9" ht="18.75" customHeight="1" x14ac:dyDescent="0.4">
      <c r="A3419" s="14" t="s">
        <v>7096</v>
      </c>
      <c r="B3419" s="16" t="str">
        <f>TRIM("旭屋内プール")</f>
        <v>旭屋内プール</v>
      </c>
      <c r="C3419" s="14" t="s">
        <v>1532</v>
      </c>
      <c r="D3419" s="14" t="s">
        <v>71</v>
      </c>
      <c r="E3419" s="1">
        <v>2988.82</v>
      </c>
      <c r="F3419" s="2"/>
      <c r="G3419" s="1">
        <v>4694.9799999999996</v>
      </c>
      <c r="H3419" s="3"/>
      <c r="I3419" s="14" t="s">
        <v>4115</v>
      </c>
    </row>
    <row r="3420" spans="1:9" ht="18.75" customHeight="1" x14ac:dyDescent="0.4">
      <c r="A3420" s="14" t="s">
        <v>1851</v>
      </c>
      <c r="B3420" s="16" t="str">
        <f>TRIM("旭区在宅サービスセンター")</f>
        <v>旭区在宅サービスセンター</v>
      </c>
      <c r="C3420" s="14" t="s">
        <v>1532</v>
      </c>
      <c r="D3420" s="14" t="s">
        <v>71</v>
      </c>
      <c r="E3420" s="1">
        <v>989</v>
      </c>
      <c r="F3420" s="2"/>
      <c r="G3420" s="1"/>
      <c r="H3420" s="3"/>
      <c r="I3420" s="14" t="s">
        <v>1654</v>
      </c>
    </row>
    <row r="3421" spans="1:9" ht="18.75" customHeight="1" x14ac:dyDescent="0.4">
      <c r="A3421" s="14" t="s">
        <v>1940</v>
      </c>
      <c r="B3421" s="16" t="str">
        <f>TRIM("特別養護老人ホームゆうゆう")</f>
        <v>特別養護老人ホームゆうゆう</v>
      </c>
      <c r="C3421" s="14" t="s">
        <v>1532</v>
      </c>
      <c r="D3421" s="14" t="s">
        <v>71</v>
      </c>
      <c r="E3421" s="1">
        <v>2112.92</v>
      </c>
      <c r="F3421" s="2"/>
      <c r="G3421" s="1"/>
      <c r="H3421" s="3"/>
      <c r="I3421" s="14" t="s">
        <v>1654</v>
      </c>
    </row>
    <row r="3422" spans="1:9" ht="18.75" customHeight="1" x14ac:dyDescent="0.4">
      <c r="A3422" s="14" t="s">
        <v>2025</v>
      </c>
      <c r="B3422" s="16" t="str">
        <f>TRIM("高殿会館地域集会所")</f>
        <v>高殿会館地域集会所</v>
      </c>
      <c r="C3422" s="14" t="s">
        <v>1532</v>
      </c>
      <c r="D3422" s="14" t="s">
        <v>71</v>
      </c>
      <c r="E3422" s="1">
        <v>174.9</v>
      </c>
      <c r="F3422" s="2"/>
      <c r="G3422" s="1"/>
      <c r="H3422" s="3"/>
      <c r="I3422" s="14" t="s">
        <v>2017</v>
      </c>
    </row>
    <row r="3423" spans="1:9" ht="18.75" customHeight="1" x14ac:dyDescent="0.4">
      <c r="A3423" s="14" t="s">
        <v>5989</v>
      </c>
      <c r="B3423" s="16" t="str">
        <f>TRIM("公害工場跡地（田中電工）")</f>
        <v>公害工場跡地（田中電工）</v>
      </c>
      <c r="C3423" s="14" t="s">
        <v>1532</v>
      </c>
      <c r="D3423" s="14" t="s">
        <v>71</v>
      </c>
      <c r="E3423" s="1">
        <v>1401.55</v>
      </c>
      <c r="F3423" s="2"/>
      <c r="G3423" s="1"/>
      <c r="H3423" s="3"/>
      <c r="I3423" s="14" t="s">
        <v>5977</v>
      </c>
    </row>
    <row r="3424" spans="1:9" ht="18.75" customHeight="1" x14ac:dyDescent="0.4">
      <c r="A3424" s="14" t="s">
        <v>6963</v>
      </c>
      <c r="B3424" s="16" t="str">
        <f>TRIM("もと城北市民病院")</f>
        <v>もと城北市民病院</v>
      </c>
      <c r="C3424" s="14" t="s">
        <v>1532</v>
      </c>
      <c r="D3424" s="14" t="s">
        <v>71</v>
      </c>
      <c r="E3424" s="1">
        <v>1.56</v>
      </c>
      <c r="F3424" s="2"/>
      <c r="G3424" s="1"/>
      <c r="H3424" s="3"/>
      <c r="I3424" s="14" t="s">
        <v>2402</v>
      </c>
    </row>
    <row r="3425" spans="1:9" ht="18.75" customHeight="1" x14ac:dyDescent="0.4">
      <c r="A3425" s="14" t="s">
        <v>2525</v>
      </c>
      <c r="B3425" s="16" t="str">
        <f>TRIM("　　高殿7公園")</f>
        <v>高殿7公園</v>
      </c>
      <c r="C3425" s="14" t="s">
        <v>1532</v>
      </c>
      <c r="D3425" s="14" t="s">
        <v>115</v>
      </c>
      <c r="E3425" s="1">
        <v>2361.35</v>
      </c>
      <c r="F3425" s="2"/>
      <c r="G3425" s="1"/>
      <c r="H3425" s="3"/>
      <c r="I3425" s="14" t="s">
        <v>2177</v>
      </c>
    </row>
    <row r="3426" spans="1:9" ht="18.75" customHeight="1" x14ac:dyDescent="0.4">
      <c r="A3426" s="14" t="s">
        <v>3554</v>
      </c>
      <c r="B3426" s="16" t="str">
        <f>TRIM("　高殿7公園")</f>
        <v>高殿7公園</v>
      </c>
      <c r="C3426" s="14" t="s">
        <v>1532</v>
      </c>
      <c r="D3426" s="14" t="s">
        <v>115</v>
      </c>
      <c r="E3426" s="1"/>
      <c r="F3426" s="2"/>
      <c r="G3426" s="1">
        <v>21.12</v>
      </c>
      <c r="H3426" s="3"/>
      <c r="I3426" s="14" t="s">
        <v>2177</v>
      </c>
    </row>
    <row r="3427" spans="1:9" ht="18.75" customHeight="1" x14ac:dyDescent="0.4">
      <c r="A3427" s="14" t="s">
        <v>5350</v>
      </c>
      <c r="B3427" s="16" t="str">
        <f>TRIM("コミュニティ用地（旭区）")</f>
        <v>コミュニティ用地（旭区）</v>
      </c>
      <c r="C3427" s="14" t="s">
        <v>1532</v>
      </c>
      <c r="D3427" s="14" t="s">
        <v>115</v>
      </c>
      <c r="E3427" s="1">
        <v>280.16000000000003</v>
      </c>
      <c r="F3427" s="2"/>
      <c r="G3427" s="1"/>
      <c r="H3427" s="3"/>
      <c r="I3427" s="14" t="s">
        <v>5349</v>
      </c>
    </row>
    <row r="3428" spans="1:9" ht="18.75" customHeight="1" x14ac:dyDescent="0.4">
      <c r="A3428" s="14" t="s">
        <v>4929</v>
      </c>
      <c r="B3428" s="16" t="str">
        <f>TRIM("大宮西小学校")</f>
        <v>大宮西小学校</v>
      </c>
      <c r="C3428" s="14" t="s">
        <v>1532</v>
      </c>
      <c r="D3428" s="14" t="s">
        <v>193</v>
      </c>
      <c r="E3428" s="1">
        <v>8093.94</v>
      </c>
      <c r="F3428" s="2"/>
      <c r="G3428" s="1">
        <v>5088.97</v>
      </c>
      <c r="H3428" s="3"/>
      <c r="I3428" s="14" t="s">
        <v>4689</v>
      </c>
    </row>
    <row r="3429" spans="1:9" ht="18.75" customHeight="1" x14ac:dyDescent="0.4">
      <c r="A3429" s="14" t="s">
        <v>6508</v>
      </c>
      <c r="B3429" s="16" t="str">
        <f>TRIM("中宮第2住宅")</f>
        <v>中宮第2住宅</v>
      </c>
      <c r="C3429" s="14" t="s">
        <v>1532</v>
      </c>
      <c r="D3429" s="14" t="s">
        <v>193</v>
      </c>
      <c r="E3429" s="1">
        <v>4323.2</v>
      </c>
      <c r="F3429" s="2"/>
      <c r="G3429" s="1">
        <v>9349.57</v>
      </c>
      <c r="H3429" s="3"/>
      <c r="I3429" s="14" t="s">
        <v>6177</v>
      </c>
    </row>
    <row r="3430" spans="1:9" ht="18.75" customHeight="1" x14ac:dyDescent="0.4">
      <c r="A3430" s="14" t="s">
        <v>3038</v>
      </c>
      <c r="B3430" s="16" t="str">
        <f>TRIM("　中宮1公園")</f>
        <v>中宮1公園</v>
      </c>
      <c r="C3430" s="14" t="s">
        <v>1532</v>
      </c>
      <c r="D3430" s="14" t="s">
        <v>193</v>
      </c>
      <c r="E3430" s="1">
        <v>1000.01</v>
      </c>
      <c r="F3430" s="2"/>
      <c r="G3430" s="1"/>
      <c r="H3430" s="3"/>
      <c r="I3430" s="14" t="s">
        <v>2177</v>
      </c>
    </row>
    <row r="3431" spans="1:9" ht="18.75" customHeight="1" x14ac:dyDescent="0.4">
      <c r="A3431" s="14" t="s">
        <v>4551</v>
      </c>
      <c r="B3431" s="16" t="str">
        <f>TRIM("　旭区民センター等複合施設用地")</f>
        <v>旭区民センター等複合施設用地</v>
      </c>
      <c r="C3431" s="14" t="s">
        <v>1532</v>
      </c>
      <c r="D3431" s="14" t="s">
        <v>193</v>
      </c>
      <c r="E3431" s="1">
        <v>5905.01</v>
      </c>
      <c r="F3431" s="2"/>
      <c r="G3431" s="1"/>
      <c r="H3431" s="3"/>
      <c r="I3431" s="14" t="s">
        <v>2017</v>
      </c>
    </row>
    <row r="3432" spans="1:9" ht="18.75" customHeight="1" x14ac:dyDescent="0.4">
      <c r="A3432" s="14" t="s">
        <v>4552</v>
      </c>
      <c r="B3432" s="16" t="str">
        <f>TRIM("旭区民センター")</f>
        <v>旭区民センター</v>
      </c>
      <c r="C3432" s="14" t="s">
        <v>1532</v>
      </c>
      <c r="D3432" s="14" t="s">
        <v>193</v>
      </c>
      <c r="E3432" s="1"/>
      <c r="F3432" s="2"/>
      <c r="G3432" s="1">
        <v>5428.42</v>
      </c>
      <c r="H3432" s="3"/>
      <c r="I3432" s="14" t="s">
        <v>2017</v>
      </c>
    </row>
    <row r="3433" spans="1:9" ht="18.75" customHeight="1" x14ac:dyDescent="0.4">
      <c r="A3433" s="14" t="s">
        <v>5191</v>
      </c>
      <c r="B3433" s="16" t="str">
        <f>TRIM("旭図書館")</f>
        <v>旭図書館</v>
      </c>
      <c r="C3433" s="14" t="s">
        <v>1532</v>
      </c>
      <c r="D3433" s="14" t="s">
        <v>193</v>
      </c>
      <c r="E3433" s="1"/>
      <c r="F3433" s="2"/>
      <c r="G3433" s="1">
        <v>1479.99</v>
      </c>
      <c r="H3433" s="3"/>
      <c r="I3433" s="14" t="s">
        <v>4689</v>
      </c>
    </row>
    <row r="3434" spans="1:9" ht="18.75" customHeight="1" x14ac:dyDescent="0.4">
      <c r="A3434" s="14" t="s">
        <v>5345</v>
      </c>
      <c r="B3434" s="16" t="str">
        <f>TRIM("旭備蓄倉庫")</f>
        <v>旭備蓄倉庫</v>
      </c>
      <c r="C3434" s="14" t="s">
        <v>1532</v>
      </c>
      <c r="D3434" s="14" t="s">
        <v>193</v>
      </c>
      <c r="E3434" s="1"/>
      <c r="F3434" s="2"/>
      <c r="G3434" s="1">
        <v>1189.76</v>
      </c>
      <c r="H3434" s="3"/>
      <c r="I3434" s="14" t="s">
        <v>5344</v>
      </c>
    </row>
    <row r="3435" spans="1:9" ht="18.75" customHeight="1" x14ac:dyDescent="0.4">
      <c r="A3435" s="14" t="s">
        <v>5447</v>
      </c>
      <c r="B3435" s="16" t="str">
        <f>TRIM("旭警察署")</f>
        <v>旭警察署</v>
      </c>
      <c r="C3435" s="14" t="s">
        <v>1532</v>
      </c>
      <c r="D3435" s="14" t="s">
        <v>193</v>
      </c>
      <c r="E3435" s="1">
        <v>2667.74</v>
      </c>
      <c r="F3435" s="2"/>
      <c r="G3435" s="1"/>
      <c r="H3435" s="3"/>
      <c r="I3435" s="14" t="s">
        <v>5349</v>
      </c>
    </row>
    <row r="3436" spans="1:9" ht="18.75" customHeight="1" x14ac:dyDescent="0.4">
      <c r="A3436" s="14" t="s">
        <v>7016</v>
      </c>
      <c r="B3436" s="16" t="str">
        <f>TRIM("芸術創造館")</f>
        <v>芸術創造館</v>
      </c>
      <c r="C3436" s="14" t="s">
        <v>1532</v>
      </c>
      <c r="D3436" s="14" t="s">
        <v>193</v>
      </c>
      <c r="E3436" s="1"/>
      <c r="F3436" s="2"/>
      <c r="G3436" s="1">
        <v>4308.47</v>
      </c>
      <c r="H3436" s="3"/>
      <c r="I3436" s="14" t="s">
        <v>4115</v>
      </c>
    </row>
    <row r="3437" spans="1:9" ht="18.75" customHeight="1" x14ac:dyDescent="0.4">
      <c r="A3437" s="18"/>
      <c r="B3437" s="14" t="s">
        <v>7172</v>
      </c>
      <c r="C3437" s="14" t="s">
        <v>1532</v>
      </c>
      <c r="D3437" s="1" t="s">
        <v>193</v>
      </c>
      <c r="E3437" s="2"/>
      <c r="F3437" s="11"/>
      <c r="G3437" s="1">
        <v>776.31</v>
      </c>
      <c r="H3437" s="1"/>
      <c r="I3437" s="1" t="s">
        <v>2177</v>
      </c>
    </row>
    <row r="3438" spans="1:9" ht="18.75" customHeight="1" x14ac:dyDescent="0.4">
      <c r="A3438" s="14" t="s">
        <v>5886</v>
      </c>
      <c r="B3438" s="16" t="str">
        <f>TRIM("大宮第1保育所")</f>
        <v>大宮第1保育所</v>
      </c>
      <c r="C3438" s="14" t="s">
        <v>1532</v>
      </c>
      <c r="D3438" s="14" t="s">
        <v>583</v>
      </c>
      <c r="E3438" s="1">
        <v>711.65</v>
      </c>
      <c r="F3438" s="2"/>
      <c r="G3438" s="1">
        <v>322.95</v>
      </c>
      <c r="H3438" s="3"/>
      <c r="I3438" s="14" t="s">
        <v>5617</v>
      </c>
    </row>
    <row r="3439" spans="1:9" ht="18.75" customHeight="1" x14ac:dyDescent="0.4">
      <c r="A3439" s="14" t="s">
        <v>2698</v>
      </c>
      <c r="B3439" s="16" t="str">
        <f>TRIM("　江野公園")</f>
        <v>江野公園</v>
      </c>
      <c r="C3439" s="14" t="s">
        <v>1532</v>
      </c>
      <c r="D3439" s="14" t="s">
        <v>583</v>
      </c>
      <c r="E3439" s="1">
        <v>5778.51</v>
      </c>
      <c r="F3439" s="2"/>
      <c r="G3439" s="1"/>
      <c r="H3439" s="3"/>
      <c r="I3439" s="14" t="s">
        <v>2177</v>
      </c>
    </row>
    <row r="3440" spans="1:9" ht="18.75" customHeight="1" x14ac:dyDescent="0.4">
      <c r="A3440" s="14" t="s">
        <v>3552</v>
      </c>
      <c r="B3440" s="16" t="str">
        <f>TRIM("　江野公園")</f>
        <v>江野公園</v>
      </c>
      <c r="C3440" s="14" t="s">
        <v>1532</v>
      </c>
      <c r="D3440" s="14" t="s">
        <v>583</v>
      </c>
      <c r="E3440" s="1"/>
      <c r="F3440" s="2"/>
      <c r="G3440" s="1">
        <v>8.25</v>
      </c>
      <c r="H3440" s="3"/>
      <c r="I3440" s="14" t="s">
        <v>2177</v>
      </c>
    </row>
    <row r="3441" spans="1:9" ht="18.75" customHeight="1" x14ac:dyDescent="0.4">
      <c r="A3441" s="14" t="s">
        <v>4553</v>
      </c>
      <c r="B3441" s="16" t="str">
        <f>TRIM("江野公園中宮集会所")</f>
        <v>江野公園中宮集会所</v>
      </c>
      <c r="C3441" s="14" t="s">
        <v>1532</v>
      </c>
      <c r="D3441" s="14" t="s">
        <v>583</v>
      </c>
      <c r="E3441" s="1"/>
      <c r="F3441" s="2"/>
      <c r="G3441" s="1">
        <v>104.8</v>
      </c>
      <c r="H3441" s="3"/>
      <c r="I3441" s="14" t="s">
        <v>2017</v>
      </c>
    </row>
    <row r="3442" spans="1:9" ht="18.75" customHeight="1" x14ac:dyDescent="0.4">
      <c r="A3442" s="14" t="s">
        <v>6114</v>
      </c>
      <c r="B3442" s="16" t="str">
        <f>TRIM("江野霊園")</f>
        <v>江野霊園</v>
      </c>
      <c r="C3442" s="14" t="s">
        <v>1532</v>
      </c>
      <c r="D3442" s="14" t="s">
        <v>634</v>
      </c>
      <c r="E3442" s="1">
        <v>163.61000000000001</v>
      </c>
      <c r="F3442" s="2"/>
      <c r="G3442" s="1"/>
      <c r="H3442" s="3"/>
      <c r="I3442" s="14" t="s">
        <v>5977</v>
      </c>
    </row>
    <row r="3443" spans="1:9" ht="18.75" customHeight="1" x14ac:dyDescent="0.4">
      <c r="A3443" s="14" t="s">
        <v>4930</v>
      </c>
      <c r="B3443" s="16" t="str">
        <f>TRIM("大宮中学校")</f>
        <v>大宮中学校</v>
      </c>
      <c r="C3443" s="14" t="s">
        <v>1532</v>
      </c>
      <c r="D3443" s="14" t="s">
        <v>1408</v>
      </c>
      <c r="E3443" s="1">
        <v>18290.560000000001</v>
      </c>
      <c r="F3443" s="2"/>
      <c r="G3443" s="1">
        <v>8652.9</v>
      </c>
      <c r="H3443" s="3"/>
      <c r="I3443" s="14" t="s">
        <v>4689</v>
      </c>
    </row>
    <row r="3444" spans="1:9" ht="18.75" customHeight="1" x14ac:dyDescent="0.4">
      <c r="A3444" s="14" t="s">
        <v>6003</v>
      </c>
      <c r="B3444" s="16" t="str">
        <f>TRIM("大気汚染常時監視測定局（大宮中学校）")</f>
        <v>大気汚染常時監視測定局（大宮中学校）</v>
      </c>
      <c r="C3444" s="14" t="s">
        <v>1532</v>
      </c>
      <c r="D3444" s="14" t="s">
        <v>1408</v>
      </c>
      <c r="E3444" s="1"/>
      <c r="F3444" s="2"/>
      <c r="G3444" s="1">
        <v>16</v>
      </c>
      <c r="H3444" s="3"/>
      <c r="I3444" s="14" t="s">
        <v>5977</v>
      </c>
    </row>
    <row r="3445" spans="1:9" ht="18.75" customHeight="1" x14ac:dyDescent="0.4">
      <c r="A3445" s="14" t="s">
        <v>6735</v>
      </c>
      <c r="B3445" s="16" t="str">
        <f>TRIM("城北中宮住宅")</f>
        <v>城北中宮住宅</v>
      </c>
      <c r="C3445" s="14" t="s">
        <v>1532</v>
      </c>
      <c r="D3445" s="14" t="s">
        <v>859</v>
      </c>
      <c r="E3445" s="1">
        <v>3336.95</v>
      </c>
      <c r="F3445" s="2"/>
      <c r="G3445" s="1">
        <v>3901.7</v>
      </c>
      <c r="H3445" s="3"/>
      <c r="I3445" s="14" t="s">
        <v>6177</v>
      </c>
    </row>
    <row r="3446" spans="1:9" ht="18.75" customHeight="1" x14ac:dyDescent="0.4">
      <c r="A3446" s="14" t="s">
        <v>2016</v>
      </c>
      <c r="B3446" s="16" t="str">
        <f>TRIM("古市会館地域集会所")</f>
        <v>古市会館地域集会所</v>
      </c>
      <c r="C3446" s="14" t="s">
        <v>1532</v>
      </c>
      <c r="D3446" s="14" t="s">
        <v>1099</v>
      </c>
      <c r="E3446" s="1">
        <v>361.28</v>
      </c>
      <c r="F3446" s="2"/>
      <c r="G3446" s="1"/>
      <c r="H3446" s="3"/>
      <c r="I3446" s="14" t="s">
        <v>2017</v>
      </c>
    </row>
    <row r="3447" spans="1:9" ht="18.75" customHeight="1" x14ac:dyDescent="0.4">
      <c r="A3447" s="14" t="s">
        <v>2867</v>
      </c>
      <c r="B3447" s="16" t="str">
        <f>TRIM("　森小路東公園")</f>
        <v>森小路東公園</v>
      </c>
      <c r="C3447" s="14" t="s">
        <v>1532</v>
      </c>
      <c r="D3447" s="14" t="s">
        <v>1099</v>
      </c>
      <c r="E3447" s="1">
        <v>437.09</v>
      </c>
      <c r="F3447" s="2"/>
      <c r="G3447" s="1"/>
      <c r="H3447" s="3"/>
      <c r="I3447" s="14" t="s">
        <v>2177</v>
      </c>
    </row>
    <row r="3448" spans="1:9" ht="18.75" customHeight="1" x14ac:dyDescent="0.4">
      <c r="A3448" s="14" t="s">
        <v>2868</v>
      </c>
      <c r="B3448" s="16" t="str">
        <f>TRIM("　森小路南公園")</f>
        <v>森小路南公園</v>
      </c>
      <c r="C3448" s="14" t="s">
        <v>1532</v>
      </c>
      <c r="D3448" s="14" t="s">
        <v>1099</v>
      </c>
      <c r="E3448" s="1">
        <v>491.21</v>
      </c>
      <c r="F3448" s="2"/>
      <c r="G3448" s="1"/>
      <c r="H3448" s="3"/>
      <c r="I3448" s="14" t="s">
        <v>2177</v>
      </c>
    </row>
    <row r="3449" spans="1:9" ht="18.75" customHeight="1" x14ac:dyDescent="0.4">
      <c r="A3449" s="14" t="s">
        <v>4549</v>
      </c>
      <c r="B3449" s="16" t="str">
        <f>TRIM("旭区保健福祉センター")</f>
        <v>旭区保健福祉センター</v>
      </c>
      <c r="C3449" s="14" t="s">
        <v>1532</v>
      </c>
      <c r="D3449" s="14" t="s">
        <v>197</v>
      </c>
      <c r="E3449" s="1">
        <v>1530.41</v>
      </c>
      <c r="F3449" s="2"/>
      <c r="G3449" s="1">
        <v>988.77</v>
      </c>
      <c r="H3449" s="3"/>
      <c r="I3449" s="14" t="s">
        <v>2017</v>
      </c>
    </row>
    <row r="3450" spans="1:9" ht="18.75" customHeight="1" x14ac:dyDescent="0.4">
      <c r="A3450" s="14" t="s">
        <v>4793</v>
      </c>
      <c r="B3450" s="16" t="str">
        <f>TRIM("古市小学校")</f>
        <v>古市小学校</v>
      </c>
      <c r="C3450" s="14" t="s">
        <v>1532</v>
      </c>
      <c r="D3450" s="14" t="s">
        <v>197</v>
      </c>
      <c r="E3450" s="1">
        <v>8653.74</v>
      </c>
      <c r="F3450" s="2"/>
      <c r="G3450" s="1">
        <v>6709.57</v>
      </c>
      <c r="H3450" s="3"/>
      <c r="I3450" s="14" t="s">
        <v>4689</v>
      </c>
    </row>
    <row r="3451" spans="1:9" ht="18.75" customHeight="1" x14ac:dyDescent="0.4">
      <c r="A3451" s="14" t="s">
        <v>1778</v>
      </c>
      <c r="B3451" s="16" t="str">
        <f>TRIM("旭区総合福祉センター")</f>
        <v>旭区総合福祉センター</v>
      </c>
      <c r="C3451" s="14" t="s">
        <v>1532</v>
      </c>
      <c r="D3451" s="14" t="s">
        <v>197</v>
      </c>
      <c r="E3451" s="1">
        <v>1671.19</v>
      </c>
      <c r="F3451" s="2"/>
      <c r="G3451" s="1"/>
      <c r="H3451" s="3"/>
      <c r="I3451" s="14" t="s">
        <v>1654</v>
      </c>
    </row>
    <row r="3452" spans="1:9" ht="18.75" customHeight="1" x14ac:dyDescent="0.4">
      <c r="A3452" s="14" t="s">
        <v>1779</v>
      </c>
      <c r="B3452" s="16" t="str">
        <f>TRIM("旭区老人福祉センター")</f>
        <v>旭区老人福祉センター</v>
      </c>
      <c r="C3452" s="14" t="s">
        <v>1532</v>
      </c>
      <c r="D3452" s="14" t="s">
        <v>197</v>
      </c>
      <c r="E3452" s="1"/>
      <c r="F3452" s="2"/>
      <c r="G3452" s="1">
        <v>1093.82</v>
      </c>
      <c r="H3452" s="3"/>
      <c r="I3452" s="14" t="s">
        <v>1654</v>
      </c>
    </row>
    <row r="3453" spans="1:9" ht="18.75" customHeight="1" x14ac:dyDescent="0.4">
      <c r="A3453" s="14" t="s">
        <v>2866</v>
      </c>
      <c r="B3453" s="16" t="str">
        <f>TRIM("　森小路公園")</f>
        <v>森小路公園</v>
      </c>
      <c r="C3453" s="14" t="s">
        <v>1532</v>
      </c>
      <c r="D3453" s="14" t="s">
        <v>197</v>
      </c>
      <c r="E3453" s="1">
        <v>1437.67</v>
      </c>
      <c r="F3453" s="2"/>
      <c r="G3453" s="1"/>
      <c r="H3453" s="3"/>
      <c r="I3453" s="14" t="s">
        <v>2177</v>
      </c>
    </row>
    <row r="3454" spans="1:9" ht="18.75" customHeight="1" x14ac:dyDescent="0.4">
      <c r="A3454" s="14" t="s">
        <v>3856</v>
      </c>
      <c r="B3454" s="16" t="str">
        <f>TRIM("千林大宮駅自転車駐車場")</f>
        <v>千林大宮駅自転車駐車場</v>
      </c>
      <c r="C3454" s="14" t="s">
        <v>1532</v>
      </c>
      <c r="D3454" s="14" t="s">
        <v>197</v>
      </c>
      <c r="E3454" s="1">
        <v>263.16000000000003</v>
      </c>
      <c r="F3454" s="2"/>
      <c r="G3454" s="1"/>
      <c r="H3454" s="3"/>
      <c r="I3454" s="14" t="s">
        <v>2177</v>
      </c>
    </row>
    <row r="3455" spans="1:9" ht="18.75" customHeight="1" x14ac:dyDescent="0.4">
      <c r="A3455" s="14" t="s">
        <v>3873</v>
      </c>
      <c r="B3455" s="16" t="str">
        <f>TRIM("千林大宮駅自転車駐車場")</f>
        <v>千林大宮駅自転車駐車場</v>
      </c>
      <c r="C3455" s="14" t="s">
        <v>1532</v>
      </c>
      <c r="D3455" s="14" t="s">
        <v>197</v>
      </c>
      <c r="E3455" s="1"/>
      <c r="F3455" s="2"/>
      <c r="G3455" s="1">
        <v>1003.2</v>
      </c>
      <c r="H3455" s="3"/>
      <c r="I3455" s="14" t="s">
        <v>2177</v>
      </c>
    </row>
    <row r="3456" spans="1:9" ht="18.75" customHeight="1" x14ac:dyDescent="0.4">
      <c r="A3456" s="14" t="s">
        <v>3874</v>
      </c>
      <c r="B3456" s="16" t="str">
        <f>TRIM("千林大宮駅自転車駐車場管理事務所")</f>
        <v>千林大宮駅自転車駐車場管理事務所</v>
      </c>
      <c r="C3456" s="14" t="s">
        <v>1532</v>
      </c>
      <c r="D3456" s="14" t="s">
        <v>197</v>
      </c>
      <c r="E3456" s="1"/>
      <c r="F3456" s="2"/>
      <c r="G3456" s="1">
        <v>12.56</v>
      </c>
      <c r="H3456" s="3"/>
      <c r="I3456" s="14" t="s">
        <v>2177</v>
      </c>
    </row>
    <row r="3457" spans="1:9" ht="18.75" customHeight="1" x14ac:dyDescent="0.4">
      <c r="A3457" s="14" t="s">
        <v>5451</v>
      </c>
      <c r="B3457" s="16" t="str">
        <f>TRIM("過小地（もと学校用地）")</f>
        <v>過小地（もと学校用地）</v>
      </c>
      <c r="C3457" s="14" t="s">
        <v>1532</v>
      </c>
      <c r="D3457" s="14" t="s">
        <v>197</v>
      </c>
      <c r="E3457" s="1">
        <v>1684.89</v>
      </c>
      <c r="F3457" s="2"/>
      <c r="G3457" s="1"/>
      <c r="H3457" s="3"/>
      <c r="I3457" s="14" t="s">
        <v>5349</v>
      </c>
    </row>
    <row r="3458" spans="1:9" ht="18.75" customHeight="1" x14ac:dyDescent="0.4">
      <c r="A3458" s="14" t="s">
        <v>5642</v>
      </c>
      <c r="B3458" s="16" t="str">
        <f>TRIM("旭母子家庭集いの家")</f>
        <v>旭母子家庭集いの家</v>
      </c>
      <c r="C3458" s="14" t="s">
        <v>1532</v>
      </c>
      <c r="D3458" s="14" t="s">
        <v>197</v>
      </c>
      <c r="E3458" s="1"/>
      <c r="F3458" s="2"/>
      <c r="G3458" s="1">
        <v>59.01</v>
      </c>
      <c r="H3458" s="3" t="s">
        <v>7353</v>
      </c>
      <c r="I3458" s="14" t="s">
        <v>5617</v>
      </c>
    </row>
    <row r="3459" spans="1:9" ht="18.75" customHeight="1" x14ac:dyDescent="0.4">
      <c r="A3459" s="14" t="s">
        <v>5661</v>
      </c>
      <c r="B3459" s="16" t="str">
        <f>TRIM("もと旭勤労青少年ホーム")</f>
        <v>もと旭勤労青少年ホーム</v>
      </c>
      <c r="C3459" s="14" t="s">
        <v>1532</v>
      </c>
      <c r="D3459" s="14" t="s">
        <v>197</v>
      </c>
      <c r="E3459" s="1"/>
      <c r="F3459" s="2"/>
      <c r="G3459" s="1">
        <v>711.91</v>
      </c>
      <c r="H3459" s="3" t="s">
        <v>7353</v>
      </c>
      <c r="I3459" s="14" t="s">
        <v>5617</v>
      </c>
    </row>
    <row r="3460" spans="1:9" ht="18.75" customHeight="1" x14ac:dyDescent="0.4">
      <c r="A3460" s="14" t="s">
        <v>5872</v>
      </c>
      <c r="B3460" s="16" t="str">
        <f>TRIM("森小路保育所")</f>
        <v>森小路保育所</v>
      </c>
      <c r="C3460" s="14" t="s">
        <v>1532</v>
      </c>
      <c r="D3460" s="14" t="s">
        <v>197</v>
      </c>
      <c r="E3460" s="1"/>
      <c r="F3460" s="2"/>
      <c r="G3460" s="1">
        <v>658.5</v>
      </c>
      <c r="H3460" s="3"/>
      <c r="I3460" s="14" t="s">
        <v>5617</v>
      </c>
    </row>
    <row r="3461" spans="1:9" ht="18.75" customHeight="1" x14ac:dyDescent="0.4">
      <c r="A3461" s="14" t="s">
        <v>6999</v>
      </c>
      <c r="B3461" s="16" t="str">
        <f>TRIM(" もと消毒所（旭区保健福祉センター敷地内）")</f>
        <v>もと消毒所（旭区保健福祉センター敷地内）</v>
      </c>
      <c r="C3461" s="14" t="s">
        <v>1532</v>
      </c>
      <c r="D3461" s="14" t="s">
        <v>197</v>
      </c>
      <c r="E3461" s="1"/>
      <c r="F3461" s="2"/>
      <c r="G3461" s="1">
        <v>249.84</v>
      </c>
      <c r="H3461" s="3" t="s">
        <v>7353</v>
      </c>
      <c r="I3461" s="14" t="s">
        <v>2402</v>
      </c>
    </row>
    <row r="3462" spans="1:9" ht="18.75" customHeight="1" x14ac:dyDescent="0.4">
      <c r="A3462" s="14" t="s">
        <v>5664</v>
      </c>
      <c r="B3462" s="16" t="str">
        <f>TRIM("もと今福児童館")</f>
        <v>もと今福児童館</v>
      </c>
      <c r="C3462" s="14" t="s">
        <v>1517</v>
      </c>
      <c r="D3462" s="14" t="s">
        <v>488</v>
      </c>
      <c r="E3462" s="1">
        <v>882.62</v>
      </c>
      <c r="F3462" s="2"/>
      <c r="G3462" s="1">
        <v>563.99</v>
      </c>
      <c r="H3462" s="3" t="s">
        <v>7353</v>
      </c>
      <c r="I3462" s="14" t="s">
        <v>5617</v>
      </c>
    </row>
    <row r="3463" spans="1:9" ht="18.75" customHeight="1" x14ac:dyDescent="0.4">
      <c r="A3463" s="14" t="s">
        <v>5943</v>
      </c>
      <c r="B3463" s="16" t="str">
        <f>TRIM("鯰江保育所")</f>
        <v>鯰江保育所</v>
      </c>
      <c r="C3463" s="14" t="s">
        <v>1517</v>
      </c>
      <c r="D3463" s="14" t="s">
        <v>488</v>
      </c>
      <c r="E3463" s="1">
        <v>1220.32</v>
      </c>
      <c r="F3463" s="2"/>
      <c r="G3463" s="1">
        <v>886.6</v>
      </c>
      <c r="H3463" s="3"/>
      <c r="I3463" s="14" t="s">
        <v>5617</v>
      </c>
    </row>
    <row r="3464" spans="1:9" ht="18.75" customHeight="1" x14ac:dyDescent="0.4">
      <c r="A3464" s="14" t="s">
        <v>2921</v>
      </c>
      <c r="B3464" s="16" t="str">
        <f>TRIM("　西今福公園")</f>
        <v>西今福公園</v>
      </c>
      <c r="C3464" s="14" t="s">
        <v>1517</v>
      </c>
      <c r="D3464" s="14" t="s">
        <v>488</v>
      </c>
      <c r="E3464" s="1">
        <v>861.4</v>
      </c>
      <c r="F3464" s="2"/>
      <c r="G3464" s="1"/>
      <c r="H3464" s="3"/>
      <c r="I3464" s="14" t="s">
        <v>2177</v>
      </c>
    </row>
    <row r="3465" spans="1:9" ht="18.75" customHeight="1" x14ac:dyDescent="0.4">
      <c r="A3465" s="14" t="s">
        <v>3040</v>
      </c>
      <c r="B3465" s="16" t="str">
        <f>TRIM("　中今福公園")</f>
        <v>中今福公園</v>
      </c>
      <c r="C3465" s="14" t="s">
        <v>1517</v>
      </c>
      <c r="D3465" s="14" t="s">
        <v>147</v>
      </c>
      <c r="E3465" s="1">
        <v>1147.1600000000001</v>
      </c>
      <c r="F3465" s="2"/>
      <c r="G3465" s="1"/>
      <c r="H3465" s="3"/>
      <c r="I3465" s="14" t="s">
        <v>2177</v>
      </c>
    </row>
    <row r="3466" spans="1:9" ht="18.75" customHeight="1" x14ac:dyDescent="0.4">
      <c r="A3466" s="14" t="s">
        <v>5387</v>
      </c>
      <c r="B3466" s="16" t="str">
        <f>TRIM("もと三郷井路埋立地")</f>
        <v>もと三郷井路埋立地</v>
      </c>
      <c r="C3466" s="14" t="s">
        <v>1517</v>
      </c>
      <c r="D3466" s="14" t="s">
        <v>147</v>
      </c>
      <c r="E3466" s="1">
        <v>20.91</v>
      </c>
      <c r="F3466" s="2"/>
      <c r="G3466" s="1"/>
      <c r="H3466" s="3"/>
      <c r="I3466" s="14" t="s">
        <v>5349</v>
      </c>
    </row>
    <row r="3467" spans="1:9" ht="18.75" customHeight="1" x14ac:dyDescent="0.4">
      <c r="A3467" s="14" t="s">
        <v>5145</v>
      </c>
      <c r="B3467" s="16" t="str">
        <f>TRIM("鯰江小学校")</f>
        <v>鯰江小学校</v>
      </c>
      <c r="C3467" s="14" t="s">
        <v>1517</v>
      </c>
      <c r="D3467" s="14" t="s">
        <v>157</v>
      </c>
      <c r="E3467" s="1">
        <v>9651.84</v>
      </c>
      <c r="F3467" s="2"/>
      <c r="G3467" s="1">
        <v>8550.7999999999993</v>
      </c>
      <c r="H3467" s="3"/>
      <c r="I3467" s="14" t="s">
        <v>4689</v>
      </c>
    </row>
    <row r="3468" spans="1:9" ht="18.75" customHeight="1" x14ac:dyDescent="0.4">
      <c r="A3468" s="14" t="s">
        <v>5823</v>
      </c>
      <c r="B3468" s="16" t="str">
        <f>TRIM("鯰江幼稚園")</f>
        <v>鯰江幼稚園</v>
      </c>
      <c r="C3468" s="14" t="s">
        <v>1517</v>
      </c>
      <c r="D3468" s="14" t="s">
        <v>157</v>
      </c>
      <c r="E3468" s="1">
        <v>1933.41</v>
      </c>
      <c r="F3468" s="2"/>
      <c r="G3468" s="1">
        <v>1254.25</v>
      </c>
      <c r="H3468" s="3"/>
      <c r="I3468" s="14" t="s">
        <v>5617</v>
      </c>
    </row>
    <row r="3469" spans="1:9" ht="18.75" customHeight="1" x14ac:dyDescent="0.4">
      <c r="A3469" s="14" t="s">
        <v>2266</v>
      </c>
      <c r="B3469" s="16" t="str">
        <f>TRIM("大阪生駒線（城東）（管財課）")</f>
        <v>大阪生駒線（城東）（管財課）</v>
      </c>
      <c r="C3469" s="14" t="s">
        <v>1517</v>
      </c>
      <c r="D3469" s="14" t="s">
        <v>157</v>
      </c>
      <c r="E3469" s="1">
        <v>4574.95</v>
      </c>
      <c r="F3469" s="2"/>
      <c r="G3469" s="1"/>
      <c r="H3469" s="3"/>
      <c r="I3469" s="14" t="s">
        <v>2177</v>
      </c>
    </row>
    <row r="3470" spans="1:9" ht="18.75" customHeight="1" x14ac:dyDescent="0.4">
      <c r="A3470" s="14" t="s">
        <v>3788</v>
      </c>
      <c r="B3470" s="16" t="str">
        <f>TRIM("蒲生4丁目駅自転車駐車場管理事務所")</f>
        <v>蒲生4丁目駅自転車駐車場管理事務所</v>
      </c>
      <c r="C3470" s="14" t="s">
        <v>1517</v>
      </c>
      <c r="D3470" s="14" t="s">
        <v>157</v>
      </c>
      <c r="E3470" s="1"/>
      <c r="F3470" s="2"/>
      <c r="G3470" s="1">
        <v>7.84</v>
      </c>
      <c r="H3470" s="3"/>
      <c r="I3470" s="14" t="s">
        <v>2177</v>
      </c>
    </row>
    <row r="3471" spans="1:9" ht="18.75" customHeight="1" x14ac:dyDescent="0.4">
      <c r="A3471" s="14" t="s">
        <v>3789</v>
      </c>
      <c r="B3471" s="16" t="str">
        <f>TRIM("蒲生四丁目駅自転車駐車場－１（自転車施策担当）")</f>
        <v>蒲生四丁目駅自転車駐車場－１（自転車施策担当）</v>
      </c>
      <c r="C3471" s="14" t="s">
        <v>1517</v>
      </c>
      <c r="D3471" s="14" t="s">
        <v>157</v>
      </c>
      <c r="E3471" s="1">
        <v>439.96</v>
      </c>
      <c r="F3471" s="2"/>
      <c r="G3471" s="1"/>
      <c r="H3471" s="3"/>
      <c r="I3471" s="14" t="s">
        <v>2177</v>
      </c>
    </row>
    <row r="3472" spans="1:9" ht="18.75" customHeight="1" x14ac:dyDescent="0.4">
      <c r="A3472" s="14" t="s">
        <v>3790</v>
      </c>
      <c r="B3472" s="16" t="str">
        <f>TRIM("蒲生四丁目駅自転車駐車場－３（自転車施策担当）")</f>
        <v>蒲生四丁目駅自転車駐車場－３（自転車施策担当）</v>
      </c>
      <c r="C3472" s="14" t="s">
        <v>1517</v>
      </c>
      <c r="D3472" s="14" t="s">
        <v>157</v>
      </c>
      <c r="E3472" s="1">
        <v>74.05</v>
      </c>
      <c r="F3472" s="2"/>
      <c r="G3472" s="1"/>
      <c r="H3472" s="3"/>
      <c r="I3472" s="14" t="s">
        <v>2177</v>
      </c>
    </row>
    <row r="3473" spans="1:9" ht="18.75" customHeight="1" x14ac:dyDescent="0.4">
      <c r="A3473" s="14" t="s">
        <v>4575</v>
      </c>
      <c r="B3473" s="16" t="str">
        <f>TRIM("聖賢会館")</f>
        <v>聖賢会館</v>
      </c>
      <c r="C3473" s="14" t="s">
        <v>1517</v>
      </c>
      <c r="D3473" s="14" t="s">
        <v>157</v>
      </c>
      <c r="E3473" s="1"/>
      <c r="F3473" s="2"/>
      <c r="G3473" s="1">
        <v>108.29</v>
      </c>
      <c r="H3473" s="3"/>
      <c r="I3473" s="14" t="s">
        <v>1594</v>
      </c>
    </row>
    <row r="3474" spans="1:9" ht="18.75" customHeight="1" x14ac:dyDescent="0.4">
      <c r="A3474" s="14" t="s">
        <v>5397</v>
      </c>
      <c r="B3474" s="16" t="str">
        <f>TRIM("もと城東消防署（児童遊園）")</f>
        <v>もと城東消防署（児童遊園）</v>
      </c>
      <c r="C3474" s="14" t="s">
        <v>1517</v>
      </c>
      <c r="D3474" s="14" t="s">
        <v>157</v>
      </c>
      <c r="E3474" s="1">
        <v>376.56</v>
      </c>
      <c r="F3474" s="2"/>
      <c r="G3474" s="1"/>
      <c r="H3474" s="3"/>
      <c r="I3474" s="14" t="s">
        <v>5349</v>
      </c>
    </row>
    <row r="3475" spans="1:9" ht="18.75" customHeight="1" x14ac:dyDescent="0.4">
      <c r="A3475" s="14" t="s">
        <v>5146</v>
      </c>
      <c r="B3475" s="16" t="str">
        <f>TRIM("鯰江中学校")</f>
        <v>鯰江中学校</v>
      </c>
      <c r="C3475" s="14" t="s">
        <v>1517</v>
      </c>
      <c r="D3475" s="14" t="s">
        <v>1442</v>
      </c>
      <c r="E3475" s="1">
        <v>15932.52</v>
      </c>
      <c r="F3475" s="2"/>
      <c r="G3475" s="1">
        <v>6598.24</v>
      </c>
      <c r="H3475" s="3"/>
      <c r="I3475" s="14" t="s">
        <v>4689</v>
      </c>
    </row>
    <row r="3476" spans="1:9" ht="18.75" customHeight="1" x14ac:dyDescent="0.4">
      <c r="A3476" s="14" t="s">
        <v>3395</v>
      </c>
      <c r="B3476" s="16" t="str">
        <f>TRIM("　鯰江北公園")</f>
        <v>鯰江北公園</v>
      </c>
      <c r="C3476" s="14" t="s">
        <v>1517</v>
      </c>
      <c r="D3476" s="14" t="s">
        <v>1269</v>
      </c>
      <c r="E3476" s="1">
        <v>1770.84</v>
      </c>
      <c r="F3476" s="2"/>
      <c r="G3476" s="1"/>
      <c r="H3476" s="3"/>
      <c r="I3476" s="14" t="s">
        <v>2177</v>
      </c>
    </row>
    <row r="3477" spans="1:9" ht="18.75" customHeight="1" x14ac:dyDescent="0.4">
      <c r="A3477" s="14" t="s">
        <v>2165</v>
      </c>
      <c r="B3477" s="16" t="str">
        <f>TRIM("鯰江公園集会所（憩の家）")</f>
        <v>鯰江公園集会所（憩の家）</v>
      </c>
      <c r="C3477" s="14" t="s">
        <v>1517</v>
      </c>
      <c r="D3477" s="14" t="s">
        <v>1268</v>
      </c>
      <c r="E3477" s="1"/>
      <c r="F3477" s="2"/>
      <c r="G3477" s="1">
        <v>100</v>
      </c>
      <c r="H3477" s="3"/>
      <c r="I3477" s="14" t="s">
        <v>1594</v>
      </c>
    </row>
    <row r="3478" spans="1:9" ht="18.75" customHeight="1" x14ac:dyDescent="0.4">
      <c r="A3478" s="14" t="s">
        <v>3393</v>
      </c>
      <c r="B3478" s="16" t="str">
        <f>TRIM("　鯰江公園")</f>
        <v>鯰江公園</v>
      </c>
      <c r="C3478" s="14" t="s">
        <v>1517</v>
      </c>
      <c r="D3478" s="14" t="s">
        <v>1268</v>
      </c>
      <c r="E3478" s="1">
        <v>11778.51</v>
      </c>
      <c r="F3478" s="2"/>
      <c r="G3478" s="1"/>
      <c r="H3478" s="3"/>
      <c r="I3478" s="14" t="s">
        <v>2177</v>
      </c>
    </row>
    <row r="3479" spans="1:9" ht="18.75" customHeight="1" x14ac:dyDescent="0.4">
      <c r="A3479" s="14" t="s">
        <v>3394</v>
      </c>
      <c r="B3479" s="16" t="str">
        <f>TRIM("　鯰江南公園")</f>
        <v>鯰江南公園</v>
      </c>
      <c r="C3479" s="14" t="s">
        <v>1517</v>
      </c>
      <c r="D3479" s="14" t="s">
        <v>1268</v>
      </c>
      <c r="E3479" s="1">
        <v>1899.87</v>
      </c>
      <c r="F3479" s="2"/>
      <c r="G3479" s="1"/>
      <c r="H3479" s="3"/>
      <c r="I3479" s="14" t="s">
        <v>2177</v>
      </c>
    </row>
    <row r="3480" spans="1:9" ht="18.75" customHeight="1" x14ac:dyDescent="0.4">
      <c r="A3480" s="14" t="s">
        <v>3691</v>
      </c>
      <c r="B3480" s="16" t="str">
        <f>TRIM("　鯰江公園")</f>
        <v>鯰江公園</v>
      </c>
      <c r="C3480" s="14" t="s">
        <v>1517</v>
      </c>
      <c r="D3480" s="14" t="s">
        <v>1268</v>
      </c>
      <c r="E3480" s="1"/>
      <c r="F3480" s="2"/>
      <c r="G3480" s="1">
        <v>21.12</v>
      </c>
      <c r="H3480" s="3"/>
      <c r="I3480" s="14" t="s">
        <v>2177</v>
      </c>
    </row>
    <row r="3481" spans="1:9" ht="18.75" customHeight="1" x14ac:dyDescent="0.4">
      <c r="A3481" s="14" t="s">
        <v>4579</v>
      </c>
      <c r="B3481" s="16" t="str">
        <f>TRIM("鯰江公園集会所")</f>
        <v>鯰江公園集会所</v>
      </c>
      <c r="C3481" s="14" t="s">
        <v>1517</v>
      </c>
      <c r="D3481" s="14" t="s">
        <v>1268</v>
      </c>
      <c r="E3481" s="1"/>
      <c r="F3481" s="2"/>
      <c r="G3481" s="1">
        <v>100</v>
      </c>
      <c r="H3481" s="3"/>
      <c r="I3481" s="14" t="s">
        <v>1594</v>
      </c>
    </row>
    <row r="3482" spans="1:9" ht="18.75" customHeight="1" x14ac:dyDescent="0.4">
      <c r="A3482" s="14" t="s">
        <v>5147</v>
      </c>
      <c r="B3482" s="16" t="str">
        <f>TRIM("鯰江東小学校")</f>
        <v>鯰江東小学校</v>
      </c>
      <c r="C3482" s="14" t="s">
        <v>1517</v>
      </c>
      <c r="D3482" s="14" t="s">
        <v>748</v>
      </c>
      <c r="E3482" s="1">
        <v>10131.68</v>
      </c>
      <c r="F3482" s="2"/>
      <c r="G3482" s="1">
        <v>5778.34</v>
      </c>
      <c r="H3482" s="3"/>
      <c r="I3482" s="14" t="s">
        <v>4689</v>
      </c>
    </row>
    <row r="3483" spans="1:9" ht="18.75" customHeight="1" x14ac:dyDescent="0.4">
      <c r="A3483" s="14" t="s">
        <v>6378</v>
      </c>
      <c r="B3483" s="16" t="str">
        <f>TRIM("今福中住宅")</f>
        <v>今福中住宅</v>
      </c>
      <c r="C3483" s="14" t="s">
        <v>1517</v>
      </c>
      <c r="D3483" s="14" t="s">
        <v>748</v>
      </c>
      <c r="E3483" s="1">
        <v>6407.85</v>
      </c>
      <c r="F3483" s="2"/>
      <c r="G3483" s="1">
        <v>16913.419999999998</v>
      </c>
      <c r="H3483" s="3"/>
      <c r="I3483" s="14" t="s">
        <v>6177</v>
      </c>
    </row>
    <row r="3484" spans="1:9" ht="18.75" customHeight="1" x14ac:dyDescent="0.4">
      <c r="A3484" s="14" t="s">
        <v>6725</v>
      </c>
      <c r="B3484" s="16" t="str">
        <f>TRIM("今福中第2住宅")</f>
        <v>今福中第2住宅</v>
      </c>
      <c r="C3484" s="14" t="s">
        <v>1517</v>
      </c>
      <c r="D3484" s="14" t="s">
        <v>748</v>
      </c>
      <c r="E3484" s="1">
        <v>7816.15</v>
      </c>
      <c r="F3484" s="2"/>
      <c r="G3484" s="1">
        <v>8947.4500000000007</v>
      </c>
      <c r="H3484" s="3"/>
      <c r="I3484" s="14" t="s">
        <v>6177</v>
      </c>
    </row>
    <row r="3485" spans="1:9" ht="18.75" customHeight="1" x14ac:dyDescent="0.4">
      <c r="A3485" s="14" t="s">
        <v>2467</v>
      </c>
      <c r="B3485" s="16" t="str">
        <f>TRIM("運河（城東）")</f>
        <v>運河（城東）</v>
      </c>
      <c r="C3485" s="14" t="s">
        <v>1517</v>
      </c>
      <c r="D3485" s="14" t="s">
        <v>748</v>
      </c>
      <c r="E3485" s="1">
        <v>133745.99</v>
      </c>
      <c r="F3485" s="2"/>
      <c r="G3485" s="1"/>
      <c r="H3485" s="3"/>
      <c r="I3485" s="14" t="s">
        <v>2177</v>
      </c>
    </row>
    <row r="3486" spans="1:9" ht="18.75" customHeight="1" x14ac:dyDescent="0.4">
      <c r="A3486" s="14" t="s">
        <v>3505</v>
      </c>
      <c r="B3486" s="16" t="str">
        <f>TRIM("鯰江東公園")</f>
        <v>鯰江東公園</v>
      </c>
      <c r="C3486" s="14" t="s">
        <v>1517</v>
      </c>
      <c r="D3486" s="14" t="s">
        <v>748</v>
      </c>
      <c r="E3486" s="1">
        <v>2762.16</v>
      </c>
      <c r="F3486" s="2"/>
      <c r="G3486" s="1"/>
      <c r="H3486" s="3"/>
      <c r="I3486" s="14" t="s">
        <v>2177</v>
      </c>
    </row>
    <row r="3487" spans="1:9" ht="18.75" customHeight="1" x14ac:dyDescent="0.4">
      <c r="A3487" s="14" t="s">
        <v>4580</v>
      </c>
      <c r="B3487" s="16" t="str">
        <f>TRIM("鯰江東地域集会所")</f>
        <v>鯰江東地域集会所</v>
      </c>
      <c r="C3487" s="14" t="s">
        <v>1517</v>
      </c>
      <c r="D3487" s="14" t="s">
        <v>748</v>
      </c>
      <c r="E3487" s="1">
        <v>220.41</v>
      </c>
      <c r="F3487" s="2"/>
      <c r="G3487" s="1"/>
      <c r="H3487" s="3"/>
      <c r="I3487" s="14" t="s">
        <v>1594</v>
      </c>
    </row>
    <row r="3488" spans="1:9" ht="18.75" customHeight="1" x14ac:dyDescent="0.4">
      <c r="A3488" s="14" t="s">
        <v>3980</v>
      </c>
      <c r="B3488" s="16" t="str">
        <f>TRIM("もと東工営所")</f>
        <v>もと東工営所</v>
      </c>
      <c r="C3488" s="14" t="s">
        <v>1517</v>
      </c>
      <c r="D3488" s="14" t="s">
        <v>856</v>
      </c>
      <c r="E3488" s="1">
        <v>5126.2</v>
      </c>
      <c r="F3488" s="2"/>
      <c r="G3488" s="1">
        <v>3512.47</v>
      </c>
      <c r="H3488" s="3" t="s">
        <v>7353</v>
      </c>
      <c r="I3488" s="14" t="s">
        <v>2177</v>
      </c>
    </row>
    <row r="3489" spans="1:9" ht="18.75" customHeight="1" x14ac:dyDescent="0.4">
      <c r="A3489" s="14" t="s">
        <v>6726</v>
      </c>
      <c r="B3489" s="16" t="str">
        <f>TRIM("今福北住宅")</f>
        <v>今福北住宅</v>
      </c>
      <c r="C3489" s="14" t="s">
        <v>1517</v>
      </c>
      <c r="D3489" s="14" t="s">
        <v>856</v>
      </c>
      <c r="E3489" s="1">
        <v>9314.2199999999993</v>
      </c>
      <c r="F3489" s="2"/>
      <c r="G3489" s="1">
        <v>9789.17</v>
      </c>
      <c r="H3489" s="3"/>
      <c r="I3489" s="14" t="s">
        <v>6177</v>
      </c>
    </row>
    <row r="3490" spans="1:9" ht="18.75" customHeight="1" x14ac:dyDescent="0.4">
      <c r="A3490" s="14" t="s">
        <v>2164</v>
      </c>
      <c r="B3490" s="16" t="str">
        <f>TRIM("鯰江東憩の家")</f>
        <v>鯰江東憩の家</v>
      </c>
      <c r="C3490" s="14" t="s">
        <v>1517</v>
      </c>
      <c r="D3490" s="14" t="s">
        <v>856</v>
      </c>
      <c r="E3490" s="1"/>
      <c r="F3490" s="2"/>
      <c r="G3490" s="1">
        <v>102.68</v>
      </c>
      <c r="H3490" s="3"/>
      <c r="I3490" s="14" t="s">
        <v>1594</v>
      </c>
    </row>
    <row r="3491" spans="1:9" ht="18.75" customHeight="1" x14ac:dyDescent="0.4">
      <c r="A3491" s="14" t="s">
        <v>3134</v>
      </c>
      <c r="B3491" s="16" t="str">
        <f>TRIM("　東今福公園")</f>
        <v>東今福公園</v>
      </c>
      <c r="C3491" s="14" t="s">
        <v>1517</v>
      </c>
      <c r="D3491" s="14" t="s">
        <v>856</v>
      </c>
      <c r="E3491" s="1">
        <v>6651.23</v>
      </c>
      <c r="F3491" s="2"/>
      <c r="G3491" s="1"/>
      <c r="H3491" s="3"/>
      <c r="I3491" s="14" t="s">
        <v>2177</v>
      </c>
    </row>
    <row r="3492" spans="1:9" ht="18.75" customHeight="1" x14ac:dyDescent="0.4">
      <c r="A3492" s="14" t="s">
        <v>3643</v>
      </c>
      <c r="B3492" s="16" t="str">
        <f>TRIM("　東今福公園")</f>
        <v>東今福公園</v>
      </c>
      <c r="C3492" s="14" t="s">
        <v>1517</v>
      </c>
      <c r="D3492" s="14" t="s">
        <v>856</v>
      </c>
      <c r="E3492" s="1"/>
      <c r="F3492" s="2"/>
      <c r="G3492" s="1">
        <v>19.2</v>
      </c>
      <c r="H3492" s="3"/>
      <c r="I3492" s="14" t="s">
        <v>2177</v>
      </c>
    </row>
    <row r="3493" spans="1:9" ht="18.75" customHeight="1" x14ac:dyDescent="0.4">
      <c r="A3493" s="14" t="s">
        <v>3811</v>
      </c>
      <c r="B3493" s="16" t="str">
        <f>TRIM("今福鶴見駅自転車駐車場管理事務所")</f>
        <v>今福鶴見駅自転車駐車場管理事務所</v>
      </c>
      <c r="C3493" s="14" t="s">
        <v>1517</v>
      </c>
      <c r="D3493" s="14" t="s">
        <v>856</v>
      </c>
      <c r="E3493" s="1"/>
      <c r="F3493" s="2"/>
      <c r="G3493" s="1">
        <v>9.76</v>
      </c>
      <c r="H3493" s="3"/>
      <c r="I3493" s="14" t="s">
        <v>2177</v>
      </c>
    </row>
    <row r="3494" spans="1:9" ht="18.75" customHeight="1" x14ac:dyDescent="0.4">
      <c r="A3494" s="14" t="s">
        <v>6713</v>
      </c>
      <c r="B3494" s="16" t="str">
        <f>TRIM("すみれ住宅")</f>
        <v>すみれ住宅</v>
      </c>
      <c r="C3494" s="14" t="s">
        <v>1517</v>
      </c>
      <c r="D3494" s="14" t="s">
        <v>851</v>
      </c>
      <c r="E3494" s="1">
        <v>20455.93</v>
      </c>
      <c r="F3494" s="2"/>
      <c r="G3494" s="1">
        <v>18359.93</v>
      </c>
      <c r="H3494" s="3"/>
      <c r="I3494" s="14" t="s">
        <v>6177</v>
      </c>
    </row>
    <row r="3495" spans="1:9" ht="18.75" customHeight="1" x14ac:dyDescent="0.4">
      <c r="A3495" s="14" t="s">
        <v>3810</v>
      </c>
      <c r="B3495" s="16" t="str">
        <f>TRIM("今福鶴見駅自転車駐車場管理ボックス")</f>
        <v>今福鶴見駅自転車駐車場管理ボックス</v>
      </c>
      <c r="C3495" s="14" t="s">
        <v>1517</v>
      </c>
      <c r="D3495" s="14" t="s">
        <v>851</v>
      </c>
      <c r="E3495" s="1"/>
      <c r="F3495" s="2"/>
      <c r="G3495" s="1">
        <v>1.44</v>
      </c>
      <c r="H3495" s="3"/>
      <c r="I3495" s="14" t="s">
        <v>2177</v>
      </c>
    </row>
    <row r="3496" spans="1:9" ht="18.75" customHeight="1" x14ac:dyDescent="0.4">
      <c r="A3496" s="14" t="s">
        <v>2236</v>
      </c>
      <c r="B3496" s="16" t="str">
        <f>TRIM("石切大阪線（城東）（管財課）")</f>
        <v>石切大阪線（城東）（管財課）</v>
      </c>
      <c r="C3496" s="14" t="s">
        <v>1517</v>
      </c>
      <c r="D3496" s="14" t="s">
        <v>275</v>
      </c>
      <c r="E3496" s="1">
        <v>2885.01</v>
      </c>
      <c r="F3496" s="2"/>
      <c r="G3496" s="1"/>
      <c r="H3496" s="3"/>
      <c r="I3496" s="14" t="s">
        <v>2177</v>
      </c>
    </row>
    <row r="3497" spans="1:9" ht="18.75" customHeight="1" x14ac:dyDescent="0.4">
      <c r="A3497" s="14" t="s">
        <v>5558</v>
      </c>
      <c r="B3497" s="16" t="str">
        <f>TRIM("八ヶ荘埋立地")</f>
        <v>八ヶ荘埋立地</v>
      </c>
      <c r="C3497" s="14" t="s">
        <v>1517</v>
      </c>
      <c r="D3497" s="14" t="s">
        <v>275</v>
      </c>
      <c r="E3497" s="1">
        <v>29.01</v>
      </c>
      <c r="F3497" s="2"/>
      <c r="G3497" s="1"/>
      <c r="H3497" s="3"/>
      <c r="I3497" s="14" t="s">
        <v>5349</v>
      </c>
    </row>
    <row r="3498" spans="1:9" ht="18.75" customHeight="1" x14ac:dyDescent="0.4">
      <c r="A3498" s="14" t="s">
        <v>4819</v>
      </c>
      <c r="B3498" s="16" t="str">
        <f>TRIM("今福小学校")</f>
        <v>今福小学校</v>
      </c>
      <c r="C3498" s="14" t="s">
        <v>1517</v>
      </c>
      <c r="D3498" s="14" t="s">
        <v>253</v>
      </c>
      <c r="E3498" s="1">
        <v>5641.36</v>
      </c>
      <c r="F3498" s="2"/>
      <c r="G3498" s="1">
        <v>6202.12</v>
      </c>
      <c r="H3498" s="3"/>
      <c r="I3498" s="14" t="s">
        <v>4689</v>
      </c>
    </row>
    <row r="3499" spans="1:9" ht="18.75" customHeight="1" x14ac:dyDescent="0.4">
      <c r="A3499" s="14" t="s">
        <v>2727</v>
      </c>
      <c r="B3499" s="16" t="str">
        <f>TRIM("　今福南中央公園")</f>
        <v>今福南中央公園</v>
      </c>
      <c r="C3499" s="14" t="s">
        <v>1517</v>
      </c>
      <c r="D3499" s="14" t="s">
        <v>253</v>
      </c>
      <c r="E3499" s="1">
        <v>703.2</v>
      </c>
      <c r="F3499" s="2"/>
      <c r="G3499" s="1"/>
      <c r="H3499" s="3"/>
      <c r="I3499" s="14" t="s">
        <v>2177</v>
      </c>
    </row>
    <row r="3500" spans="1:9" ht="18.75" customHeight="1" x14ac:dyDescent="0.4">
      <c r="A3500" s="14" t="s">
        <v>3429</v>
      </c>
      <c r="B3500" s="16" t="str">
        <f>TRIM("今福南古堤公園")</f>
        <v>今福南古堤公園</v>
      </c>
      <c r="C3500" s="14" t="s">
        <v>1517</v>
      </c>
      <c r="D3500" s="14" t="s">
        <v>253</v>
      </c>
      <c r="E3500" s="1">
        <v>744.5</v>
      </c>
      <c r="F3500" s="2"/>
      <c r="G3500" s="1"/>
      <c r="H3500" s="3"/>
      <c r="I3500" s="14" t="s">
        <v>2177</v>
      </c>
    </row>
    <row r="3501" spans="1:9" ht="18.75" customHeight="1" x14ac:dyDescent="0.4">
      <c r="A3501" s="14" t="s">
        <v>4570</v>
      </c>
      <c r="B3501" s="16" t="str">
        <f>TRIM("今福会館")</f>
        <v>今福会館</v>
      </c>
      <c r="C3501" s="14" t="s">
        <v>1517</v>
      </c>
      <c r="D3501" s="14" t="s">
        <v>253</v>
      </c>
      <c r="E3501" s="1"/>
      <c r="F3501" s="2"/>
      <c r="G3501" s="1">
        <v>108</v>
      </c>
      <c r="H3501" s="3"/>
      <c r="I3501" s="14" t="s">
        <v>1594</v>
      </c>
    </row>
    <row r="3502" spans="1:9" ht="18.75" customHeight="1" x14ac:dyDescent="0.4">
      <c r="A3502" s="14" t="s">
        <v>5532</v>
      </c>
      <c r="B3502" s="16" t="str">
        <f>TRIM("廃溝（城東・児童遊園）")</f>
        <v>廃溝（城東・児童遊園）</v>
      </c>
      <c r="C3502" s="14" t="s">
        <v>1517</v>
      </c>
      <c r="D3502" s="14" t="s">
        <v>253</v>
      </c>
      <c r="E3502" s="1">
        <v>200.15</v>
      </c>
      <c r="F3502" s="2"/>
      <c r="G3502" s="1"/>
      <c r="H3502" s="3"/>
      <c r="I3502" s="14" t="s">
        <v>5349</v>
      </c>
    </row>
    <row r="3503" spans="1:9" ht="18.75" customHeight="1" x14ac:dyDescent="0.4">
      <c r="A3503" s="14" t="s">
        <v>4044</v>
      </c>
      <c r="B3503" s="16" t="str">
        <f>TRIM("今福下水処理場")</f>
        <v>今福下水処理場</v>
      </c>
      <c r="C3503" s="14" t="s">
        <v>1517</v>
      </c>
      <c r="D3503" s="14" t="s">
        <v>1323</v>
      </c>
      <c r="E3503" s="1">
        <v>51630.87</v>
      </c>
      <c r="F3503" s="2">
        <v>455</v>
      </c>
      <c r="G3503" s="1">
        <v>7931.17</v>
      </c>
      <c r="H3503" s="3"/>
      <c r="I3503" s="14" t="s">
        <v>2177</v>
      </c>
    </row>
    <row r="3504" spans="1:9" ht="18.75" customHeight="1" x14ac:dyDescent="0.4">
      <c r="A3504" s="18"/>
      <c r="B3504" s="14" t="s">
        <v>7173</v>
      </c>
      <c r="C3504" s="14" t="s">
        <v>1517</v>
      </c>
      <c r="D3504" s="1" t="s">
        <v>1323</v>
      </c>
      <c r="E3504" s="2"/>
      <c r="F3504" s="11"/>
      <c r="G3504" s="1">
        <v>105.7</v>
      </c>
      <c r="H3504" s="1"/>
      <c r="I3504" s="1" t="s">
        <v>2177</v>
      </c>
    </row>
    <row r="3505" spans="1:9" ht="18.75" customHeight="1" x14ac:dyDescent="0.4">
      <c r="A3505" s="14" t="s">
        <v>6379</v>
      </c>
      <c r="B3505" s="16" t="str">
        <f>TRIM("今福南住宅")</f>
        <v>今福南住宅</v>
      </c>
      <c r="C3505" s="14" t="s">
        <v>1517</v>
      </c>
      <c r="D3505" s="14" t="s">
        <v>749</v>
      </c>
      <c r="E3505" s="1">
        <v>16685.05</v>
      </c>
      <c r="F3505" s="2"/>
      <c r="G3505" s="1">
        <v>43141.23</v>
      </c>
      <c r="H3505" s="3"/>
      <c r="I3505" s="14" t="s">
        <v>6177</v>
      </c>
    </row>
    <row r="3506" spans="1:9" ht="18.75" customHeight="1" x14ac:dyDescent="0.4">
      <c r="A3506" s="14" t="s">
        <v>6380</v>
      </c>
      <c r="B3506" s="16" t="str">
        <f>TRIM("今福南第2住宅")</f>
        <v>今福南第2住宅</v>
      </c>
      <c r="C3506" s="14" t="s">
        <v>1517</v>
      </c>
      <c r="D3506" s="14" t="s">
        <v>749</v>
      </c>
      <c r="E3506" s="1">
        <v>14117.1</v>
      </c>
      <c r="F3506" s="2"/>
      <c r="G3506" s="1">
        <v>15068.12</v>
      </c>
      <c r="H3506" s="3"/>
      <c r="I3506" s="14" t="s">
        <v>6177</v>
      </c>
    </row>
    <row r="3507" spans="1:9" ht="18.75" customHeight="1" x14ac:dyDescent="0.4">
      <c r="A3507" s="14" t="s">
        <v>6768</v>
      </c>
      <c r="B3507" s="16" t="str">
        <f>TRIM("今福南第3住宅")</f>
        <v>今福南第3住宅</v>
      </c>
      <c r="C3507" s="14" t="s">
        <v>1517</v>
      </c>
      <c r="D3507" s="14" t="s">
        <v>749</v>
      </c>
      <c r="E3507" s="1">
        <v>19094.64</v>
      </c>
      <c r="F3507" s="2"/>
      <c r="G3507" s="1">
        <v>22915.88</v>
      </c>
      <c r="H3507" s="3"/>
      <c r="I3507" s="14" t="s">
        <v>6177</v>
      </c>
    </row>
    <row r="3508" spans="1:9" ht="18.75" customHeight="1" x14ac:dyDescent="0.4">
      <c r="A3508" s="14" t="s">
        <v>2027</v>
      </c>
      <c r="B3508" s="16" t="str">
        <f>TRIM("今福老人憩の家")</f>
        <v>今福老人憩の家</v>
      </c>
      <c r="C3508" s="14" t="s">
        <v>1517</v>
      </c>
      <c r="D3508" s="14" t="s">
        <v>749</v>
      </c>
      <c r="E3508" s="1">
        <v>218.19</v>
      </c>
      <c r="F3508" s="2"/>
      <c r="G3508" s="1"/>
      <c r="H3508" s="3"/>
      <c r="I3508" s="14" t="s">
        <v>1594</v>
      </c>
    </row>
    <row r="3509" spans="1:9" ht="18.75" customHeight="1" x14ac:dyDescent="0.4">
      <c r="A3509" s="14" t="s">
        <v>3185</v>
      </c>
      <c r="B3509" s="16" t="str">
        <f>TRIM("　南今福公園")</f>
        <v>南今福公園</v>
      </c>
      <c r="C3509" s="14" t="s">
        <v>1517</v>
      </c>
      <c r="D3509" s="14" t="s">
        <v>749</v>
      </c>
      <c r="E3509" s="1">
        <v>4449.58</v>
      </c>
      <c r="F3509" s="2"/>
      <c r="G3509" s="1"/>
      <c r="H3509" s="3"/>
      <c r="I3509" s="14" t="s">
        <v>2177</v>
      </c>
    </row>
    <row r="3510" spans="1:9" ht="18.75" customHeight="1" x14ac:dyDescent="0.4">
      <c r="A3510" s="14" t="s">
        <v>3186</v>
      </c>
      <c r="B3510" s="16" t="str">
        <f>TRIM("　南今福北公園")</f>
        <v>南今福北公園</v>
      </c>
      <c r="C3510" s="14" t="s">
        <v>1517</v>
      </c>
      <c r="D3510" s="14" t="s">
        <v>749</v>
      </c>
      <c r="E3510" s="1">
        <v>1626.43</v>
      </c>
      <c r="F3510" s="2"/>
      <c r="G3510" s="1"/>
      <c r="H3510" s="3"/>
      <c r="I3510" s="14" t="s">
        <v>2177</v>
      </c>
    </row>
    <row r="3511" spans="1:9" ht="18.75" customHeight="1" x14ac:dyDescent="0.4">
      <c r="A3511" s="14" t="s">
        <v>5858</v>
      </c>
      <c r="B3511" s="16" t="str">
        <f>TRIM("今福南保育所")</f>
        <v>今福南保育所</v>
      </c>
      <c r="C3511" s="14" t="s">
        <v>1517</v>
      </c>
      <c r="D3511" s="14" t="s">
        <v>749</v>
      </c>
      <c r="E3511" s="1"/>
      <c r="F3511" s="2"/>
      <c r="G3511" s="1">
        <v>659.09</v>
      </c>
      <c r="H3511" s="3"/>
      <c r="I3511" s="14" t="s">
        <v>5617</v>
      </c>
    </row>
    <row r="3512" spans="1:9" ht="18.75" customHeight="1" x14ac:dyDescent="0.4">
      <c r="A3512" s="14" t="s">
        <v>4566</v>
      </c>
      <c r="B3512" s="16" t="str">
        <f>TRIM("蒲生1丁目会館")</f>
        <v>蒲生1丁目会館</v>
      </c>
      <c r="C3512" s="14" t="s">
        <v>1517</v>
      </c>
      <c r="D3512" s="14" t="s">
        <v>1463</v>
      </c>
      <c r="E3512" s="1">
        <v>275.47000000000003</v>
      </c>
      <c r="F3512" s="2"/>
      <c r="G3512" s="1"/>
      <c r="H3512" s="3"/>
      <c r="I3512" s="14" t="s">
        <v>1594</v>
      </c>
    </row>
    <row r="3513" spans="1:9" ht="18.75" customHeight="1" x14ac:dyDescent="0.4">
      <c r="A3513" s="14" t="s">
        <v>3397</v>
      </c>
      <c r="B3513" s="16" t="str">
        <f>TRIM("（仮称）蒲生緑道")</f>
        <v>（仮称）蒲生緑道</v>
      </c>
      <c r="C3513" s="14" t="s">
        <v>1517</v>
      </c>
      <c r="D3513" s="14" t="s">
        <v>287</v>
      </c>
      <c r="E3513" s="1">
        <v>1989.99</v>
      </c>
      <c r="F3513" s="2"/>
      <c r="G3513" s="1"/>
      <c r="H3513" s="3"/>
      <c r="I3513" s="14" t="s">
        <v>2177</v>
      </c>
    </row>
    <row r="3514" spans="1:9" ht="18.75" customHeight="1" x14ac:dyDescent="0.4">
      <c r="A3514" s="14" t="s">
        <v>5574</v>
      </c>
      <c r="B3514" s="16" t="str">
        <f>TRIM("鯰江川埋立地（城東）")</f>
        <v>鯰江川埋立地（城東）</v>
      </c>
      <c r="C3514" s="14" t="s">
        <v>1517</v>
      </c>
      <c r="D3514" s="14" t="s">
        <v>287</v>
      </c>
      <c r="E3514" s="1">
        <v>381.51</v>
      </c>
      <c r="F3514" s="2"/>
      <c r="G3514" s="1"/>
      <c r="H3514" s="3"/>
      <c r="I3514" s="14" t="s">
        <v>5349</v>
      </c>
    </row>
    <row r="3515" spans="1:9" ht="18.75" customHeight="1" x14ac:dyDescent="0.4">
      <c r="A3515" s="14" t="s">
        <v>2628</v>
      </c>
      <c r="B3515" s="16" t="str">
        <f>TRIM("　蒲生南公園")</f>
        <v>蒲生南公園</v>
      </c>
      <c r="C3515" s="14" t="s">
        <v>1517</v>
      </c>
      <c r="D3515" s="14" t="s">
        <v>1020</v>
      </c>
      <c r="E3515" s="1">
        <v>463.45</v>
      </c>
      <c r="F3515" s="2"/>
      <c r="G3515" s="1"/>
      <c r="H3515" s="3"/>
      <c r="I3515" s="14" t="s">
        <v>2177</v>
      </c>
    </row>
    <row r="3516" spans="1:9" ht="18.75" customHeight="1" x14ac:dyDescent="0.4">
      <c r="A3516" s="14" t="s">
        <v>5395</v>
      </c>
      <c r="B3516" s="16" t="str">
        <f>TRIM("もと城東署蒲生橋派出所")</f>
        <v>もと城東署蒲生橋派出所</v>
      </c>
      <c r="C3516" s="14" t="s">
        <v>1517</v>
      </c>
      <c r="D3516" s="14" t="s">
        <v>155</v>
      </c>
      <c r="E3516" s="1">
        <v>40.69</v>
      </c>
      <c r="F3516" s="2"/>
      <c r="G3516" s="1"/>
      <c r="H3516" s="3"/>
      <c r="I3516" s="14" t="s">
        <v>5349</v>
      </c>
    </row>
    <row r="3517" spans="1:9" ht="18.75" customHeight="1" x14ac:dyDescent="0.4">
      <c r="A3517" s="14" t="s">
        <v>1622</v>
      </c>
      <c r="B3517" s="16" t="str">
        <f>TRIM("男女共同参画センター東部館 クレオ大阪東")</f>
        <v>男女共同参画センター東部館 クレオ大阪東</v>
      </c>
      <c r="C3517" s="14" t="s">
        <v>1517</v>
      </c>
      <c r="D3517" s="14" t="s">
        <v>141</v>
      </c>
      <c r="E3517" s="1"/>
      <c r="F3517" s="2"/>
      <c r="G3517" s="1">
        <v>3092.34</v>
      </c>
      <c r="H3517" s="3"/>
      <c r="I3517" s="14" t="s">
        <v>1598</v>
      </c>
    </row>
    <row r="3518" spans="1:9" ht="18.75" customHeight="1" x14ac:dyDescent="0.4">
      <c r="A3518" s="14" t="s">
        <v>4870</v>
      </c>
      <c r="B3518" s="16" t="str">
        <f>TRIM("城陽中学校分校")</f>
        <v>城陽中学校分校</v>
      </c>
      <c r="C3518" s="14" t="s">
        <v>1517</v>
      </c>
      <c r="D3518" s="14" t="s">
        <v>141</v>
      </c>
      <c r="E3518" s="1">
        <v>8387.76</v>
      </c>
      <c r="F3518" s="2"/>
      <c r="G3518" s="1"/>
      <c r="H3518" s="3"/>
      <c r="I3518" s="14" t="s">
        <v>4689</v>
      </c>
    </row>
    <row r="3519" spans="1:9" ht="18.75" customHeight="1" x14ac:dyDescent="0.4">
      <c r="A3519" s="14" t="s">
        <v>5307</v>
      </c>
      <c r="B3519" s="16" t="str">
        <f>TRIM("防火水槽用地（城東）")</f>
        <v>防火水槽用地（城東）</v>
      </c>
      <c r="C3519" s="14" t="s">
        <v>1517</v>
      </c>
      <c r="D3519" s="14" t="s">
        <v>141</v>
      </c>
      <c r="E3519" s="1">
        <v>91.45</v>
      </c>
      <c r="F3519" s="2"/>
      <c r="G3519" s="1"/>
      <c r="H3519" s="3"/>
      <c r="I3519" s="14" t="s">
        <v>5219</v>
      </c>
    </row>
    <row r="3520" spans="1:9" ht="18.75" customHeight="1" x14ac:dyDescent="0.4">
      <c r="A3520" s="14" t="s">
        <v>5379</v>
      </c>
      <c r="B3520" s="16" t="str">
        <f>TRIM("もと工場跡地（運動場）")</f>
        <v>もと工場跡地（運動場）</v>
      </c>
      <c r="C3520" s="14" t="s">
        <v>1517</v>
      </c>
      <c r="D3520" s="14" t="s">
        <v>141</v>
      </c>
      <c r="E3520" s="1">
        <v>711.23</v>
      </c>
      <c r="F3520" s="2"/>
      <c r="G3520" s="1"/>
      <c r="H3520" s="3"/>
      <c r="I3520" s="14" t="s">
        <v>5349</v>
      </c>
    </row>
    <row r="3521" spans="1:9" ht="18.75" customHeight="1" x14ac:dyDescent="0.4">
      <c r="A3521" s="14" t="s">
        <v>5434</v>
      </c>
      <c r="B3521" s="16" t="str">
        <f>TRIM("もと平野川市有水路埋立地")</f>
        <v>もと平野川市有水路埋立地</v>
      </c>
      <c r="C3521" s="14" t="s">
        <v>1517</v>
      </c>
      <c r="D3521" s="14" t="s">
        <v>141</v>
      </c>
      <c r="E3521" s="1">
        <v>1348.03</v>
      </c>
      <c r="F3521" s="2"/>
      <c r="G3521" s="1"/>
      <c r="H3521" s="3"/>
      <c r="I3521" s="14" t="s">
        <v>5349</v>
      </c>
    </row>
    <row r="3522" spans="1:9" ht="18.75" customHeight="1" x14ac:dyDescent="0.4">
      <c r="A3522" s="14" t="s">
        <v>5568</v>
      </c>
      <c r="B3522" s="16" t="str">
        <f>TRIM("立江井路埋立地")</f>
        <v>立江井路埋立地</v>
      </c>
      <c r="C3522" s="14" t="s">
        <v>1517</v>
      </c>
      <c r="D3522" s="14" t="s">
        <v>141</v>
      </c>
      <c r="E3522" s="1">
        <v>55.2</v>
      </c>
      <c r="F3522" s="2"/>
      <c r="G3522" s="1"/>
      <c r="H3522" s="3"/>
      <c r="I3522" s="14" t="s">
        <v>5349</v>
      </c>
    </row>
    <row r="3523" spans="1:9" ht="18.75" customHeight="1" x14ac:dyDescent="0.4">
      <c r="A3523" s="14" t="s">
        <v>6866</v>
      </c>
      <c r="B3523" s="16" t="str">
        <f>TRIM("もと区画整理事業用地（城東）")</f>
        <v>もと区画整理事業用地（城東）</v>
      </c>
      <c r="C3523" s="14" t="s">
        <v>1517</v>
      </c>
      <c r="D3523" s="14" t="s">
        <v>141</v>
      </c>
      <c r="E3523" s="1">
        <v>538.75</v>
      </c>
      <c r="F3523" s="2"/>
      <c r="G3523" s="1"/>
      <c r="H3523" s="3"/>
      <c r="I3523" s="14" t="s">
        <v>6177</v>
      </c>
    </row>
    <row r="3524" spans="1:9" ht="18.75" customHeight="1" x14ac:dyDescent="0.4">
      <c r="A3524" s="14" t="s">
        <v>7105</v>
      </c>
      <c r="B3524" s="16" t="str">
        <f>TRIM("城東スポーツセンター")</f>
        <v>城東スポーツセンター</v>
      </c>
      <c r="C3524" s="14" t="s">
        <v>1517</v>
      </c>
      <c r="D3524" s="14" t="s">
        <v>141</v>
      </c>
      <c r="E3524" s="1"/>
      <c r="F3524" s="2"/>
      <c r="G3524" s="1">
        <v>4044.21</v>
      </c>
      <c r="H3524" s="3"/>
      <c r="I3524" s="14" t="s">
        <v>4115</v>
      </c>
    </row>
    <row r="3525" spans="1:9" ht="18.75" customHeight="1" x14ac:dyDescent="0.4">
      <c r="A3525" s="14" t="s">
        <v>6394</v>
      </c>
      <c r="B3525" s="16" t="str">
        <f>TRIM("鴫野第2住宅")</f>
        <v>鴫野第2住宅</v>
      </c>
      <c r="C3525" s="14" t="s">
        <v>1517</v>
      </c>
      <c r="D3525" s="14" t="s">
        <v>227</v>
      </c>
      <c r="E3525" s="1">
        <v>21643.439999999999</v>
      </c>
      <c r="F3525" s="2">
        <v>460</v>
      </c>
      <c r="G3525" s="1">
        <v>22356.89</v>
      </c>
      <c r="H3525" s="3"/>
      <c r="I3525" s="14" t="s">
        <v>6177</v>
      </c>
    </row>
    <row r="3526" spans="1:9" ht="18.75" customHeight="1" x14ac:dyDescent="0.4">
      <c r="A3526" s="14" t="s">
        <v>4869</v>
      </c>
      <c r="B3526" s="16" t="str">
        <f>TRIM("城陽中学校")</f>
        <v>城陽中学校</v>
      </c>
      <c r="C3526" s="14" t="s">
        <v>1517</v>
      </c>
      <c r="D3526" s="14" t="s">
        <v>227</v>
      </c>
      <c r="E3526" s="1">
        <v>20661.8</v>
      </c>
      <c r="F3526" s="2"/>
      <c r="G3526" s="1">
        <v>8565.07</v>
      </c>
      <c r="H3526" s="3"/>
      <c r="I3526" s="14" t="s">
        <v>4689</v>
      </c>
    </row>
    <row r="3527" spans="1:9" ht="18.75" customHeight="1" x14ac:dyDescent="0.4">
      <c r="A3527" s="14" t="s">
        <v>5492</v>
      </c>
      <c r="B3527" s="16" t="str">
        <f>TRIM("寝屋川両岸廃川敷")</f>
        <v>寝屋川両岸廃川敷</v>
      </c>
      <c r="C3527" s="14" t="s">
        <v>1517</v>
      </c>
      <c r="D3527" s="14" t="s">
        <v>227</v>
      </c>
      <c r="E3527" s="1">
        <v>267.94</v>
      </c>
      <c r="F3527" s="2"/>
      <c r="G3527" s="1"/>
      <c r="H3527" s="3"/>
      <c r="I3527" s="14" t="s">
        <v>5349</v>
      </c>
    </row>
    <row r="3528" spans="1:9" ht="18.75" customHeight="1" x14ac:dyDescent="0.4">
      <c r="A3528" s="14" t="s">
        <v>4841</v>
      </c>
      <c r="B3528" s="16" t="str">
        <f>TRIM("鴫野小学校")</f>
        <v>鴫野小学校</v>
      </c>
      <c r="C3528" s="14" t="s">
        <v>1517</v>
      </c>
      <c r="D3528" s="14" t="s">
        <v>154</v>
      </c>
      <c r="E3528" s="1">
        <v>12466.76</v>
      </c>
      <c r="F3528" s="2"/>
      <c r="G3528" s="1">
        <v>8392.36</v>
      </c>
      <c r="H3528" s="3"/>
      <c r="I3528" s="14" t="s">
        <v>4689</v>
      </c>
    </row>
    <row r="3529" spans="1:9" ht="18.75" customHeight="1" x14ac:dyDescent="0.4">
      <c r="A3529" s="14" t="s">
        <v>6393</v>
      </c>
      <c r="B3529" s="16" t="str">
        <f>TRIM("鴫野西住宅")</f>
        <v>鴫野西住宅</v>
      </c>
      <c r="C3529" s="14" t="s">
        <v>1517</v>
      </c>
      <c r="D3529" s="14" t="s">
        <v>154</v>
      </c>
      <c r="E3529" s="1">
        <v>2702.11</v>
      </c>
      <c r="F3529" s="2"/>
      <c r="G3529" s="1">
        <v>1358.17</v>
      </c>
      <c r="H3529" s="3"/>
      <c r="I3529" s="14" t="s">
        <v>6177</v>
      </c>
    </row>
    <row r="3530" spans="1:9" ht="18.75" customHeight="1" x14ac:dyDescent="0.4">
      <c r="A3530" s="14" t="s">
        <v>2770</v>
      </c>
      <c r="B3530" s="16" t="str">
        <f>TRIM("　鴫野公園")</f>
        <v>鴫野公園</v>
      </c>
      <c r="C3530" s="14" t="s">
        <v>1517</v>
      </c>
      <c r="D3530" s="14" t="s">
        <v>154</v>
      </c>
      <c r="E3530" s="1">
        <v>9888.9699999999993</v>
      </c>
      <c r="F3530" s="2"/>
      <c r="G3530" s="1"/>
      <c r="H3530" s="3"/>
      <c r="I3530" s="14" t="s">
        <v>2177</v>
      </c>
    </row>
    <row r="3531" spans="1:9" ht="18.75" customHeight="1" x14ac:dyDescent="0.4">
      <c r="A3531" s="14" t="s">
        <v>2771</v>
      </c>
      <c r="B3531" s="16" t="str">
        <f>TRIM("　鴫野西公園")</f>
        <v>鴫野西公園</v>
      </c>
      <c r="C3531" s="14" t="s">
        <v>1517</v>
      </c>
      <c r="D3531" s="14" t="s">
        <v>154</v>
      </c>
      <c r="E3531" s="1">
        <v>1816.17</v>
      </c>
      <c r="F3531" s="2"/>
      <c r="G3531" s="1"/>
      <c r="H3531" s="3"/>
      <c r="I3531" s="14" t="s">
        <v>2177</v>
      </c>
    </row>
    <row r="3532" spans="1:9" ht="18.75" customHeight="1" x14ac:dyDescent="0.4">
      <c r="A3532" s="14" t="s">
        <v>3569</v>
      </c>
      <c r="B3532" s="16" t="str">
        <f>TRIM("　鴫野公園")</f>
        <v>鴫野公園</v>
      </c>
      <c r="C3532" s="14" t="s">
        <v>1517</v>
      </c>
      <c r="D3532" s="14" t="s">
        <v>154</v>
      </c>
      <c r="E3532" s="1"/>
      <c r="F3532" s="2"/>
      <c r="G3532" s="1">
        <v>18.2</v>
      </c>
      <c r="H3532" s="3"/>
      <c r="I3532" s="14" t="s">
        <v>2177</v>
      </c>
    </row>
    <row r="3533" spans="1:9" ht="18.75" customHeight="1" x14ac:dyDescent="0.4">
      <c r="A3533" s="14" t="s">
        <v>5394</v>
      </c>
      <c r="B3533" s="16" t="str">
        <f>TRIM("もと鐘紡水路敷地")</f>
        <v>もと鐘紡水路敷地</v>
      </c>
      <c r="C3533" s="14" t="s">
        <v>1517</v>
      </c>
      <c r="D3533" s="14" t="s">
        <v>154</v>
      </c>
      <c r="E3533" s="1">
        <v>8893.66</v>
      </c>
      <c r="F3533" s="2"/>
      <c r="G3533" s="1"/>
      <c r="H3533" s="3"/>
      <c r="I3533" s="14" t="s">
        <v>5349</v>
      </c>
    </row>
    <row r="3534" spans="1:9" ht="18.75" customHeight="1" x14ac:dyDescent="0.4">
      <c r="A3534" s="14" t="s">
        <v>5538</v>
      </c>
      <c r="B3534" s="16" t="str">
        <f>TRIM("廃道（城東）")</f>
        <v>廃道（城東）</v>
      </c>
      <c r="C3534" s="14" t="s">
        <v>1517</v>
      </c>
      <c r="D3534" s="14" t="s">
        <v>154</v>
      </c>
      <c r="E3534" s="1">
        <v>80.63</v>
      </c>
      <c r="F3534" s="2"/>
      <c r="G3534" s="1"/>
      <c r="H3534" s="3"/>
      <c r="I3534" s="14" t="s">
        <v>5349</v>
      </c>
    </row>
    <row r="3535" spans="1:9" ht="18.75" customHeight="1" x14ac:dyDescent="0.4">
      <c r="A3535" s="14" t="s">
        <v>6146</v>
      </c>
      <c r="B3535" s="16" t="str">
        <f>TRIM("中浜霊園")</f>
        <v>中浜霊園</v>
      </c>
      <c r="C3535" s="14" t="s">
        <v>1517</v>
      </c>
      <c r="D3535" s="14" t="s">
        <v>154</v>
      </c>
      <c r="E3535" s="1">
        <v>1203.8399999999999</v>
      </c>
      <c r="F3535" s="2"/>
      <c r="G3535" s="1"/>
      <c r="H3535" s="3"/>
      <c r="I3535" s="14" t="s">
        <v>5977</v>
      </c>
    </row>
    <row r="3536" spans="1:9" ht="18.75" customHeight="1" x14ac:dyDescent="0.4">
      <c r="A3536" s="14" t="s">
        <v>2040</v>
      </c>
      <c r="B3536" s="16" t="str">
        <f>TRIM("鴫野憩の家")</f>
        <v>鴫野憩の家</v>
      </c>
      <c r="C3536" s="14" t="s">
        <v>1517</v>
      </c>
      <c r="D3536" s="14" t="s">
        <v>1462</v>
      </c>
      <c r="E3536" s="1">
        <v>490.9</v>
      </c>
      <c r="F3536" s="2"/>
      <c r="G3536" s="1">
        <v>104.34</v>
      </c>
      <c r="H3536" s="3"/>
      <c r="I3536" s="14" t="s">
        <v>1594</v>
      </c>
    </row>
    <row r="3537" spans="1:9" ht="18.75" customHeight="1" x14ac:dyDescent="0.4">
      <c r="A3537" s="14" t="s">
        <v>6392</v>
      </c>
      <c r="B3537" s="16" t="str">
        <f>TRIM("鴫野住宅")</f>
        <v>鴫野住宅</v>
      </c>
      <c r="C3537" s="14" t="s">
        <v>1517</v>
      </c>
      <c r="D3537" s="14" t="s">
        <v>1462</v>
      </c>
      <c r="E3537" s="1">
        <v>33482.39</v>
      </c>
      <c r="F3537" s="2"/>
      <c r="G3537" s="1">
        <v>28536.55</v>
      </c>
      <c r="H3537" s="3"/>
      <c r="I3537" s="14" t="s">
        <v>6177</v>
      </c>
    </row>
    <row r="3538" spans="1:9" ht="18.75" customHeight="1" x14ac:dyDescent="0.4">
      <c r="A3538" s="14" t="s">
        <v>5863</v>
      </c>
      <c r="B3538" s="16" t="str">
        <f>TRIM("鴫野保育所")</f>
        <v>鴫野保育所</v>
      </c>
      <c r="C3538" s="14" t="s">
        <v>1517</v>
      </c>
      <c r="D3538" s="14" t="s">
        <v>1462</v>
      </c>
      <c r="E3538" s="1"/>
      <c r="F3538" s="2"/>
      <c r="G3538" s="1">
        <v>634.16</v>
      </c>
      <c r="H3538" s="3"/>
      <c r="I3538" s="14" t="s">
        <v>5617</v>
      </c>
    </row>
    <row r="3539" spans="1:9" ht="18.75" customHeight="1" x14ac:dyDescent="0.4">
      <c r="A3539" s="14" t="s">
        <v>2773</v>
      </c>
      <c r="B3539" s="16" t="str">
        <f>TRIM("　鴫野北公園")</f>
        <v>鴫野北公園</v>
      </c>
      <c r="C3539" s="14" t="s">
        <v>1517</v>
      </c>
      <c r="D3539" s="14" t="s">
        <v>1069</v>
      </c>
      <c r="E3539" s="1">
        <v>1505.78</v>
      </c>
      <c r="F3539" s="2"/>
      <c r="G3539" s="1"/>
      <c r="H3539" s="3"/>
      <c r="I3539" s="14" t="s">
        <v>2177</v>
      </c>
    </row>
    <row r="3540" spans="1:9" ht="18.75" customHeight="1" x14ac:dyDescent="0.4">
      <c r="A3540" s="14" t="s">
        <v>3570</v>
      </c>
      <c r="B3540" s="16" t="str">
        <f>TRIM("　鴫野北公園")</f>
        <v>鴫野北公園</v>
      </c>
      <c r="C3540" s="14" t="s">
        <v>1517</v>
      </c>
      <c r="D3540" s="14" t="s">
        <v>1069</v>
      </c>
      <c r="E3540" s="1"/>
      <c r="F3540" s="2"/>
      <c r="G3540" s="1">
        <v>10.8</v>
      </c>
      <c r="H3540" s="3"/>
      <c r="I3540" s="14" t="s">
        <v>2177</v>
      </c>
    </row>
    <row r="3541" spans="1:9" ht="18.75" customHeight="1" x14ac:dyDescent="0.4">
      <c r="A3541" s="14" t="s">
        <v>1931</v>
      </c>
      <c r="B3541" s="16" t="str">
        <f>TRIM("特別養護老人ホームしぎの黄金の里・城陽地域在宅サービスステーション")</f>
        <v>特別養護老人ホームしぎの黄金の里・城陽地域在宅サービスステーション</v>
      </c>
      <c r="C3541" s="14" t="s">
        <v>1517</v>
      </c>
      <c r="D3541" s="14" t="s">
        <v>414</v>
      </c>
      <c r="E3541" s="1">
        <v>132.38999999999999</v>
      </c>
      <c r="F3541" s="2"/>
      <c r="G3541" s="1"/>
      <c r="H3541" s="3"/>
      <c r="I3541" s="14" t="s">
        <v>1654</v>
      </c>
    </row>
    <row r="3542" spans="1:9" ht="18.75" customHeight="1" x14ac:dyDescent="0.4">
      <c r="A3542" s="14" t="s">
        <v>2527</v>
      </c>
      <c r="B3542" s="16" t="str">
        <f>TRIM("　　鴫野東2公園")</f>
        <v>鴫野東2公園</v>
      </c>
      <c r="C3542" s="14" t="s">
        <v>1517</v>
      </c>
      <c r="D3542" s="14" t="s">
        <v>414</v>
      </c>
      <c r="E3542" s="1">
        <v>1150.32</v>
      </c>
      <c r="F3542" s="2"/>
      <c r="G3542" s="1"/>
      <c r="H3542" s="3"/>
      <c r="I3542" s="14" t="s">
        <v>2177</v>
      </c>
    </row>
    <row r="3543" spans="1:9" ht="18.75" customHeight="1" x14ac:dyDescent="0.4">
      <c r="A3543" s="14" t="s">
        <v>3967</v>
      </c>
      <c r="B3543" s="16" t="str">
        <f>TRIM("鴫野駅自転車駐車場  ")</f>
        <v>鴫野駅自転車駐車場</v>
      </c>
      <c r="C3543" s="14" t="s">
        <v>1517</v>
      </c>
      <c r="D3543" s="14" t="s">
        <v>414</v>
      </c>
      <c r="E3543" s="1"/>
      <c r="F3543" s="2"/>
      <c r="G3543" s="1">
        <v>281.92</v>
      </c>
      <c r="H3543" s="3"/>
      <c r="I3543" s="14" t="s">
        <v>2177</v>
      </c>
    </row>
    <row r="3544" spans="1:9" ht="18.75" customHeight="1" x14ac:dyDescent="0.4">
      <c r="A3544" s="14" t="s">
        <v>4866</v>
      </c>
      <c r="B3544" s="16" t="str">
        <f>TRIM("城東小学校")</f>
        <v>城東小学校</v>
      </c>
      <c r="C3544" s="14" t="s">
        <v>1517</v>
      </c>
      <c r="D3544" s="14" t="s">
        <v>504</v>
      </c>
      <c r="E3544" s="1">
        <v>10738.14</v>
      </c>
      <c r="F3544" s="2"/>
      <c r="G3544" s="1">
        <v>5135.71</v>
      </c>
      <c r="H3544" s="3"/>
      <c r="I3544" s="14" t="s">
        <v>4689</v>
      </c>
    </row>
    <row r="3545" spans="1:9" ht="18.75" customHeight="1" x14ac:dyDescent="0.4">
      <c r="A3545" s="14" t="s">
        <v>5791</v>
      </c>
      <c r="B3545" s="16" t="str">
        <f>TRIM("城東幼稚園")</f>
        <v>城東幼稚園</v>
      </c>
      <c r="C3545" s="14" t="s">
        <v>1517</v>
      </c>
      <c r="D3545" s="14" t="s">
        <v>504</v>
      </c>
      <c r="E3545" s="1">
        <v>2948.84</v>
      </c>
      <c r="F3545" s="2"/>
      <c r="G3545" s="1">
        <v>1252.3499999999999</v>
      </c>
      <c r="H3545" s="3"/>
      <c r="I3545" s="14" t="s">
        <v>5617</v>
      </c>
    </row>
    <row r="3546" spans="1:9" ht="18.75" customHeight="1" x14ac:dyDescent="0.4">
      <c r="A3546" s="14" t="s">
        <v>2050</v>
      </c>
      <c r="B3546" s="16" t="str">
        <f>TRIM("城東憩の家")</f>
        <v>城東憩の家</v>
      </c>
      <c r="C3546" s="14" t="s">
        <v>1517</v>
      </c>
      <c r="D3546" s="14" t="s">
        <v>504</v>
      </c>
      <c r="E3546" s="1"/>
      <c r="F3546" s="2"/>
      <c r="G3546" s="1">
        <v>105.6</v>
      </c>
      <c r="H3546" s="3"/>
      <c r="I3546" s="14" t="s">
        <v>1594</v>
      </c>
    </row>
    <row r="3547" spans="1:9" ht="18.75" customHeight="1" x14ac:dyDescent="0.4">
      <c r="A3547" s="14" t="s">
        <v>2247</v>
      </c>
      <c r="B3547" s="16" t="str">
        <f>TRIM("大阪環状線（城東）（管財課）")</f>
        <v>大阪環状線（城東）（管財課）</v>
      </c>
      <c r="C3547" s="14" t="s">
        <v>1517</v>
      </c>
      <c r="D3547" s="14" t="s">
        <v>504</v>
      </c>
      <c r="E3547" s="1">
        <v>24273.89</v>
      </c>
      <c r="F3547" s="2"/>
      <c r="G3547" s="1"/>
      <c r="H3547" s="3"/>
      <c r="I3547" s="14" t="s">
        <v>2177</v>
      </c>
    </row>
    <row r="3548" spans="1:9" ht="18.75" customHeight="1" x14ac:dyDescent="0.4">
      <c r="A3548" s="14" t="s">
        <v>2772</v>
      </c>
      <c r="B3548" s="16" t="str">
        <f>TRIM("　鴫野東公園")</f>
        <v>鴫野東公園</v>
      </c>
      <c r="C3548" s="14" t="s">
        <v>1517</v>
      </c>
      <c r="D3548" s="14" t="s">
        <v>504</v>
      </c>
      <c r="E3548" s="1">
        <v>3097.52</v>
      </c>
      <c r="F3548" s="2"/>
      <c r="G3548" s="1"/>
      <c r="H3548" s="3"/>
      <c r="I3548" s="14" t="s">
        <v>2177</v>
      </c>
    </row>
    <row r="3549" spans="1:9" ht="18.75" customHeight="1" x14ac:dyDescent="0.4">
      <c r="A3549" s="14" t="s">
        <v>3993</v>
      </c>
      <c r="B3549" s="16" t="str">
        <f>TRIM("もと下水道用地（城東）")</f>
        <v>もと下水道用地（城東）</v>
      </c>
      <c r="C3549" s="14" t="s">
        <v>1517</v>
      </c>
      <c r="D3549" s="14" t="s">
        <v>504</v>
      </c>
      <c r="E3549" s="1">
        <v>5.05</v>
      </c>
      <c r="F3549" s="2"/>
      <c r="G3549" s="1"/>
      <c r="H3549" s="3"/>
      <c r="I3549" s="14" t="s">
        <v>2177</v>
      </c>
    </row>
    <row r="3550" spans="1:9" ht="18.75" customHeight="1" x14ac:dyDescent="0.4">
      <c r="A3550" s="14" t="s">
        <v>4573</v>
      </c>
      <c r="B3550" s="16" t="str">
        <f>TRIM("城東福祉会館")</f>
        <v>城東福祉会館</v>
      </c>
      <c r="C3550" s="14" t="s">
        <v>1517</v>
      </c>
      <c r="D3550" s="14" t="s">
        <v>504</v>
      </c>
      <c r="E3550" s="1"/>
      <c r="F3550" s="2"/>
      <c r="G3550" s="1">
        <v>166.8</v>
      </c>
      <c r="H3550" s="3"/>
      <c r="I3550" s="14" t="s">
        <v>1594</v>
      </c>
    </row>
    <row r="3551" spans="1:9" ht="18.75" customHeight="1" x14ac:dyDescent="0.4">
      <c r="A3551" s="14" t="s">
        <v>2195</v>
      </c>
      <c r="B3551" s="16" t="str">
        <f>TRIM("豊里矢田線（鴫野）（基金）")</f>
        <v>豊里矢田線（鴫野）（基金）</v>
      </c>
      <c r="C3551" s="14" t="s">
        <v>1517</v>
      </c>
      <c r="D3551" s="14" t="s">
        <v>907</v>
      </c>
      <c r="E3551" s="1">
        <v>151.21</v>
      </c>
      <c r="F3551" s="2"/>
      <c r="G3551" s="1"/>
      <c r="H3551" s="3"/>
      <c r="I3551" s="14" t="s">
        <v>2177</v>
      </c>
    </row>
    <row r="3552" spans="1:9" ht="18.75" customHeight="1" x14ac:dyDescent="0.4">
      <c r="A3552" s="14" t="s">
        <v>2300</v>
      </c>
      <c r="B3552" s="16" t="str">
        <f>TRIM("道路（城東）（管財課）")</f>
        <v>道路（城東）（管財課）</v>
      </c>
      <c r="C3552" s="14" t="s">
        <v>1517</v>
      </c>
      <c r="D3552" s="14" t="s">
        <v>907</v>
      </c>
      <c r="E3552" s="1">
        <v>236325.09</v>
      </c>
      <c r="F3552" s="2"/>
      <c r="G3552" s="1"/>
      <c r="H3552" s="3"/>
      <c r="I3552" s="14" t="s">
        <v>2177</v>
      </c>
    </row>
    <row r="3553" spans="1:9" ht="18.75" customHeight="1" x14ac:dyDescent="0.4">
      <c r="A3553" s="14" t="s">
        <v>2435</v>
      </c>
      <c r="B3553" s="16" t="str">
        <f>TRIM("豊里矢田線（鴫野）")</f>
        <v>豊里矢田線（鴫野）</v>
      </c>
      <c r="C3553" s="14" t="s">
        <v>1517</v>
      </c>
      <c r="D3553" s="14" t="s">
        <v>907</v>
      </c>
      <c r="E3553" s="1">
        <v>565.41999999999996</v>
      </c>
      <c r="F3553" s="2"/>
      <c r="G3553" s="1"/>
      <c r="H3553" s="3"/>
      <c r="I3553" s="14" t="s">
        <v>2177</v>
      </c>
    </row>
    <row r="3554" spans="1:9" ht="18.75" customHeight="1" x14ac:dyDescent="0.4">
      <c r="A3554" s="14" t="s">
        <v>2839</v>
      </c>
      <c r="B3554" s="16" t="str">
        <f>TRIM("　新喜多公園")</f>
        <v>新喜多公園</v>
      </c>
      <c r="C3554" s="14" t="s">
        <v>1517</v>
      </c>
      <c r="D3554" s="14" t="s">
        <v>907</v>
      </c>
      <c r="E3554" s="1">
        <v>1181.25</v>
      </c>
      <c r="F3554" s="2"/>
      <c r="G3554" s="1"/>
      <c r="H3554" s="3"/>
      <c r="I3554" s="14" t="s">
        <v>2177</v>
      </c>
    </row>
    <row r="3555" spans="1:9" ht="18.75" customHeight="1" x14ac:dyDescent="0.4">
      <c r="A3555" s="14" t="s">
        <v>4908</v>
      </c>
      <c r="B3555" s="16" t="str">
        <f>TRIM("聖賢小学校")</f>
        <v>聖賢小学校</v>
      </c>
      <c r="C3555" s="14" t="s">
        <v>1517</v>
      </c>
      <c r="D3555" s="14" t="s">
        <v>1405</v>
      </c>
      <c r="E3555" s="1">
        <v>8781.92</v>
      </c>
      <c r="F3555" s="2"/>
      <c r="G3555" s="1">
        <v>8067.09</v>
      </c>
      <c r="H3555" s="3"/>
      <c r="I3555" s="14" t="s">
        <v>4689</v>
      </c>
    </row>
    <row r="3556" spans="1:9" ht="18.75" customHeight="1" x14ac:dyDescent="0.4">
      <c r="A3556" s="14" t="s">
        <v>6001</v>
      </c>
      <c r="B3556" s="16" t="str">
        <f>TRIM("大気汚染常時監視測定局（聖賢小学校）")</f>
        <v>大気汚染常時監視測定局（聖賢小学校）</v>
      </c>
      <c r="C3556" s="14" t="s">
        <v>1517</v>
      </c>
      <c r="D3556" s="14" t="s">
        <v>1405</v>
      </c>
      <c r="E3556" s="1"/>
      <c r="F3556" s="2"/>
      <c r="G3556" s="1">
        <v>21</v>
      </c>
      <c r="H3556" s="3"/>
      <c r="I3556" s="14" t="s">
        <v>5977</v>
      </c>
    </row>
    <row r="3557" spans="1:9" ht="18.75" customHeight="1" x14ac:dyDescent="0.4">
      <c r="A3557" s="14" t="s">
        <v>2063</v>
      </c>
      <c r="B3557" s="16" t="str">
        <f>TRIM("聖賢老人憩の家")</f>
        <v>聖賢老人憩の家</v>
      </c>
      <c r="C3557" s="14" t="s">
        <v>1517</v>
      </c>
      <c r="D3557" s="14" t="s">
        <v>27</v>
      </c>
      <c r="E3557" s="1">
        <v>340.18</v>
      </c>
      <c r="F3557" s="2"/>
      <c r="G3557" s="1">
        <v>101.03</v>
      </c>
      <c r="H3557" s="3" t="s">
        <v>7353</v>
      </c>
      <c r="I3557" s="14" t="s">
        <v>1594</v>
      </c>
    </row>
    <row r="3558" spans="1:9" ht="18.75" customHeight="1" x14ac:dyDescent="0.4">
      <c r="A3558" s="14" t="s">
        <v>7041</v>
      </c>
      <c r="B3558" s="16" t="str">
        <f>TRIM("もと小売市場施設（城東区） もと鯰江小売市場民営活性化事業施設")</f>
        <v>もと小売市場施設（城東区） もと鯰江小売市場民営活性化事業施設</v>
      </c>
      <c r="C3558" s="14" t="s">
        <v>1517</v>
      </c>
      <c r="D3558" s="14" t="s">
        <v>27</v>
      </c>
      <c r="E3558" s="1">
        <v>1338.21</v>
      </c>
      <c r="F3558" s="2"/>
      <c r="G3558" s="1">
        <v>1289.98</v>
      </c>
      <c r="H3558" s="3" t="s">
        <v>7353</v>
      </c>
      <c r="I3558" s="14" t="s">
        <v>4115</v>
      </c>
    </row>
    <row r="3559" spans="1:9" ht="18.75" customHeight="1" x14ac:dyDescent="0.4">
      <c r="A3559" s="14" t="s">
        <v>2841</v>
      </c>
      <c r="B3559" s="16" t="str">
        <f>TRIM("　新喜多東中央公園")</f>
        <v>新喜多東中央公園</v>
      </c>
      <c r="C3559" s="14" t="s">
        <v>1517</v>
      </c>
      <c r="D3559" s="14" t="s">
        <v>27</v>
      </c>
      <c r="E3559" s="1">
        <v>1095</v>
      </c>
      <c r="F3559" s="2"/>
      <c r="G3559" s="1"/>
      <c r="H3559" s="3"/>
      <c r="I3559" s="14" t="s">
        <v>2177</v>
      </c>
    </row>
    <row r="3560" spans="1:9" ht="18.75" customHeight="1" x14ac:dyDescent="0.4">
      <c r="A3560" s="14" t="s">
        <v>3249</v>
      </c>
      <c r="B3560" s="16" t="str">
        <f>TRIM("　布屋公園")</f>
        <v>布屋公園</v>
      </c>
      <c r="C3560" s="14" t="s">
        <v>1517</v>
      </c>
      <c r="D3560" s="14" t="s">
        <v>27</v>
      </c>
      <c r="E3560" s="1">
        <v>1037.1199999999999</v>
      </c>
      <c r="F3560" s="2"/>
      <c r="G3560" s="1"/>
      <c r="H3560" s="3"/>
      <c r="I3560" s="14" t="s">
        <v>2177</v>
      </c>
    </row>
    <row r="3561" spans="1:9" ht="18.75" customHeight="1" x14ac:dyDescent="0.4">
      <c r="A3561" s="14" t="s">
        <v>5712</v>
      </c>
      <c r="B3561" s="16" t="str">
        <f>TRIM("  ゆりかご第2保育園")</f>
        <v>ゆりかご第2保育園</v>
      </c>
      <c r="C3561" s="14" t="s">
        <v>1517</v>
      </c>
      <c r="D3561" s="14" t="s">
        <v>27</v>
      </c>
      <c r="E3561" s="1"/>
      <c r="F3561" s="2"/>
      <c r="G3561" s="1">
        <v>518.66</v>
      </c>
      <c r="H3561" s="3"/>
      <c r="I3561" s="14" t="s">
        <v>5617</v>
      </c>
    </row>
    <row r="3562" spans="1:9" ht="18.75" customHeight="1" x14ac:dyDescent="0.4">
      <c r="A3562" s="14" t="s">
        <v>2840</v>
      </c>
      <c r="B3562" s="16" t="str">
        <f>TRIM("　新喜多東公園")</f>
        <v>新喜多東公園</v>
      </c>
      <c r="C3562" s="14" t="s">
        <v>1517</v>
      </c>
      <c r="D3562" s="14" t="s">
        <v>647</v>
      </c>
      <c r="E3562" s="1">
        <v>1109.02</v>
      </c>
      <c r="F3562" s="2"/>
      <c r="G3562" s="1"/>
      <c r="H3562" s="3"/>
      <c r="I3562" s="14" t="s">
        <v>2177</v>
      </c>
    </row>
    <row r="3563" spans="1:9" ht="18.75" customHeight="1" x14ac:dyDescent="0.4">
      <c r="A3563" s="14" t="s">
        <v>6131</v>
      </c>
      <c r="B3563" s="16" t="str">
        <f>TRIM("新喜多霊園")</f>
        <v>新喜多霊園</v>
      </c>
      <c r="C3563" s="14" t="s">
        <v>1517</v>
      </c>
      <c r="D3563" s="14" t="s">
        <v>647</v>
      </c>
      <c r="E3563" s="1">
        <v>423.14</v>
      </c>
      <c r="F3563" s="2"/>
      <c r="G3563" s="1"/>
      <c r="H3563" s="3"/>
      <c r="I3563" s="14" t="s">
        <v>5977</v>
      </c>
    </row>
    <row r="3564" spans="1:9" ht="18.75" customHeight="1" x14ac:dyDescent="0.4">
      <c r="A3564" s="14" t="s">
        <v>6120</v>
      </c>
      <c r="B3564" s="16" t="str">
        <f>TRIM("左専道霊園")</f>
        <v>左専道霊園</v>
      </c>
      <c r="C3564" s="14" t="s">
        <v>1517</v>
      </c>
      <c r="D3564" s="14" t="s">
        <v>638</v>
      </c>
      <c r="E3564" s="1">
        <v>425.85</v>
      </c>
      <c r="F3564" s="2"/>
      <c r="G3564" s="1"/>
      <c r="H3564" s="3"/>
      <c r="I3564" s="14" t="s">
        <v>5977</v>
      </c>
    </row>
    <row r="3565" spans="1:9" ht="18.75" customHeight="1" x14ac:dyDescent="0.4">
      <c r="A3565" s="14" t="s">
        <v>2221</v>
      </c>
      <c r="B3565" s="16" t="str">
        <f>TRIM("国道４７９号（城東）（管財課）")</f>
        <v>国道４７９号（城東）（管財課）</v>
      </c>
      <c r="C3565" s="14" t="s">
        <v>1517</v>
      </c>
      <c r="D3565" s="14" t="s">
        <v>915</v>
      </c>
      <c r="E3565" s="1">
        <v>9330.16</v>
      </c>
      <c r="F3565" s="2"/>
      <c r="G3565" s="1"/>
      <c r="H3565" s="3"/>
      <c r="I3565" s="14" t="s">
        <v>2177</v>
      </c>
    </row>
    <row r="3566" spans="1:9" ht="18.75" customHeight="1" x14ac:dyDescent="0.4">
      <c r="A3566" s="14" t="s">
        <v>6736</v>
      </c>
      <c r="B3566" s="16" t="str">
        <f>TRIM("諏訪住宅")</f>
        <v>諏訪住宅</v>
      </c>
      <c r="C3566" s="14" t="s">
        <v>1517</v>
      </c>
      <c r="D3566" s="14" t="s">
        <v>915</v>
      </c>
      <c r="E3566" s="1"/>
      <c r="F3566" s="2"/>
      <c r="G3566" s="1">
        <v>5938.39</v>
      </c>
      <c r="H3566" s="3"/>
      <c r="I3566" s="14" t="s">
        <v>6177</v>
      </c>
    </row>
    <row r="3567" spans="1:9" ht="18.75" customHeight="1" x14ac:dyDescent="0.4">
      <c r="A3567" s="14" t="s">
        <v>4698</v>
      </c>
      <c r="B3567" s="16" t="str">
        <f>TRIM("もと諏訪小学校分校")</f>
        <v>もと諏訪小学校分校</v>
      </c>
      <c r="C3567" s="14" t="s">
        <v>1517</v>
      </c>
      <c r="D3567" s="14" t="s">
        <v>543</v>
      </c>
      <c r="E3567" s="1">
        <v>8161.85</v>
      </c>
      <c r="F3567" s="2"/>
      <c r="G3567" s="1">
        <v>784.38</v>
      </c>
      <c r="H3567" s="3" t="s">
        <v>7353</v>
      </c>
      <c r="I3567" s="14" t="s">
        <v>4689</v>
      </c>
    </row>
    <row r="3568" spans="1:9" ht="18.75" customHeight="1" x14ac:dyDescent="0.4">
      <c r="A3568" s="14" t="s">
        <v>5739</v>
      </c>
      <c r="B3568" s="16" t="str">
        <f>TRIM("城東ちどり保育園")</f>
        <v>城東ちどり保育園</v>
      </c>
      <c r="C3568" s="14" t="s">
        <v>1517</v>
      </c>
      <c r="D3568" s="14" t="s">
        <v>543</v>
      </c>
      <c r="E3568" s="1">
        <v>1014.87</v>
      </c>
      <c r="F3568" s="2"/>
      <c r="G3568" s="1"/>
      <c r="H3568" s="3"/>
      <c r="I3568" s="14" t="s">
        <v>5617</v>
      </c>
    </row>
    <row r="3569" spans="1:9" ht="18.75" customHeight="1" x14ac:dyDescent="0.4">
      <c r="A3569" s="14" t="s">
        <v>1882</v>
      </c>
      <c r="B3569" s="16" t="str">
        <f>TRIM("城東地域在宅サービスステーション")</f>
        <v>城東地域在宅サービスステーション</v>
      </c>
      <c r="C3569" s="14" t="s">
        <v>1517</v>
      </c>
      <c r="D3569" s="14" t="s">
        <v>385</v>
      </c>
      <c r="E3569" s="1">
        <v>428.56</v>
      </c>
      <c r="F3569" s="2"/>
      <c r="G3569" s="1"/>
      <c r="H3569" s="3"/>
      <c r="I3569" s="14" t="s">
        <v>1654</v>
      </c>
    </row>
    <row r="3570" spans="1:9" ht="18.75" customHeight="1" x14ac:dyDescent="0.4">
      <c r="A3570" s="14" t="s">
        <v>2214</v>
      </c>
      <c r="B3570" s="16" t="str">
        <f>TRIM("国道３０８号（城東）（管財課）")</f>
        <v>国道３０８号（城東）（管財課）</v>
      </c>
      <c r="C3570" s="14" t="s">
        <v>1517</v>
      </c>
      <c r="D3570" s="14" t="s">
        <v>385</v>
      </c>
      <c r="E3570" s="1">
        <v>5817.63</v>
      </c>
      <c r="F3570" s="2"/>
      <c r="G3570" s="1"/>
      <c r="H3570" s="3"/>
      <c r="I3570" s="14" t="s">
        <v>2177</v>
      </c>
    </row>
    <row r="3571" spans="1:9" ht="18.75" customHeight="1" x14ac:dyDescent="0.4">
      <c r="A3571" s="14" t="s">
        <v>2057</v>
      </c>
      <c r="B3571" s="16" t="str">
        <f>TRIM("成育憩の家")</f>
        <v>成育憩の家</v>
      </c>
      <c r="C3571" s="14" t="s">
        <v>1517</v>
      </c>
      <c r="D3571" s="14" t="s">
        <v>544</v>
      </c>
      <c r="E3571" s="1">
        <v>408.83</v>
      </c>
      <c r="F3571" s="2"/>
      <c r="G3571" s="1">
        <v>115.9</v>
      </c>
      <c r="H3571" s="3"/>
      <c r="I3571" s="14" t="s">
        <v>1594</v>
      </c>
    </row>
    <row r="3572" spans="1:9" ht="18.75" customHeight="1" x14ac:dyDescent="0.4">
      <c r="A3572" s="14" t="s">
        <v>4896</v>
      </c>
      <c r="B3572" s="16" t="str">
        <f>TRIM("成育小学校")</f>
        <v>成育小学校</v>
      </c>
      <c r="C3572" s="14" t="s">
        <v>1517</v>
      </c>
      <c r="D3572" s="14" t="s">
        <v>544</v>
      </c>
      <c r="E3572" s="1">
        <v>9760.0499999999993</v>
      </c>
      <c r="F3572" s="2"/>
      <c r="G3572" s="1">
        <v>7525.31</v>
      </c>
      <c r="H3572" s="3"/>
      <c r="I3572" s="14" t="s">
        <v>4689</v>
      </c>
    </row>
    <row r="3573" spans="1:9" ht="18.75" customHeight="1" x14ac:dyDescent="0.4">
      <c r="A3573" s="14" t="s">
        <v>2887</v>
      </c>
      <c r="B3573" s="16" t="str">
        <f>TRIM("　成育西公園")</f>
        <v>成育西公園</v>
      </c>
      <c r="C3573" s="14" t="s">
        <v>1517</v>
      </c>
      <c r="D3573" s="14" t="s">
        <v>544</v>
      </c>
      <c r="E3573" s="1">
        <v>1094.21</v>
      </c>
      <c r="F3573" s="2"/>
      <c r="G3573" s="1"/>
      <c r="H3573" s="3"/>
      <c r="I3573" s="14" t="s">
        <v>2177</v>
      </c>
    </row>
    <row r="3574" spans="1:9" ht="18.75" customHeight="1" x14ac:dyDescent="0.4">
      <c r="A3574" s="14" t="s">
        <v>4574</v>
      </c>
      <c r="B3574" s="16" t="str">
        <f>TRIM("成育コミュニティホール")</f>
        <v>成育コミュニティホール</v>
      </c>
      <c r="C3574" s="14" t="s">
        <v>1517</v>
      </c>
      <c r="D3574" s="14" t="s">
        <v>544</v>
      </c>
      <c r="E3574" s="1"/>
      <c r="F3574" s="2"/>
      <c r="G3574" s="1">
        <v>115.9</v>
      </c>
      <c r="H3574" s="3"/>
      <c r="I3574" s="14" t="s">
        <v>1594</v>
      </c>
    </row>
    <row r="3575" spans="1:9" ht="18.75" customHeight="1" x14ac:dyDescent="0.4">
      <c r="A3575" s="14" t="s">
        <v>5741</v>
      </c>
      <c r="B3575" s="16" t="str">
        <f>TRIM("成育保育園")</f>
        <v>成育保育園</v>
      </c>
      <c r="C3575" s="14" t="s">
        <v>1517</v>
      </c>
      <c r="D3575" s="14" t="s">
        <v>544</v>
      </c>
      <c r="E3575" s="1">
        <v>352.27</v>
      </c>
      <c r="F3575" s="2"/>
      <c r="G3575" s="1"/>
      <c r="H3575" s="3"/>
      <c r="I3575" s="14" t="s">
        <v>5617</v>
      </c>
    </row>
    <row r="3576" spans="1:9" ht="18.75" customHeight="1" x14ac:dyDescent="0.4">
      <c r="A3576" s="14" t="s">
        <v>6062</v>
      </c>
      <c r="B3576" s="16" t="str">
        <f>TRIM("関目詰所")</f>
        <v>関目詰所</v>
      </c>
      <c r="C3576" s="14" t="s">
        <v>1517</v>
      </c>
      <c r="D3576" s="14" t="s">
        <v>544</v>
      </c>
      <c r="E3576" s="1">
        <v>462.04</v>
      </c>
      <c r="F3576" s="2"/>
      <c r="G3576" s="1"/>
      <c r="H3576" s="3"/>
      <c r="I3576" s="14" t="s">
        <v>5977</v>
      </c>
    </row>
    <row r="3577" spans="1:9" ht="18.75" customHeight="1" x14ac:dyDescent="0.4">
      <c r="A3577" s="14" t="s">
        <v>2886</v>
      </c>
      <c r="B3577" s="16" t="str">
        <f>TRIM("　成育公園")</f>
        <v>成育公園</v>
      </c>
      <c r="C3577" s="14" t="s">
        <v>1517</v>
      </c>
      <c r="D3577" s="14" t="s">
        <v>1103</v>
      </c>
      <c r="E3577" s="1">
        <v>4119</v>
      </c>
      <c r="F3577" s="2"/>
      <c r="G3577" s="1"/>
      <c r="H3577" s="3"/>
      <c r="I3577" s="14" t="s">
        <v>2177</v>
      </c>
    </row>
    <row r="3578" spans="1:9" ht="18.75" customHeight="1" x14ac:dyDescent="0.4">
      <c r="A3578" s="14" t="s">
        <v>3591</v>
      </c>
      <c r="B3578" s="16" t="str">
        <f>TRIM("　成育公園")</f>
        <v>成育公園</v>
      </c>
      <c r="C3578" s="14" t="s">
        <v>1517</v>
      </c>
      <c r="D3578" s="14" t="s">
        <v>1103</v>
      </c>
      <c r="E3578" s="1"/>
      <c r="F3578" s="2"/>
      <c r="G3578" s="1">
        <v>6.17</v>
      </c>
      <c r="H3578" s="3"/>
      <c r="I3578" s="14" t="s">
        <v>2177</v>
      </c>
    </row>
    <row r="3579" spans="1:9" ht="18.75" customHeight="1" x14ac:dyDescent="0.4">
      <c r="A3579" s="14" t="s">
        <v>5249</v>
      </c>
      <c r="B3579" s="16" t="str">
        <f>TRIM("城東消防署関目出張所")</f>
        <v>城東消防署関目出張所</v>
      </c>
      <c r="C3579" s="14" t="s">
        <v>1517</v>
      </c>
      <c r="D3579" s="14" t="s">
        <v>1362</v>
      </c>
      <c r="E3579" s="1">
        <v>300.82</v>
      </c>
      <c r="F3579" s="2"/>
      <c r="G3579" s="1">
        <v>199.24</v>
      </c>
      <c r="H3579" s="3"/>
      <c r="I3579" s="14" t="s">
        <v>5219</v>
      </c>
    </row>
    <row r="3580" spans="1:9" ht="18.75" customHeight="1" x14ac:dyDescent="0.4">
      <c r="A3580" s="18"/>
      <c r="B3580" s="14" t="s">
        <v>7174</v>
      </c>
      <c r="C3580" s="14" t="s">
        <v>1517</v>
      </c>
      <c r="D3580" s="1" t="s">
        <v>1362</v>
      </c>
      <c r="E3580" s="2"/>
      <c r="F3580" s="11"/>
      <c r="G3580" s="1">
        <v>41.43</v>
      </c>
      <c r="H3580" s="1"/>
      <c r="I3580" s="1" t="s">
        <v>2177</v>
      </c>
    </row>
    <row r="3581" spans="1:9" ht="18.75" customHeight="1" x14ac:dyDescent="0.4">
      <c r="A3581" s="14" t="s">
        <v>1864</v>
      </c>
      <c r="B3581" s="16" t="str">
        <f>TRIM("蒲生地域在宅サービスステーション")</f>
        <v>蒲生地域在宅サービスステーション</v>
      </c>
      <c r="C3581" s="14" t="s">
        <v>1517</v>
      </c>
      <c r="D3581" s="14" t="s">
        <v>373</v>
      </c>
      <c r="E3581" s="1">
        <v>429.42</v>
      </c>
      <c r="F3581" s="2"/>
      <c r="G3581" s="1"/>
      <c r="H3581" s="3"/>
      <c r="I3581" s="14" t="s">
        <v>1654</v>
      </c>
    </row>
    <row r="3582" spans="1:9" ht="18.75" customHeight="1" x14ac:dyDescent="0.4">
      <c r="A3582" s="14" t="s">
        <v>5848</v>
      </c>
      <c r="B3582" s="16" t="str">
        <f>TRIM("関目保育所")</f>
        <v>関目保育所</v>
      </c>
      <c r="C3582" s="14" t="s">
        <v>1517</v>
      </c>
      <c r="D3582" s="14" t="s">
        <v>565</v>
      </c>
      <c r="E3582" s="1">
        <v>2644.19</v>
      </c>
      <c r="F3582" s="2"/>
      <c r="G3582" s="1">
        <v>430.43</v>
      </c>
      <c r="H3582" s="3"/>
      <c r="I3582" s="14" t="s">
        <v>5617</v>
      </c>
    </row>
    <row r="3583" spans="1:9" ht="18.75" customHeight="1" x14ac:dyDescent="0.4">
      <c r="A3583" s="14" t="s">
        <v>2914</v>
      </c>
      <c r="B3583" s="16" t="str">
        <f>TRIM("　西関目公園")</f>
        <v>西関目公園</v>
      </c>
      <c r="C3583" s="14" t="s">
        <v>1517</v>
      </c>
      <c r="D3583" s="14" t="s">
        <v>565</v>
      </c>
      <c r="E3583" s="1">
        <v>5213.22</v>
      </c>
      <c r="F3583" s="2"/>
      <c r="G3583" s="1"/>
      <c r="H3583" s="3"/>
      <c r="I3583" s="14" t="s">
        <v>2177</v>
      </c>
    </row>
    <row r="3584" spans="1:9" ht="18.75" customHeight="1" x14ac:dyDescent="0.4">
      <c r="A3584" s="14" t="s">
        <v>3594</v>
      </c>
      <c r="B3584" s="16" t="str">
        <f>TRIM("　西関目公園")</f>
        <v>西関目公園</v>
      </c>
      <c r="C3584" s="14" t="s">
        <v>1517</v>
      </c>
      <c r="D3584" s="14" t="s">
        <v>565</v>
      </c>
      <c r="E3584" s="1"/>
      <c r="F3584" s="2"/>
      <c r="G3584" s="1">
        <v>19.2</v>
      </c>
      <c r="H3584" s="3"/>
      <c r="I3584" s="14" t="s">
        <v>2177</v>
      </c>
    </row>
    <row r="3585" spans="1:9" ht="18.75" customHeight="1" x14ac:dyDescent="0.4">
      <c r="A3585" s="14" t="s">
        <v>6350</v>
      </c>
      <c r="B3585" s="16" t="str">
        <f>TRIM("古市中第3住宅")</f>
        <v>古市中第3住宅</v>
      </c>
      <c r="C3585" s="14" t="s">
        <v>1517</v>
      </c>
      <c r="D3585" s="14" t="s">
        <v>565</v>
      </c>
      <c r="E3585" s="1"/>
      <c r="F3585" s="2"/>
      <c r="G3585" s="1">
        <v>6422.17</v>
      </c>
      <c r="H3585" s="3"/>
      <c r="I3585" s="14" t="s">
        <v>6177</v>
      </c>
    </row>
    <row r="3586" spans="1:9" ht="18.75" customHeight="1" x14ac:dyDescent="0.4">
      <c r="A3586" s="14" t="s">
        <v>2004</v>
      </c>
      <c r="B3586" s="16" t="str">
        <f>TRIM("関目東老人憩の家")</f>
        <v>関目東老人憩の家</v>
      </c>
      <c r="C3586" s="14" t="s">
        <v>1517</v>
      </c>
      <c r="D3586" s="14" t="s">
        <v>75</v>
      </c>
      <c r="E3586" s="1">
        <v>371.39</v>
      </c>
      <c r="F3586" s="2"/>
      <c r="G3586" s="1">
        <v>99.96</v>
      </c>
      <c r="H3586" s="3"/>
      <c r="I3586" s="14" t="s">
        <v>1594</v>
      </c>
    </row>
    <row r="3587" spans="1:9" ht="18.75" customHeight="1" x14ac:dyDescent="0.4">
      <c r="A3587" s="14" t="s">
        <v>6348</v>
      </c>
      <c r="B3587" s="16" t="str">
        <f>TRIM("古市住宅")</f>
        <v>古市住宅</v>
      </c>
      <c r="C3587" s="14" t="s">
        <v>1517</v>
      </c>
      <c r="D3587" s="14" t="s">
        <v>75</v>
      </c>
      <c r="E3587" s="1">
        <v>12232.18</v>
      </c>
      <c r="F3587" s="2"/>
      <c r="G3587" s="1">
        <v>12791.96</v>
      </c>
      <c r="H3587" s="3"/>
      <c r="I3587" s="14" t="s">
        <v>6177</v>
      </c>
    </row>
    <row r="3588" spans="1:9" ht="18.75" customHeight="1" x14ac:dyDescent="0.4">
      <c r="A3588" s="14" t="s">
        <v>6349</v>
      </c>
      <c r="B3588" s="16" t="str">
        <f>TRIM("古市第2住宅")</f>
        <v>古市第2住宅</v>
      </c>
      <c r="C3588" s="14" t="s">
        <v>1517</v>
      </c>
      <c r="D3588" s="14" t="s">
        <v>75</v>
      </c>
      <c r="E3588" s="1">
        <v>2395.1999999999998</v>
      </c>
      <c r="F3588" s="2"/>
      <c r="G3588" s="1">
        <v>3773.44</v>
      </c>
      <c r="H3588" s="3"/>
      <c r="I3588" s="14" t="s">
        <v>6177</v>
      </c>
    </row>
    <row r="3589" spans="1:9" ht="18.75" customHeight="1" x14ac:dyDescent="0.4">
      <c r="A3589" s="14" t="s">
        <v>7106</v>
      </c>
      <c r="B3589" s="16" t="str">
        <f>TRIM("城東屋内プール")</f>
        <v>城東屋内プール</v>
      </c>
      <c r="C3589" s="14" t="s">
        <v>1517</v>
      </c>
      <c r="D3589" s="14" t="s">
        <v>75</v>
      </c>
      <c r="E3589" s="1">
        <v>2168.09</v>
      </c>
      <c r="F3589" s="2"/>
      <c r="G3589" s="1">
        <v>3297.04</v>
      </c>
      <c r="H3589" s="3"/>
      <c r="I3589" s="14" t="s">
        <v>4115</v>
      </c>
    </row>
    <row r="3590" spans="1:9" ht="18.75" customHeight="1" x14ac:dyDescent="0.4">
      <c r="A3590" s="14" t="s">
        <v>2447</v>
      </c>
      <c r="B3590" s="16" t="str">
        <f>TRIM("都島茨田線")</f>
        <v>都島茨田線</v>
      </c>
      <c r="C3590" s="14" t="s">
        <v>1517</v>
      </c>
      <c r="D3590" s="14" t="s">
        <v>75</v>
      </c>
      <c r="E3590" s="1">
        <v>1834.13</v>
      </c>
      <c r="F3590" s="2"/>
      <c r="G3590" s="1"/>
      <c r="H3590" s="3"/>
      <c r="I3590" s="14" t="s">
        <v>2177</v>
      </c>
    </row>
    <row r="3591" spans="1:9" ht="18.75" customHeight="1" x14ac:dyDescent="0.4">
      <c r="A3591" s="14" t="s">
        <v>3181</v>
      </c>
      <c r="B3591" s="16" t="str">
        <f>TRIM("　南関目公園")</f>
        <v>南関目公園</v>
      </c>
      <c r="C3591" s="14" t="s">
        <v>1517</v>
      </c>
      <c r="D3591" s="14" t="s">
        <v>75</v>
      </c>
      <c r="E3591" s="1">
        <v>5676.03</v>
      </c>
      <c r="F3591" s="2"/>
      <c r="G3591" s="1"/>
      <c r="H3591" s="3"/>
      <c r="I3591" s="14" t="s">
        <v>2177</v>
      </c>
    </row>
    <row r="3592" spans="1:9" ht="18.75" customHeight="1" x14ac:dyDescent="0.4">
      <c r="A3592" s="14" t="s">
        <v>4568</v>
      </c>
      <c r="B3592" s="16" t="str">
        <f>TRIM("関目東集会所")</f>
        <v>関目東集会所</v>
      </c>
      <c r="C3592" s="14" t="s">
        <v>1517</v>
      </c>
      <c r="D3592" s="14" t="s">
        <v>75</v>
      </c>
      <c r="E3592" s="1"/>
      <c r="F3592" s="2"/>
      <c r="G3592" s="1">
        <v>113.04</v>
      </c>
      <c r="H3592" s="3"/>
      <c r="I3592" s="14" t="s">
        <v>1594</v>
      </c>
    </row>
    <row r="3593" spans="1:9" ht="18.75" customHeight="1" x14ac:dyDescent="0.4">
      <c r="A3593" s="14" t="s">
        <v>6020</v>
      </c>
      <c r="B3593" s="16" t="str">
        <f>TRIM("ごみ収集車中継基地")</f>
        <v>ごみ収集車中継基地</v>
      </c>
      <c r="C3593" s="14" t="s">
        <v>1517</v>
      </c>
      <c r="D3593" s="14" t="s">
        <v>75</v>
      </c>
      <c r="E3593" s="1">
        <v>300</v>
      </c>
      <c r="F3593" s="2"/>
      <c r="G3593" s="1"/>
      <c r="H3593" s="3"/>
      <c r="I3593" s="14" t="s">
        <v>5977</v>
      </c>
    </row>
    <row r="3594" spans="1:9" ht="18.75" customHeight="1" x14ac:dyDescent="0.4">
      <c r="A3594" s="14" t="s">
        <v>1823</v>
      </c>
      <c r="B3594" s="16" t="str">
        <f>TRIM("島岡会館")</f>
        <v>島岡会館</v>
      </c>
      <c r="C3594" s="14" t="s">
        <v>1517</v>
      </c>
      <c r="D3594" s="14" t="s">
        <v>456</v>
      </c>
      <c r="E3594" s="1">
        <v>247.02</v>
      </c>
      <c r="F3594" s="2"/>
      <c r="G3594" s="1">
        <v>318.88</v>
      </c>
      <c r="H3594" s="3"/>
      <c r="I3594" s="14" t="s">
        <v>1654</v>
      </c>
    </row>
    <row r="3595" spans="1:9" ht="18.75" customHeight="1" x14ac:dyDescent="0.4">
      <c r="A3595" s="14" t="s">
        <v>4567</v>
      </c>
      <c r="B3595" s="16" t="str">
        <f>TRIM("関目地域第2集会所")</f>
        <v>関目地域第2集会所</v>
      </c>
      <c r="C3595" s="14" t="s">
        <v>1517</v>
      </c>
      <c r="D3595" s="14" t="s">
        <v>456</v>
      </c>
      <c r="E3595" s="1"/>
      <c r="F3595" s="2"/>
      <c r="G3595" s="1">
        <v>150</v>
      </c>
      <c r="H3595" s="3"/>
      <c r="I3595" s="14" t="s">
        <v>1594</v>
      </c>
    </row>
    <row r="3596" spans="1:9" ht="18.75" customHeight="1" x14ac:dyDescent="0.4">
      <c r="A3596" s="14" t="s">
        <v>4765</v>
      </c>
      <c r="B3596" s="16" t="str">
        <f>TRIM("関目東小学校")</f>
        <v>関目東小学校</v>
      </c>
      <c r="C3596" s="14" t="s">
        <v>1517</v>
      </c>
      <c r="D3596" s="14" t="s">
        <v>1021</v>
      </c>
      <c r="E3596" s="1">
        <v>9621.69</v>
      </c>
      <c r="F3596" s="2"/>
      <c r="G3596" s="1">
        <v>6437.82</v>
      </c>
      <c r="H3596" s="3"/>
      <c r="I3596" s="14" t="s">
        <v>4689</v>
      </c>
    </row>
    <row r="3597" spans="1:9" ht="18.75" customHeight="1" x14ac:dyDescent="0.4">
      <c r="A3597" s="14" t="s">
        <v>2481</v>
      </c>
      <c r="B3597" s="16" t="str">
        <f>TRIM("共同物揚場（城東）")</f>
        <v>共同物揚場（城東）</v>
      </c>
      <c r="C3597" s="14" t="s">
        <v>1517</v>
      </c>
      <c r="D3597" s="14" t="s">
        <v>1021</v>
      </c>
      <c r="E3597" s="1">
        <v>1105.8900000000001</v>
      </c>
      <c r="F3597" s="2"/>
      <c r="G3597" s="1"/>
      <c r="H3597" s="3"/>
      <c r="I3597" s="14" t="s">
        <v>2177</v>
      </c>
    </row>
    <row r="3598" spans="1:9" ht="18.75" customHeight="1" x14ac:dyDescent="0.4">
      <c r="A3598" s="14" t="s">
        <v>2635</v>
      </c>
      <c r="B3598" s="16" t="str">
        <f>TRIM("　関目中央公園")</f>
        <v>関目中央公園</v>
      </c>
      <c r="C3598" s="14" t="s">
        <v>1517</v>
      </c>
      <c r="D3598" s="14" t="s">
        <v>1021</v>
      </c>
      <c r="E3598" s="1">
        <v>2813.22</v>
      </c>
      <c r="F3598" s="2"/>
      <c r="G3598" s="1"/>
      <c r="H3598" s="3"/>
      <c r="I3598" s="14" t="s">
        <v>2177</v>
      </c>
    </row>
    <row r="3599" spans="1:9" ht="18.75" customHeight="1" x14ac:dyDescent="0.4">
      <c r="A3599" s="14" t="s">
        <v>2634</v>
      </c>
      <c r="B3599" s="16" t="str">
        <f>TRIM("　関目駅前小公園")</f>
        <v>関目駅前小公園</v>
      </c>
      <c r="C3599" s="14" t="s">
        <v>1517</v>
      </c>
      <c r="D3599" s="14" t="s">
        <v>631</v>
      </c>
      <c r="E3599" s="1">
        <v>641.32000000000005</v>
      </c>
      <c r="F3599" s="2"/>
      <c r="G3599" s="1"/>
      <c r="H3599" s="3"/>
      <c r="I3599" s="14" t="s">
        <v>2177</v>
      </c>
    </row>
    <row r="3600" spans="1:9" ht="18.75" customHeight="1" x14ac:dyDescent="0.4">
      <c r="A3600" s="14" t="s">
        <v>3791</v>
      </c>
      <c r="B3600" s="16" t="str">
        <f>TRIM("関目駅・関目成育駅自転車駐車場管理事務所")</f>
        <v>関目駅・関目成育駅自転車駐車場管理事務所</v>
      </c>
      <c r="C3600" s="14" t="s">
        <v>1517</v>
      </c>
      <c r="D3600" s="14" t="s">
        <v>631</v>
      </c>
      <c r="E3600" s="1"/>
      <c r="F3600" s="2"/>
      <c r="G3600" s="1">
        <v>3.89</v>
      </c>
      <c r="H3600" s="3"/>
      <c r="I3600" s="14" t="s">
        <v>2177</v>
      </c>
    </row>
    <row r="3601" spans="1:9" ht="18.75" customHeight="1" x14ac:dyDescent="0.4">
      <c r="A3601" s="14" t="s">
        <v>3958</v>
      </c>
      <c r="B3601" s="16" t="str">
        <f>TRIM("関目駅・関目成育駅自転車駐車場管理員詰所")</f>
        <v>関目駅・関目成育駅自転車駐車場管理員詰所</v>
      </c>
      <c r="C3601" s="14" t="s">
        <v>1517</v>
      </c>
      <c r="D3601" s="14" t="s">
        <v>631</v>
      </c>
      <c r="E3601" s="1"/>
      <c r="F3601" s="2"/>
      <c r="G3601" s="1">
        <v>2.4300000000000002</v>
      </c>
      <c r="H3601" s="3"/>
      <c r="I3601" s="14" t="s">
        <v>2177</v>
      </c>
    </row>
    <row r="3602" spans="1:9" ht="18.75" customHeight="1" x14ac:dyDescent="0.4">
      <c r="A3602" s="14" t="s">
        <v>6110</v>
      </c>
      <c r="B3602" s="16" t="str">
        <f>TRIM("関目霊園")</f>
        <v>関目霊園</v>
      </c>
      <c r="C3602" s="14" t="s">
        <v>1517</v>
      </c>
      <c r="D3602" s="14" t="s">
        <v>631</v>
      </c>
      <c r="E3602" s="1">
        <v>376.85</v>
      </c>
      <c r="F3602" s="2"/>
      <c r="G3602" s="1"/>
      <c r="H3602" s="3"/>
      <c r="I3602" s="14" t="s">
        <v>5977</v>
      </c>
    </row>
    <row r="3603" spans="1:9" ht="18.75" customHeight="1" x14ac:dyDescent="0.4">
      <c r="A3603" s="14" t="s">
        <v>2005</v>
      </c>
      <c r="B3603" s="16" t="str">
        <f>TRIM("関目憩の家")</f>
        <v>関目憩の家</v>
      </c>
      <c r="C3603" s="14" t="s">
        <v>1517</v>
      </c>
      <c r="D3603" s="14" t="s">
        <v>156</v>
      </c>
      <c r="E3603" s="1">
        <v>1170.5</v>
      </c>
      <c r="F3603" s="2"/>
      <c r="G3603" s="1">
        <v>100.37</v>
      </c>
      <c r="H3603" s="3"/>
      <c r="I3603" s="14" t="s">
        <v>1594</v>
      </c>
    </row>
    <row r="3604" spans="1:9" ht="18.75" customHeight="1" x14ac:dyDescent="0.4">
      <c r="A3604" s="14" t="s">
        <v>4764</v>
      </c>
      <c r="B3604" s="16" t="str">
        <f>TRIM("関目小学校")</f>
        <v>関目小学校</v>
      </c>
      <c r="C3604" s="14" t="s">
        <v>1517</v>
      </c>
      <c r="D3604" s="14" t="s">
        <v>156</v>
      </c>
      <c r="E3604" s="1">
        <v>9500.85</v>
      </c>
      <c r="F3604" s="2"/>
      <c r="G3604" s="1">
        <v>6067.35</v>
      </c>
      <c r="H3604" s="3"/>
      <c r="I3604" s="14" t="s">
        <v>4689</v>
      </c>
    </row>
    <row r="3605" spans="1:9" ht="18.75" customHeight="1" x14ac:dyDescent="0.4">
      <c r="A3605" s="14" t="s">
        <v>6340</v>
      </c>
      <c r="B3605" s="16" t="str">
        <f>TRIM("関目住宅")</f>
        <v>関目住宅</v>
      </c>
      <c r="C3605" s="14" t="s">
        <v>1517</v>
      </c>
      <c r="D3605" s="14" t="s">
        <v>156</v>
      </c>
      <c r="E3605" s="1">
        <v>4507.45</v>
      </c>
      <c r="F3605" s="2"/>
      <c r="G3605" s="1">
        <v>4175.62</v>
      </c>
      <c r="H3605" s="3"/>
      <c r="I3605" s="14" t="s">
        <v>6177</v>
      </c>
    </row>
    <row r="3606" spans="1:9" ht="18.75" customHeight="1" x14ac:dyDescent="0.4">
      <c r="A3606" s="14" t="s">
        <v>3294</v>
      </c>
      <c r="B3606" s="16" t="str">
        <f>TRIM("　北関目公園")</f>
        <v>北関目公園</v>
      </c>
      <c r="C3606" s="14" t="s">
        <v>1517</v>
      </c>
      <c r="D3606" s="14" t="s">
        <v>156</v>
      </c>
      <c r="E3606" s="1">
        <v>5676.03</v>
      </c>
      <c r="F3606" s="2"/>
      <c r="G3606" s="1"/>
      <c r="H3606" s="3"/>
      <c r="I3606" s="14" t="s">
        <v>2177</v>
      </c>
    </row>
    <row r="3607" spans="1:9" ht="18.75" customHeight="1" x14ac:dyDescent="0.4">
      <c r="A3607" s="14" t="s">
        <v>4569</v>
      </c>
      <c r="B3607" s="16" t="str">
        <f>TRIM("関目福祉会館")</f>
        <v>関目福祉会館</v>
      </c>
      <c r="C3607" s="14" t="s">
        <v>1517</v>
      </c>
      <c r="D3607" s="14" t="s">
        <v>156</v>
      </c>
      <c r="E3607" s="1"/>
      <c r="F3607" s="2"/>
      <c r="G3607" s="1">
        <v>106.2</v>
      </c>
      <c r="H3607" s="3"/>
      <c r="I3607" s="14" t="s">
        <v>1594</v>
      </c>
    </row>
    <row r="3608" spans="1:9" ht="18.75" customHeight="1" x14ac:dyDescent="0.4">
      <c r="A3608" s="14" t="s">
        <v>5396</v>
      </c>
      <c r="B3608" s="16" t="str">
        <f>TRIM("もと城東署関目寮")</f>
        <v>もと城東署関目寮</v>
      </c>
      <c r="C3608" s="14" t="s">
        <v>1517</v>
      </c>
      <c r="D3608" s="14" t="s">
        <v>156</v>
      </c>
      <c r="E3608" s="1">
        <v>7.65</v>
      </c>
      <c r="F3608" s="2"/>
      <c r="G3608" s="1"/>
      <c r="H3608" s="3"/>
      <c r="I3608" s="14" t="s">
        <v>5349</v>
      </c>
    </row>
    <row r="3609" spans="1:9" ht="18.75" customHeight="1" x14ac:dyDescent="0.4">
      <c r="A3609" s="14" t="s">
        <v>4572</v>
      </c>
      <c r="B3609" s="16" t="str">
        <f>TRIM("もと城東区民ホール")</f>
        <v>もと城東区民ホール</v>
      </c>
      <c r="C3609" s="14" t="s">
        <v>1517</v>
      </c>
      <c r="D3609" s="14" t="s">
        <v>225</v>
      </c>
      <c r="E3609" s="1">
        <v>1360</v>
      </c>
      <c r="F3609" s="2"/>
      <c r="G3609" s="1">
        <v>1084.8399999999999</v>
      </c>
      <c r="H3609" s="3" t="s">
        <v>7353</v>
      </c>
      <c r="I3609" s="14" t="s">
        <v>1594</v>
      </c>
    </row>
    <row r="3610" spans="1:9" ht="18.75" customHeight="1" x14ac:dyDescent="0.4">
      <c r="A3610" s="14" t="s">
        <v>2627</v>
      </c>
      <c r="B3610" s="16" t="str">
        <f>TRIM("　蒲生中公園")</f>
        <v>蒲生中公園</v>
      </c>
      <c r="C3610" s="14" t="s">
        <v>1517</v>
      </c>
      <c r="D3610" s="14" t="s">
        <v>225</v>
      </c>
      <c r="E3610" s="1">
        <v>994.72</v>
      </c>
      <c r="F3610" s="2"/>
      <c r="G3610" s="1"/>
      <c r="H3610" s="3"/>
      <c r="I3610" s="14" t="s">
        <v>2177</v>
      </c>
    </row>
    <row r="3611" spans="1:9" ht="18.75" customHeight="1" x14ac:dyDescent="0.4">
      <c r="A3611" s="14" t="s">
        <v>5490</v>
      </c>
      <c r="B3611" s="16" t="str">
        <f>TRIM("城東警察署")</f>
        <v>城東警察署</v>
      </c>
      <c r="C3611" s="14" t="s">
        <v>1517</v>
      </c>
      <c r="D3611" s="14" t="s">
        <v>225</v>
      </c>
      <c r="E3611" s="1">
        <v>2297.5</v>
      </c>
      <c r="F3611" s="2"/>
      <c r="G3611" s="1"/>
      <c r="H3611" s="3"/>
      <c r="I3611" s="14" t="s">
        <v>5349</v>
      </c>
    </row>
    <row r="3612" spans="1:9" ht="18.75" customHeight="1" x14ac:dyDescent="0.4">
      <c r="A3612" s="14" t="s">
        <v>1881</v>
      </c>
      <c r="B3612" s="16" t="str">
        <f>TRIM("城東区在宅サービスセンター")</f>
        <v>城東区在宅サービスセンター</v>
      </c>
      <c r="C3612" s="14" t="s">
        <v>1517</v>
      </c>
      <c r="D3612" s="14" t="s">
        <v>384</v>
      </c>
      <c r="E3612" s="1">
        <v>850</v>
      </c>
      <c r="F3612" s="2"/>
      <c r="G3612" s="1"/>
      <c r="H3612" s="3"/>
      <c r="I3612" s="14" t="s">
        <v>1654</v>
      </c>
    </row>
    <row r="3613" spans="1:9" ht="18.75" customHeight="1" x14ac:dyDescent="0.4">
      <c r="A3613" s="14" t="s">
        <v>2888</v>
      </c>
      <c r="B3613" s="16" t="str">
        <f>TRIM("　成育南公園")</f>
        <v>成育南公園</v>
      </c>
      <c r="C3613" s="14" t="s">
        <v>1517</v>
      </c>
      <c r="D3613" s="14" t="s">
        <v>384</v>
      </c>
      <c r="E3613" s="1">
        <v>922.31</v>
      </c>
      <c r="F3613" s="2"/>
      <c r="G3613" s="1"/>
      <c r="H3613" s="3"/>
      <c r="I3613" s="14" t="s">
        <v>2177</v>
      </c>
    </row>
    <row r="3614" spans="1:9" ht="18.75" customHeight="1" x14ac:dyDescent="0.4">
      <c r="A3614" s="14" t="s">
        <v>4760</v>
      </c>
      <c r="B3614" s="16" t="str">
        <f>TRIM("蒲生中学校")</f>
        <v>蒲生中学校</v>
      </c>
      <c r="C3614" s="14" t="s">
        <v>1517</v>
      </c>
      <c r="D3614" s="14" t="s">
        <v>444</v>
      </c>
      <c r="E3614" s="1">
        <v>10694.21</v>
      </c>
      <c r="F3614" s="2"/>
      <c r="G3614" s="1">
        <v>8013.98</v>
      </c>
      <c r="H3614" s="3"/>
      <c r="I3614" s="14" t="s">
        <v>4689</v>
      </c>
    </row>
    <row r="3615" spans="1:9" ht="18.75" customHeight="1" x14ac:dyDescent="0.4">
      <c r="A3615" s="14" t="s">
        <v>5248</v>
      </c>
      <c r="B3615" s="16" t="str">
        <f>TRIM("城東消防署")</f>
        <v>城東消防署</v>
      </c>
      <c r="C3615" s="14" t="s">
        <v>1517</v>
      </c>
      <c r="D3615" s="14" t="s">
        <v>444</v>
      </c>
      <c r="E3615" s="1">
        <v>1639.65</v>
      </c>
      <c r="F3615" s="2"/>
      <c r="G3615" s="1">
        <v>3226.66</v>
      </c>
      <c r="H3615" s="3"/>
      <c r="I3615" s="14" t="s">
        <v>5219</v>
      </c>
    </row>
    <row r="3616" spans="1:9" ht="18.75" customHeight="1" x14ac:dyDescent="0.4">
      <c r="A3616" s="14" t="s">
        <v>1593</v>
      </c>
      <c r="B3616" s="16" t="str">
        <f>TRIM("城東区役所")</f>
        <v>城東区役所</v>
      </c>
      <c r="C3616" s="14" t="s">
        <v>1517</v>
      </c>
      <c r="D3616" s="14" t="s">
        <v>444</v>
      </c>
      <c r="E3616" s="1">
        <v>3313.42</v>
      </c>
      <c r="F3616" s="2"/>
      <c r="G3616" s="1"/>
      <c r="H3616" s="3"/>
      <c r="I3616" s="14" t="s">
        <v>1594</v>
      </c>
    </row>
    <row r="3617" spans="1:9" ht="18.75" customHeight="1" x14ac:dyDescent="0.4">
      <c r="A3617" s="14" t="s">
        <v>1595</v>
      </c>
      <c r="B3617" s="16" t="str">
        <f>TRIM("城東区役所")</f>
        <v>城東区役所</v>
      </c>
      <c r="C3617" s="14" t="s">
        <v>1517</v>
      </c>
      <c r="D3617" s="14" t="s">
        <v>444</v>
      </c>
      <c r="E3617" s="1"/>
      <c r="F3617" s="2"/>
      <c r="G3617" s="1">
        <v>8511.09</v>
      </c>
      <c r="H3617" s="3"/>
      <c r="I3617" s="14" t="s">
        <v>1594</v>
      </c>
    </row>
    <row r="3618" spans="1:9" ht="18.75" customHeight="1" x14ac:dyDescent="0.4">
      <c r="A3618" s="14" t="s">
        <v>1596</v>
      </c>
      <c r="B3618" s="16" t="str">
        <f>TRIM("城東区民センター")</f>
        <v>城東区民センター</v>
      </c>
      <c r="C3618" s="14" t="s">
        <v>1517</v>
      </c>
      <c r="D3618" s="14" t="s">
        <v>444</v>
      </c>
      <c r="E3618" s="1"/>
      <c r="F3618" s="2"/>
      <c r="G3618" s="1">
        <v>4507.07</v>
      </c>
      <c r="H3618" s="3"/>
      <c r="I3618" s="14" t="s">
        <v>1594</v>
      </c>
    </row>
    <row r="3619" spans="1:9" ht="18.75" customHeight="1" x14ac:dyDescent="0.4">
      <c r="A3619" s="14" t="s">
        <v>1795</v>
      </c>
      <c r="B3619" s="16" t="str">
        <f>TRIM("城東区老人福祉センター")</f>
        <v>城東区老人福祉センター</v>
      </c>
      <c r="C3619" s="14" t="s">
        <v>1517</v>
      </c>
      <c r="D3619" s="14" t="s">
        <v>444</v>
      </c>
      <c r="E3619" s="1">
        <v>607.99</v>
      </c>
      <c r="F3619" s="2"/>
      <c r="G3619" s="1"/>
      <c r="H3619" s="3"/>
      <c r="I3619" s="14" t="s">
        <v>1654</v>
      </c>
    </row>
    <row r="3620" spans="1:9" ht="18.75" customHeight="1" x14ac:dyDescent="0.4">
      <c r="A3620" s="14" t="s">
        <v>1841</v>
      </c>
      <c r="B3620" s="16" t="str">
        <f>TRIM("城東区老人福祉センター")</f>
        <v>城東区老人福祉センター</v>
      </c>
      <c r="C3620" s="14" t="s">
        <v>1517</v>
      </c>
      <c r="D3620" s="14" t="s">
        <v>444</v>
      </c>
      <c r="E3620" s="1"/>
      <c r="F3620" s="2"/>
      <c r="G3620" s="1">
        <v>943.52</v>
      </c>
      <c r="H3620" s="3"/>
      <c r="I3620" s="14" t="s">
        <v>1654</v>
      </c>
    </row>
    <row r="3621" spans="1:9" ht="18.75" customHeight="1" x14ac:dyDescent="0.4">
      <c r="A3621" s="14" t="s">
        <v>1842</v>
      </c>
      <c r="B3621" s="16" t="str">
        <f>TRIM("城東区複合施設　貸付スペース（福祉局所管）")</f>
        <v>城東区複合施設　貸付スペース（福祉局所管）</v>
      </c>
      <c r="C3621" s="14" t="s">
        <v>1517</v>
      </c>
      <c r="D3621" s="14" t="s">
        <v>444</v>
      </c>
      <c r="E3621" s="1"/>
      <c r="F3621" s="2"/>
      <c r="G3621" s="1">
        <v>18.72</v>
      </c>
      <c r="H3621" s="3"/>
      <c r="I3621" s="14" t="s">
        <v>1654</v>
      </c>
    </row>
    <row r="3622" spans="1:9" ht="18.75" customHeight="1" x14ac:dyDescent="0.4">
      <c r="A3622" s="14" t="s">
        <v>2338</v>
      </c>
      <c r="B3622" s="16" t="str">
        <f>TRIM("廃道（城東）")</f>
        <v>廃道（城東）</v>
      </c>
      <c r="C3622" s="14" t="s">
        <v>1517</v>
      </c>
      <c r="D3622" s="14" t="s">
        <v>444</v>
      </c>
      <c r="E3622" s="1">
        <v>1075.79</v>
      </c>
      <c r="F3622" s="2"/>
      <c r="G3622" s="1"/>
      <c r="H3622" s="3"/>
      <c r="I3622" s="14" t="s">
        <v>2177</v>
      </c>
    </row>
    <row r="3623" spans="1:9" ht="18.75" customHeight="1" x14ac:dyDescent="0.4">
      <c r="A3623" s="14" t="s">
        <v>2626</v>
      </c>
      <c r="B3623" s="16" t="str">
        <f>TRIM("　蒲生公園")</f>
        <v>蒲生公園</v>
      </c>
      <c r="C3623" s="14" t="s">
        <v>1517</v>
      </c>
      <c r="D3623" s="14" t="s">
        <v>444</v>
      </c>
      <c r="E3623" s="1">
        <v>16514.5</v>
      </c>
      <c r="F3623" s="2"/>
      <c r="G3623" s="1"/>
      <c r="H3623" s="3"/>
      <c r="I3623" s="14" t="s">
        <v>2177</v>
      </c>
    </row>
    <row r="3624" spans="1:9" ht="18.75" customHeight="1" x14ac:dyDescent="0.4">
      <c r="A3624" s="14" t="s">
        <v>3543</v>
      </c>
      <c r="B3624" s="16" t="str">
        <f>TRIM("　蒲生公園")</f>
        <v>蒲生公園</v>
      </c>
      <c r="C3624" s="14" t="s">
        <v>1517</v>
      </c>
      <c r="D3624" s="14" t="s">
        <v>444</v>
      </c>
      <c r="E3624" s="1"/>
      <c r="F3624" s="2"/>
      <c r="G3624" s="1">
        <v>284.32</v>
      </c>
      <c r="H3624" s="3"/>
      <c r="I3624" s="14" t="s">
        <v>2177</v>
      </c>
    </row>
    <row r="3625" spans="1:9" ht="18.75" customHeight="1" x14ac:dyDescent="0.4">
      <c r="A3625" s="14" t="s">
        <v>4561</v>
      </c>
      <c r="B3625" s="16" t="str">
        <f>TRIM("城東区保健福祉センター")</f>
        <v>城東区保健福祉センター</v>
      </c>
      <c r="C3625" s="14" t="s">
        <v>1517</v>
      </c>
      <c r="D3625" s="14" t="s">
        <v>444</v>
      </c>
      <c r="E3625" s="1">
        <v>1131.1600000000001</v>
      </c>
      <c r="F3625" s="2"/>
      <c r="G3625" s="1"/>
      <c r="H3625" s="3"/>
      <c r="I3625" s="14" t="s">
        <v>1594</v>
      </c>
    </row>
    <row r="3626" spans="1:9" ht="18.75" customHeight="1" x14ac:dyDescent="0.4">
      <c r="A3626" s="14" t="s">
        <v>4562</v>
      </c>
      <c r="B3626" s="16" t="str">
        <f>TRIM("もと城東区役所")</f>
        <v>もと城東区役所</v>
      </c>
      <c r="C3626" s="14" t="s">
        <v>1517</v>
      </c>
      <c r="D3626" s="14" t="s">
        <v>444</v>
      </c>
      <c r="E3626" s="1">
        <v>171.38</v>
      </c>
      <c r="F3626" s="2"/>
      <c r="G3626" s="1"/>
      <c r="H3626" s="3"/>
      <c r="I3626" s="14" t="s">
        <v>1594</v>
      </c>
    </row>
    <row r="3627" spans="1:9" ht="18.75" customHeight="1" x14ac:dyDescent="0.4">
      <c r="A3627" s="14" t="s">
        <v>4563</v>
      </c>
      <c r="B3627" s="16" t="str">
        <f>TRIM("城東区複合施設　貸付スペース（城東区所管）")</f>
        <v>城東区複合施設　貸付スペース（城東区所管）</v>
      </c>
      <c r="C3627" s="14" t="s">
        <v>1517</v>
      </c>
      <c r="D3627" s="14" t="s">
        <v>444</v>
      </c>
      <c r="E3627" s="1"/>
      <c r="F3627" s="2"/>
      <c r="G3627" s="1">
        <v>175.25</v>
      </c>
      <c r="H3627" s="3"/>
      <c r="I3627" s="14" t="s">
        <v>1594</v>
      </c>
    </row>
    <row r="3628" spans="1:9" ht="18.75" customHeight="1" x14ac:dyDescent="0.4">
      <c r="A3628" s="14" t="s">
        <v>4571</v>
      </c>
      <c r="B3628" s="16" t="str">
        <f>TRIM("城東区民センター")</f>
        <v>城東区民センター</v>
      </c>
      <c r="C3628" s="14" t="s">
        <v>1517</v>
      </c>
      <c r="D3628" s="14" t="s">
        <v>444</v>
      </c>
      <c r="E3628" s="1">
        <v>779.58</v>
      </c>
      <c r="F3628" s="2"/>
      <c r="G3628" s="1"/>
      <c r="H3628" s="3"/>
      <c r="I3628" s="14" t="s">
        <v>1594</v>
      </c>
    </row>
    <row r="3629" spans="1:9" ht="18.75" customHeight="1" x14ac:dyDescent="0.4">
      <c r="A3629" s="14" t="s">
        <v>4581</v>
      </c>
      <c r="B3629" s="16" t="str">
        <f>TRIM("城東区複合施設　貸付スペース（城東区民センター所管）")</f>
        <v>城東区複合施設　貸付スペース（城東区民センター所管）</v>
      </c>
      <c r="C3629" s="14" t="s">
        <v>1517</v>
      </c>
      <c r="D3629" s="14" t="s">
        <v>444</v>
      </c>
      <c r="E3629" s="1"/>
      <c r="F3629" s="2"/>
      <c r="G3629" s="1">
        <v>130.35</v>
      </c>
      <c r="H3629" s="3"/>
      <c r="I3629" s="14" t="s">
        <v>1594</v>
      </c>
    </row>
    <row r="3630" spans="1:9" ht="18.75" customHeight="1" x14ac:dyDescent="0.4">
      <c r="A3630" s="14" t="s">
        <v>5211</v>
      </c>
      <c r="B3630" s="16" t="str">
        <f>TRIM("城東図書館")</f>
        <v>城東図書館</v>
      </c>
      <c r="C3630" s="14" t="s">
        <v>1517</v>
      </c>
      <c r="D3630" s="14" t="s">
        <v>444</v>
      </c>
      <c r="E3630" s="1"/>
      <c r="F3630" s="2"/>
      <c r="G3630" s="1">
        <v>1504.75</v>
      </c>
      <c r="H3630" s="3"/>
      <c r="I3630" s="14" t="s">
        <v>4689</v>
      </c>
    </row>
    <row r="3631" spans="1:9" ht="18.75" customHeight="1" x14ac:dyDescent="0.4">
      <c r="A3631" s="14" t="s">
        <v>5212</v>
      </c>
      <c r="B3631" s="16" t="str">
        <f>TRIM("城東区複合施設　貸付スペース（教育委員会）")</f>
        <v>城東区複合施設　貸付スペース（教育委員会）</v>
      </c>
      <c r="C3631" s="14" t="s">
        <v>1517</v>
      </c>
      <c r="D3631" s="14" t="s">
        <v>444</v>
      </c>
      <c r="E3631" s="1"/>
      <c r="F3631" s="2"/>
      <c r="G3631" s="1">
        <v>30.03</v>
      </c>
      <c r="H3631" s="3"/>
      <c r="I3631" s="14" t="s">
        <v>4689</v>
      </c>
    </row>
    <row r="3632" spans="1:9" ht="18.75" customHeight="1" x14ac:dyDescent="0.4">
      <c r="A3632" s="14" t="s">
        <v>5669</v>
      </c>
      <c r="B3632" s="16" t="str">
        <f>TRIM("もと城東児童館")</f>
        <v>もと城東児童館</v>
      </c>
      <c r="C3632" s="14" t="s">
        <v>1517</v>
      </c>
      <c r="D3632" s="14" t="s">
        <v>444</v>
      </c>
      <c r="E3632" s="1"/>
      <c r="F3632" s="2"/>
      <c r="G3632" s="1">
        <v>324.77</v>
      </c>
      <c r="H3632" s="3" t="s">
        <v>7353</v>
      </c>
      <c r="I3632" s="14" t="s">
        <v>5617</v>
      </c>
    </row>
    <row r="3633" spans="1:9" ht="18.75" customHeight="1" x14ac:dyDescent="0.4">
      <c r="A3633" s="14" t="s">
        <v>5980</v>
      </c>
      <c r="B3633" s="16" t="str">
        <f>TRIM("蒲生地盤沈下観測所")</f>
        <v>蒲生地盤沈下観測所</v>
      </c>
      <c r="C3633" s="14" t="s">
        <v>1517</v>
      </c>
      <c r="D3633" s="14" t="s">
        <v>444</v>
      </c>
      <c r="E3633" s="1"/>
      <c r="F3633" s="2"/>
      <c r="G3633" s="1">
        <v>11</v>
      </c>
      <c r="H3633" s="3"/>
      <c r="I3633" s="14" t="s">
        <v>5977</v>
      </c>
    </row>
    <row r="3634" spans="1:9" ht="18.75" customHeight="1" x14ac:dyDescent="0.4">
      <c r="A3634" s="14" t="s">
        <v>4093</v>
      </c>
      <c r="B3634" s="16" t="str">
        <f>TRIM("楠根川材料置場")</f>
        <v>楠根川材料置場</v>
      </c>
      <c r="C3634" s="14" t="s">
        <v>1517</v>
      </c>
      <c r="D3634" s="14" t="s">
        <v>1123</v>
      </c>
      <c r="E3634" s="1">
        <v>1183.6199999999999</v>
      </c>
      <c r="F3634" s="2">
        <v>465</v>
      </c>
      <c r="G3634" s="1"/>
      <c r="H3634" s="3"/>
      <c r="I3634" s="14" t="s">
        <v>2177</v>
      </c>
    </row>
    <row r="3635" spans="1:9" ht="18.75" customHeight="1" x14ac:dyDescent="0.4">
      <c r="A3635" s="14" t="s">
        <v>2960</v>
      </c>
      <c r="B3635" s="16" t="str">
        <f>TRIM("　専永公園")</f>
        <v>専永公園</v>
      </c>
      <c r="C3635" s="14" t="s">
        <v>1517</v>
      </c>
      <c r="D3635" s="14" t="s">
        <v>1123</v>
      </c>
      <c r="E3635" s="1">
        <v>589.44000000000005</v>
      </c>
      <c r="F3635" s="2"/>
      <c r="G3635" s="1"/>
      <c r="H3635" s="3"/>
      <c r="I3635" s="14" t="s">
        <v>2177</v>
      </c>
    </row>
    <row r="3636" spans="1:9" ht="18.75" customHeight="1" x14ac:dyDescent="0.4">
      <c r="A3636" s="14" t="s">
        <v>4105</v>
      </c>
      <c r="B3636" s="16" t="str">
        <f>TRIM("放出下水処理場")</f>
        <v>放出下水処理場</v>
      </c>
      <c r="C3636" s="14" t="s">
        <v>1517</v>
      </c>
      <c r="D3636" s="14" t="s">
        <v>1051</v>
      </c>
      <c r="E3636" s="1">
        <v>59390.73</v>
      </c>
      <c r="F3636" s="2"/>
      <c r="G3636" s="1">
        <v>29095.07</v>
      </c>
      <c r="H3636" s="3"/>
      <c r="I3636" s="14" t="s">
        <v>2177</v>
      </c>
    </row>
    <row r="3637" spans="1:9" ht="18.75" customHeight="1" x14ac:dyDescent="0.4">
      <c r="A3637" s="14" t="s">
        <v>4892</v>
      </c>
      <c r="B3637" s="16" t="str">
        <f>TRIM("諏訪小学校")</f>
        <v>諏訪小学校</v>
      </c>
      <c r="C3637" s="14" t="s">
        <v>1517</v>
      </c>
      <c r="D3637" s="14" t="s">
        <v>1051</v>
      </c>
      <c r="E3637" s="1">
        <v>4171.25</v>
      </c>
      <c r="F3637" s="2"/>
      <c r="G3637" s="1">
        <v>7738.05</v>
      </c>
      <c r="H3637" s="3"/>
      <c r="I3637" s="14" t="s">
        <v>4689</v>
      </c>
    </row>
    <row r="3638" spans="1:9" ht="18.75" customHeight="1" x14ac:dyDescent="0.4">
      <c r="A3638" s="14" t="s">
        <v>2731</v>
      </c>
      <c r="B3638" s="16" t="str">
        <f>TRIM("　左専道公園")</f>
        <v>左専道公園</v>
      </c>
      <c r="C3638" s="14" t="s">
        <v>1517</v>
      </c>
      <c r="D3638" s="14" t="s">
        <v>1051</v>
      </c>
      <c r="E3638" s="1">
        <v>9282.4699999999993</v>
      </c>
      <c r="F3638" s="2"/>
      <c r="G3638" s="1"/>
      <c r="H3638" s="3"/>
      <c r="I3638" s="14" t="s">
        <v>2177</v>
      </c>
    </row>
    <row r="3639" spans="1:9" ht="18.75" customHeight="1" x14ac:dyDescent="0.4">
      <c r="A3639" s="14" t="s">
        <v>3558</v>
      </c>
      <c r="B3639" s="16" t="str">
        <f>TRIM("　左専道公園")</f>
        <v>左専道公園</v>
      </c>
      <c r="C3639" s="14" t="s">
        <v>1517</v>
      </c>
      <c r="D3639" s="14" t="s">
        <v>1051</v>
      </c>
      <c r="E3639" s="1"/>
      <c r="F3639" s="2"/>
      <c r="G3639" s="1">
        <v>19.2</v>
      </c>
      <c r="H3639" s="3"/>
      <c r="I3639" s="14" t="s">
        <v>2177</v>
      </c>
    </row>
    <row r="3640" spans="1:9" ht="18.75" customHeight="1" x14ac:dyDescent="0.4">
      <c r="A3640" s="14" t="s">
        <v>4867</v>
      </c>
      <c r="B3640" s="16" t="str">
        <f>TRIM("城東中学校")</f>
        <v>城東中学校</v>
      </c>
      <c r="C3640" s="14" t="s">
        <v>1517</v>
      </c>
      <c r="D3640" s="14" t="s">
        <v>226</v>
      </c>
      <c r="E3640" s="1">
        <v>15026.96</v>
      </c>
      <c r="F3640" s="2"/>
      <c r="G3640" s="1">
        <v>7674.44</v>
      </c>
      <c r="H3640" s="3"/>
      <c r="I3640" s="14" t="s">
        <v>4689</v>
      </c>
    </row>
    <row r="3641" spans="1:9" ht="18.75" customHeight="1" x14ac:dyDescent="0.4">
      <c r="A3641" s="14" t="s">
        <v>5491</v>
      </c>
      <c r="B3641" s="16" t="str">
        <f>TRIM("城東署諏訪交番")</f>
        <v>城東署諏訪交番</v>
      </c>
      <c r="C3641" s="14" t="s">
        <v>1517</v>
      </c>
      <c r="D3641" s="14" t="s">
        <v>226</v>
      </c>
      <c r="E3641" s="1">
        <v>71.41</v>
      </c>
      <c r="F3641" s="2"/>
      <c r="G3641" s="1"/>
      <c r="H3641" s="3"/>
      <c r="I3641" s="14" t="s">
        <v>5349</v>
      </c>
    </row>
    <row r="3642" spans="1:9" ht="18.75" customHeight="1" x14ac:dyDescent="0.4">
      <c r="A3642" s="14" t="s">
        <v>2580</v>
      </c>
      <c r="B3642" s="16" t="str">
        <f>TRIM("　永田公園")</f>
        <v>永田公園</v>
      </c>
      <c r="C3642" s="14" t="s">
        <v>1517</v>
      </c>
      <c r="D3642" s="14" t="s">
        <v>1007</v>
      </c>
      <c r="E3642" s="1">
        <v>3532.69</v>
      </c>
      <c r="F3642" s="2"/>
      <c r="G3642" s="1"/>
      <c r="H3642" s="3"/>
      <c r="I3642" s="14" t="s">
        <v>2177</v>
      </c>
    </row>
    <row r="3643" spans="1:9" ht="18.75" customHeight="1" x14ac:dyDescent="0.4">
      <c r="A3643" s="14" t="s">
        <v>4076</v>
      </c>
      <c r="B3643" s="16" t="str">
        <f>TRIM("中浜東下水処理場")</f>
        <v>中浜東下水処理場</v>
      </c>
      <c r="C3643" s="14" t="s">
        <v>1517</v>
      </c>
      <c r="D3643" s="14" t="s">
        <v>700</v>
      </c>
      <c r="E3643" s="1">
        <v>43129.760000000002</v>
      </c>
      <c r="F3643" s="2"/>
      <c r="G3643" s="1">
        <v>27003.86</v>
      </c>
      <c r="H3643" s="3"/>
      <c r="I3643" s="14" t="s">
        <v>2177</v>
      </c>
    </row>
    <row r="3644" spans="1:9" ht="18.75" customHeight="1" x14ac:dyDescent="0.4">
      <c r="A3644" s="14" t="s">
        <v>4576</v>
      </c>
      <c r="B3644" s="16" t="str">
        <f>TRIM("中浜集会所")</f>
        <v>中浜集会所</v>
      </c>
      <c r="C3644" s="14" t="s">
        <v>1517</v>
      </c>
      <c r="D3644" s="14" t="s">
        <v>700</v>
      </c>
      <c r="E3644" s="1"/>
      <c r="F3644" s="2"/>
      <c r="G3644" s="1">
        <v>97</v>
      </c>
      <c r="H3644" s="3"/>
      <c r="I3644" s="14" t="s">
        <v>1594</v>
      </c>
    </row>
    <row r="3645" spans="1:9" ht="18.75" customHeight="1" x14ac:dyDescent="0.4">
      <c r="A3645" s="14" t="s">
        <v>6210</v>
      </c>
      <c r="B3645" s="16" t="str">
        <f>TRIM("もと中浜住宅用地")</f>
        <v>もと中浜住宅用地</v>
      </c>
      <c r="C3645" s="14" t="s">
        <v>1517</v>
      </c>
      <c r="D3645" s="14" t="s">
        <v>700</v>
      </c>
      <c r="E3645" s="1">
        <v>3736.92</v>
      </c>
      <c r="F3645" s="2"/>
      <c r="G3645" s="1"/>
      <c r="H3645" s="3"/>
      <c r="I3645" s="14" t="s">
        <v>6177</v>
      </c>
    </row>
    <row r="3646" spans="1:9" ht="18.75" customHeight="1" x14ac:dyDescent="0.4">
      <c r="A3646" s="18"/>
      <c r="B3646" s="14" t="s">
        <v>7175</v>
      </c>
      <c r="C3646" s="14" t="s">
        <v>1517</v>
      </c>
      <c r="D3646" s="1" t="s">
        <v>700</v>
      </c>
      <c r="E3646" s="2"/>
      <c r="F3646" s="11"/>
      <c r="G3646" s="1">
        <v>584.88</v>
      </c>
      <c r="H3646" s="1"/>
      <c r="I3646" s="1" t="s">
        <v>2177</v>
      </c>
    </row>
    <row r="3647" spans="1:9" ht="18.75" customHeight="1" x14ac:dyDescent="0.4">
      <c r="A3647" s="18"/>
      <c r="B3647" s="14" t="s">
        <v>7176</v>
      </c>
      <c r="C3647" s="14" t="s">
        <v>1517</v>
      </c>
      <c r="D3647" s="1" t="s">
        <v>700</v>
      </c>
      <c r="E3647" s="2"/>
      <c r="F3647" s="11"/>
      <c r="G3647" s="1">
        <v>815.64</v>
      </c>
      <c r="H3647" s="1"/>
      <c r="I3647" s="1" t="s">
        <v>2177</v>
      </c>
    </row>
    <row r="3648" spans="1:9" ht="18.75" customHeight="1" x14ac:dyDescent="0.4">
      <c r="A3648" s="14" t="s">
        <v>2091</v>
      </c>
      <c r="B3648" s="16" t="str">
        <f>TRIM("中浜憩の家")</f>
        <v>中浜憩の家</v>
      </c>
      <c r="C3648" s="14" t="s">
        <v>1517</v>
      </c>
      <c r="D3648" s="14" t="s">
        <v>1158</v>
      </c>
      <c r="E3648" s="1">
        <v>182.7</v>
      </c>
      <c r="F3648" s="2"/>
      <c r="G3648" s="1">
        <v>101.09</v>
      </c>
      <c r="H3648" s="3"/>
      <c r="I3648" s="14" t="s">
        <v>1594</v>
      </c>
    </row>
    <row r="3649" spans="1:9" ht="18.75" customHeight="1" x14ac:dyDescent="0.4">
      <c r="A3649" s="14" t="s">
        <v>4969</v>
      </c>
      <c r="B3649" s="16" t="str">
        <f>TRIM("中浜小学校")</f>
        <v>中浜小学校</v>
      </c>
      <c r="C3649" s="14" t="s">
        <v>1517</v>
      </c>
      <c r="D3649" s="14" t="s">
        <v>1158</v>
      </c>
      <c r="E3649" s="1">
        <v>9016.77</v>
      </c>
      <c r="F3649" s="2"/>
      <c r="G3649" s="1">
        <v>4975.17</v>
      </c>
      <c r="H3649" s="3"/>
      <c r="I3649" s="14" t="s">
        <v>4689</v>
      </c>
    </row>
    <row r="3650" spans="1:9" ht="18.75" customHeight="1" x14ac:dyDescent="0.4">
      <c r="A3650" s="14" t="s">
        <v>3056</v>
      </c>
      <c r="B3650" s="16" t="str">
        <f>TRIM("　中浜中央公園")</f>
        <v>中浜中央公園</v>
      </c>
      <c r="C3650" s="14" t="s">
        <v>1517</v>
      </c>
      <c r="D3650" s="14" t="s">
        <v>1158</v>
      </c>
      <c r="E3650" s="1">
        <v>2294.92</v>
      </c>
      <c r="F3650" s="2"/>
      <c r="G3650" s="1"/>
      <c r="H3650" s="3"/>
      <c r="I3650" s="14" t="s">
        <v>2177</v>
      </c>
    </row>
    <row r="3651" spans="1:9" ht="18.75" customHeight="1" x14ac:dyDescent="0.4">
      <c r="A3651" s="14" t="s">
        <v>2950</v>
      </c>
      <c r="B3651" s="16" t="str">
        <f>TRIM("　千間川公園")</f>
        <v>千間川公園</v>
      </c>
      <c r="C3651" s="14" t="s">
        <v>1517</v>
      </c>
      <c r="D3651" s="14" t="s">
        <v>204</v>
      </c>
      <c r="E3651" s="1">
        <v>1421.15</v>
      </c>
      <c r="F3651" s="2"/>
      <c r="G3651" s="1"/>
      <c r="H3651" s="3"/>
      <c r="I3651" s="14" t="s">
        <v>2177</v>
      </c>
    </row>
    <row r="3652" spans="1:9" ht="18.75" customHeight="1" x14ac:dyDescent="0.4">
      <c r="A3652" s="14" t="s">
        <v>5461</v>
      </c>
      <c r="B3652" s="16" t="str">
        <f>TRIM("過小地（廃道）")</f>
        <v>過小地（廃道）</v>
      </c>
      <c r="C3652" s="14" t="s">
        <v>1517</v>
      </c>
      <c r="D3652" s="14" t="s">
        <v>204</v>
      </c>
      <c r="E3652" s="1">
        <v>16944.669999999998</v>
      </c>
      <c r="F3652" s="2"/>
      <c r="G3652" s="1"/>
      <c r="H3652" s="3"/>
      <c r="I3652" s="14" t="s">
        <v>5349</v>
      </c>
    </row>
    <row r="3653" spans="1:9" ht="18.75" customHeight="1" x14ac:dyDescent="0.4">
      <c r="A3653" s="14" t="s">
        <v>5455</v>
      </c>
      <c r="B3653" s="16" t="str">
        <f>TRIM("過小地（運河用地）")</f>
        <v>過小地（運河用地）</v>
      </c>
      <c r="C3653" s="14" t="s">
        <v>1517</v>
      </c>
      <c r="D3653" s="14" t="s">
        <v>200</v>
      </c>
      <c r="E3653" s="1">
        <v>1868.14</v>
      </c>
      <c r="F3653" s="2"/>
      <c r="G3653" s="1"/>
      <c r="H3653" s="3"/>
      <c r="I3653" s="14" t="s">
        <v>5349</v>
      </c>
    </row>
    <row r="3654" spans="1:9" ht="18.75" customHeight="1" x14ac:dyDescent="0.4">
      <c r="A3654" s="14" t="s">
        <v>6679</v>
      </c>
      <c r="B3654" s="16" t="str">
        <f>TRIM("野江住宅")</f>
        <v>野江住宅</v>
      </c>
      <c r="C3654" s="14" t="s">
        <v>1517</v>
      </c>
      <c r="D3654" s="14" t="s">
        <v>846</v>
      </c>
      <c r="E3654" s="1">
        <v>7042.67</v>
      </c>
      <c r="F3654" s="2"/>
      <c r="G3654" s="1">
        <v>8183.38</v>
      </c>
      <c r="H3654" s="3"/>
      <c r="I3654" s="14" t="s">
        <v>6177</v>
      </c>
    </row>
    <row r="3655" spans="1:9" ht="18.75" customHeight="1" x14ac:dyDescent="0.4">
      <c r="A3655" s="14" t="s">
        <v>6680</v>
      </c>
      <c r="B3655" s="16" t="str">
        <f>TRIM("野江第2住宅")</f>
        <v>野江第2住宅</v>
      </c>
      <c r="C3655" s="14" t="s">
        <v>1517</v>
      </c>
      <c r="D3655" s="14" t="s">
        <v>846</v>
      </c>
      <c r="E3655" s="1">
        <v>6089.23</v>
      </c>
      <c r="F3655" s="2"/>
      <c r="G3655" s="1">
        <v>15216.49</v>
      </c>
      <c r="H3655" s="3"/>
      <c r="I3655" s="14" t="s">
        <v>6177</v>
      </c>
    </row>
    <row r="3656" spans="1:9" ht="18.75" customHeight="1" x14ac:dyDescent="0.4">
      <c r="A3656" s="14" t="s">
        <v>2232</v>
      </c>
      <c r="B3656" s="16" t="str">
        <f>TRIM("上新庄生野線（城東）（管財課）")</f>
        <v>上新庄生野線（城東）（管財課）</v>
      </c>
      <c r="C3656" s="14" t="s">
        <v>1517</v>
      </c>
      <c r="D3656" s="14" t="s">
        <v>846</v>
      </c>
      <c r="E3656" s="1">
        <v>5383.69</v>
      </c>
      <c r="F3656" s="2"/>
      <c r="G3656" s="1"/>
      <c r="H3656" s="3"/>
      <c r="I3656" s="14" t="s">
        <v>2177</v>
      </c>
    </row>
    <row r="3657" spans="1:9" ht="18.75" customHeight="1" x14ac:dyDescent="0.4">
      <c r="A3657" s="14" t="s">
        <v>3341</v>
      </c>
      <c r="B3657" s="16" t="str">
        <f>TRIM("　野江公園")</f>
        <v>野江公園</v>
      </c>
      <c r="C3657" s="14" t="s">
        <v>1517</v>
      </c>
      <c r="D3657" s="14" t="s">
        <v>846</v>
      </c>
      <c r="E3657" s="1">
        <v>1464.45</v>
      </c>
      <c r="F3657" s="2"/>
      <c r="G3657" s="1"/>
      <c r="H3657" s="3"/>
      <c r="I3657" s="14" t="s">
        <v>2177</v>
      </c>
    </row>
    <row r="3658" spans="1:9" ht="18.75" customHeight="1" x14ac:dyDescent="0.4">
      <c r="A3658" s="14" t="s">
        <v>3406</v>
      </c>
      <c r="B3658" s="16" t="str">
        <f>TRIM("榎並公園")</f>
        <v>榎並公園</v>
      </c>
      <c r="C3658" s="14" t="s">
        <v>1517</v>
      </c>
      <c r="D3658" s="14" t="s">
        <v>535</v>
      </c>
      <c r="E3658" s="1">
        <v>995.86</v>
      </c>
      <c r="F3658" s="2" t="s">
        <v>7285</v>
      </c>
      <c r="G3658" s="1"/>
      <c r="H3658" s="3"/>
      <c r="I3658" s="14" t="s">
        <v>2177</v>
      </c>
    </row>
    <row r="3659" spans="1:9" ht="18.75" customHeight="1" x14ac:dyDescent="0.4">
      <c r="A3659" s="14" t="s">
        <v>4565</v>
      </c>
      <c r="B3659" s="16" t="str">
        <f>TRIM("榎並福祉会館")</f>
        <v>榎並福祉会館</v>
      </c>
      <c r="C3659" s="14" t="s">
        <v>1517</v>
      </c>
      <c r="D3659" s="14" t="s">
        <v>535</v>
      </c>
      <c r="E3659" s="1">
        <v>292.49</v>
      </c>
      <c r="F3659" s="2"/>
      <c r="G3659" s="1">
        <v>210</v>
      </c>
      <c r="H3659" s="3"/>
      <c r="I3659" s="14" t="s">
        <v>1594</v>
      </c>
    </row>
    <row r="3660" spans="1:9" ht="18.75" customHeight="1" x14ac:dyDescent="0.4">
      <c r="A3660" s="14" t="s">
        <v>6681</v>
      </c>
      <c r="B3660" s="16" t="str">
        <f>TRIM("野江北住宅")</f>
        <v>野江北住宅</v>
      </c>
      <c r="C3660" s="14" t="s">
        <v>1517</v>
      </c>
      <c r="D3660" s="14" t="s">
        <v>535</v>
      </c>
      <c r="E3660" s="1">
        <v>2913.84</v>
      </c>
      <c r="F3660" s="2"/>
      <c r="G3660" s="1">
        <v>2018.38</v>
      </c>
      <c r="H3660" s="3"/>
      <c r="I3660" s="14" t="s">
        <v>6177</v>
      </c>
    </row>
    <row r="3661" spans="1:9" ht="18.75" customHeight="1" x14ac:dyDescent="0.4">
      <c r="A3661" s="14" t="s">
        <v>5723</v>
      </c>
      <c r="B3661" s="16" t="str">
        <f>TRIM("愛育保育園")</f>
        <v>愛育保育園</v>
      </c>
      <c r="C3661" s="14" t="s">
        <v>1517</v>
      </c>
      <c r="D3661" s="14" t="s">
        <v>535</v>
      </c>
      <c r="E3661" s="1">
        <v>995.5</v>
      </c>
      <c r="F3661" s="2"/>
      <c r="G3661" s="1"/>
      <c r="H3661" s="3"/>
      <c r="I3661" s="14" t="s">
        <v>5617</v>
      </c>
    </row>
    <row r="3662" spans="1:9" ht="18.75" customHeight="1" x14ac:dyDescent="0.4">
      <c r="A3662" s="14" t="s">
        <v>4734</v>
      </c>
      <c r="B3662" s="16" t="str">
        <f>TRIM("榎並小学校")</f>
        <v>榎並小学校</v>
      </c>
      <c r="C3662" s="14" t="s">
        <v>1517</v>
      </c>
      <c r="D3662" s="14" t="s">
        <v>1383</v>
      </c>
      <c r="E3662" s="1">
        <v>6834.63</v>
      </c>
      <c r="F3662" s="2"/>
      <c r="G3662" s="1">
        <v>5945.15</v>
      </c>
      <c r="H3662" s="3"/>
      <c r="I3662" s="14" t="s">
        <v>4689</v>
      </c>
    </row>
    <row r="3663" spans="1:9" ht="18.75" customHeight="1" x14ac:dyDescent="0.4">
      <c r="A3663" s="14" t="s">
        <v>6024</v>
      </c>
      <c r="B3663" s="16" t="str">
        <f>TRIM("野江災害備蓄倉庫")</f>
        <v>野江災害備蓄倉庫</v>
      </c>
      <c r="C3663" s="14" t="s">
        <v>1517</v>
      </c>
      <c r="D3663" s="14" t="s">
        <v>646</v>
      </c>
      <c r="E3663" s="1">
        <v>42.97</v>
      </c>
      <c r="F3663" s="2"/>
      <c r="G3663" s="1">
        <v>29.96</v>
      </c>
      <c r="H3663" s="3"/>
      <c r="I3663" s="14" t="s">
        <v>5977</v>
      </c>
    </row>
    <row r="3664" spans="1:9" ht="18.75" customHeight="1" x14ac:dyDescent="0.4">
      <c r="A3664" s="14" t="s">
        <v>3950</v>
      </c>
      <c r="B3664" s="16" t="str">
        <f>TRIM("野江内代駅自転車駐車場東側管理ボックス")</f>
        <v>野江内代駅自転車駐車場東側管理ボックス</v>
      </c>
      <c r="C3664" s="14" t="s">
        <v>1517</v>
      </c>
      <c r="D3664" s="14" t="s">
        <v>646</v>
      </c>
      <c r="E3664" s="1"/>
      <c r="F3664" s="2"/>
      <c r="G3664" s="1">
        <v>1.44</v>
      </c>
      <c r="H3664" s="3"/>
      <c r="I3664" s="14" t="s">
        <v>2177</v>
      </c>
    </row>
    <row r="3665" spans="1:9" ht="18.75" customHeight="1" x14ac:dyDescent="0.4">
      <c r="A3665" s="14" t="s">
        <v>5251</v>
      </c>
      <c r="B3665" s="16" t="str">
        <f>TRIM("城東消防署放出出張所")</f>
        <v>城東消防署放出出張所</v>
      </c>
      <c r="C3665" s="14" t="s">
        <v>1517</v>
      </c>
      <c r="D3665" s="14" t="s">
        <v>277</v>
      </c>
      <c r="E3665" s="1">
        <v>852.87</v>
      </c>
      <c r="F3665" s="2"/>
      <c r="G3665" s="1">
        <v>542.79</v>
      </c>
      <c r="H3665" s="3"/>
      <c r="I3665" s="14" t="s">
        <v>5219</v>
      </c>
    </row>
    <row r="3666" spans="1:9" ht="18.75" customHeight="1" x14ac:dyDescent="0.4">
      <c r="A3666" s="14" t="s">
        <v>5614</v>
      </c>
      <c r="B3666" s="16" t="str">
        <f>TRIM("もと府警城東単身寮")</f>
        <v>もと府警城東単身寮</v>
      </c>
      <c r="C3666" s="14" t="s">
        <v>1517</v>
      </c>
      <c r="D3666" s="14" t="s">
        <v>277</v>
      </c>
      <c r="E3666" s="1">
        <v>330.2</v>
      </c>
      <c r="F3666" s="2"/>
      <c r="G3666" s="1"/>
      <c r="H3666" s="3"/>
      <c r="I3666" s="14" t="s">
        <v>5349</v>
      </c>
    </row>
    <row r="3667" spans="1:9" ht="18.75" customHeight="1" x14ac:dyDescent="0.4">
      <c r="A3667" s="14" t="s">
        <v>4106</v>
      </c>
      <c r="B3667" s="16" t="str">
        <f>TRIM("放出町材料置場")</f>
        <v>放出町材料置場</v>
      </c>
      <c r="C3667" s="14" t="s">
        <v>1517</v>
      </c>
      <c r="D3667" s="14" t="s">
        <v>1118</v>
      </c>
      <c r="E3667" s="1">
        <v>995.51</v>
      </c>
      <c r="F3667" s="2"/>
      <c r="G3667" s="1"/>
      <c r="H3667" s="3"/>
      <c r="I3667" s="14" t="s">
        <v>2177</v>
      </c>
    </row>
    <row r="3668" spans="1:9" ht="18.75" customHeight="1" x14ac:dyDescent="0.4">
      <c r="A3668" s="14" t="s">
        <v>4055</v>
      </c>
      <c r="B3668" s="16" t="str">
        <f>TRIM("城東抽水所")</f>
        <v>城東抽水所</v>
      </c>
      <c r="C3668" s="14" t="s">
        <v>1517</v>
      </c>
      <c r="D3668" s="14" t="s">
        <v>1118</v>
      </c>
      <c r="E3668" s="1">
        <v>3257.61</v>
      </c>
      <c r="F3668" s="2"/>
      <c r="G3668" s="1">
        <v>1095.5</v>
      </c>
      <c r="H3668" s="3"/>
      <c r="I3668" s="14" t="s">
        <v>2177</v>
      </c>
    </row>
    <row r="3669" spans="1:9" ht="18.75" customHeight="1" x14ac:dyDescent="0.4">
      <c r="A3669" s="14" t="s">
        <v>5091</v>
      </c>
      <c r="B3669" s="16" t="str">
        <f>TRIM("放出小学校")</f>
        <v>放出小学校</v>
      </c>
      <c r="C3669" s="14" t="s">
        <v>1517</v>
      </c>
      <c r="D3669" s="14" t="s">
        <v>1118</v>
      </c>
      <c r="E3669" s="1">
        <v>12098.65</v>
      </c>
      <c r="F3669" s="2"/>
      <c r="G3669" s="1">
        <v>8127.28</v>
      </c>
      <c r="H3669" s="3"/>
      <c r="I3669" s="14" t="s">
        <v>4689</v>
      </c>
    </row>
    <row r="3670" spans="1:9" ht="18.75" customHeight="1" x14ac:dyDescent="0.4">
      <c r="A3670" s="14" t="s">
        <v>2938</v>
      </c>
      <c r="B3670" s="16" t="str">
        <f>TRIM("　西放出公園")</f>
        <v>西放出公園</v>
      </c>
      <c r="C3670" s="14" t="s">
        <v>1517</v>
      </c>
      <c r="D3670" s="14" t="s">
        <v>1118</v>
      </c>
      <c r="E3670" s="1">
        <v>8854.57</v>
      </c>
      <c r="F3670" s="2"/>
      <c r="G3670" s="1"/>
      <c r="H3670" s="3"/>
      <c r="I3670" s="14" t="s">
        <v>2177</v>
      </c>
    </row>
    <row r="3671" spans="1:9" ht="18.75" customHeight="1" x14ac:dyDescent="0.4">
      <c r="A3671" s="14" t="s">
        <v>3599</v>
      </c>
      <c r="B3671" s="16" t="str">
        <f>TRIM("　西放出公園")</f>
        <v>西放出公園</v>
      </c>
      <c r="C3671" s="14" t="s">
        <v>1517</v>
      </c>
      <c r="D3671" s="14" t="s">
        <v>1118</v>
      </c>
      <c r="E3671" s="1"/>
      <c r="F3671" s="2"/>
      <c r="G3671" s="1">
        <v>21.12</v>
      </c>
      <c r="H3671" s="3"/>
      <c r="I3671" s="14" t="s">
        <v>2177</v>
      </c>
    </row>
    <row r="3672" spans="1:9" ht="18.75" customHeight="1" x14ac:dyDescent="0.4">
      <c r="A3672" s="14" t="s">
        <v>2137</v>
      </c>
      <c r="B3672" s="16" t="str">
        <f>TRIM("放出憩の家")</f>
        <v>放出憩の家</v>
      </c>
      <c r="C3672" s="14" t="s">
        <v>1517</v>
      </c>
      <c r="D3672" s="14" t="s">
        <v>830</v>
      </c>
      <c r="E3672" s="1">
        <v>338.63</v>
      </c>
      <c r="F3672" s="2"/>
      <c r="G3672" s="1">
        <v>106.59</v>
      </c>
      <c r="H3672" s="3"/>
      <c r="I3672" s="14" t="s">
        <v>1594</v>
      </c>
    </row>
    <row r="3673" spans="1:9" ht="18.75" customHeight="1" x14ac:dyDescent="0.4">
      <c r="A3673" s="14" t="s">
        <v>5092</v>
      </c>
      <c r="B3673" s="16" t="str">
        <f>TRIM("放出中学校")</f>
        <v>放出中学校</v>
      </c>
      <c r="C3673" s="14" t="s">
        <v>1517</v>
      </c>
      <c r="D3673" s="14" t="s">
        <v>830</v>
      </c>
      <c r="E3673" s="1">
        <v>16403.419999999998</v>
      </c>
      <c r="F3673" s="2"/>
      <c r="G3673" s="1">
        <v>7440.02</v>
      </c>
      <c r="H3673" s="3"/>
      <c r="I3673" s="14" t="s">
        <v>4689</v>
      </c>
    </row>
    <row r="3674" spans="1:9" ht="18.75" customHeight="1" x14ac:dyDescent="0.4">
      <c r="A3674" s="14" t="s">
        <v>6647</v>
      </c>
      <c r="B3674" s="16" t="str">
        <f>TRIM("放出西住宅")</f>
        <v>放出西住宅</v>
      </c>
      <c r="C3674" s="14" t="s">
        <v>1517</v>
      </c>
      <c r="D3674" s="14" t="s">
        <v>830</v>
      </c>
      <c r="E3674" s="1">
        <v>27796.77</v>
      </c>
      <c r="F3674" s="2"/>
      <c r="G3674" s="1">
        <v>28383.3</v>
      </c>
      <c r="H3674" s="3"/>
      <c r="I3674" s="14" t="s">
        <v>6177</v>
      </c>
    </row>
    <row r="3675" spans="1:9" ht="18.75" customHeight="1" x14ac:dyDescent="0.4">
      <c r="A3675" s="14" t="s">
        <v>3498</v>
      </c>
      <c r="B3675" s="16" t="str">
        <f>TRIM("放出西三公園")</f>
        <v>放出西三公園</v>
      </c>
      <c r="C3675" s="14" t="s">
        <v>1517</v>
      </c>
      <c r="D3675" s="14" t="s">
        <v>830</v>
      </c>
      <c r="E3675" s="1">
        <v>1000.22</v>
      </c>
      <c r="F3675" s="2"/>
      <c r="G3675" s="1"/>
      <c r="H3675" s="3"/>
      <c r="I3675" s="14" t="s">
        <v>2177</v>
      </c>
    </row>
    <row r="3676" spans="1:9" ht="18.75" customHeight="1" x14ac:dyDescent="0.4">
      <c r="A3676" s="14" t="s">
        <v>4578</v>
      </c>
      <c r="B3676" s="16" t="str">
        <f>TRIM("放出福祉会館")</f>
        <v>放出福祉会館</v>
      </c>
      <c r="C3676" s="14" t="s">
        <v>1517</v>
      </c>
      <c r="D3676" s="14" t="s">
        <v>830</v>
      </c>
      <c r="E3676" s="1"/>
      <c r="F3676" s="2"/>
      <c r="G3676" s="1">
        <v>107.07</v>
      </c>
      <c r="H3676" s="3"/>
      <c r="I3676" s="14" t="s">
        <v>1594</v>
      </c>
    </row>
    <row r="3677" spans="1:9" ht="18.75" customHeight="1" x14ac:dyDescent="0.4">
      <c r="A3677" s="14" t="s">
        <v>5250</v>
      </c>
      <c r="B3677" s="16" t="str">
        <f>TRIM("城東消防署中浜出張所")</f>
        <v>城東消防署中浜出張所</v>
      </c>
      <c r="C3677" s="14" t="s">
        <v>1517</v>
      </c>
      <c r="D3677" s="14" t="s">
        <v>591</v>
      </c>
      <c r="E3677" s="1">
        <v>380.16</v>
      </c>
      <c r="F3677" s="2"/>
      <c r="G3677" s="1">
        <v>228.29</v>
      </c>
      <c r="H3677" s="3"/>
      <c r="I3677" s="14" t="s">
        <v>5219</v>
      </c>
    </row>
    <row r="3678" spans="1:9" ht="18.75" customHeight="1" x14ac:dyDescent="0.4">
      <c r="A3678" s="14" t="s">
        <v>5910</v>
      </c>
      <c r="B3678" s="16" t="str">
        <f>TRIM("東中浜ひばり保育園")</f>
        <v>東中浜ひばり保育園</v>
      </c>
      <c r="C3678" s="14" t="s">
        <v>1517</v>
      </c>
      <c r="D3678" s="14" t="s">
        <v>591</v>
      </c>
      <c r="E3678" s="1">
        <v>1192.7</v>
      </c>
      <c r="F3678" s="2"/>
      <c r="G3678" s="1"/>
      <c r="H3678" s="3"/>
      <c r="I3678" s="14" t="s">
        <v>5617</v>
      </c>
    </row>
    <row r="3679" spans="1:9" ht="18.75" customHeight="1" x14ac:dyDescent="0.4">
      <c r="A3679" s="14" t="s">
        <v>5026</v>
      </c>
      <c r="B3679" s="16" t="str">
        <f>TRIM("東中浜小学校")</f>
        <v>東中浜小学校</v>
      </c>
      <c r="C3679" s="14" t="s">
        <v>1517</v>
      </c>
      <c r="D3679" s="14" t="s">
        <v>1192</v>
      </c>
      <c r="E3679" s="1">
        <v>9703.75</v>
      </c>
      <c r="F3679" s="2"/>
      <c r="G3679" s="1">
        <v>5970.74</v>
      </c>
      <c r="H3679" s="3"/>
      <c r="I3679" s="14" t="s">
        <v>4689</v>
      </c>
    </row>
    <row r="3680" spans="1:9" ht="18.75" customHeight="1" x14ac:dyDescent="0.4">
      <c r="A3680" s="14" t="s">
        <v>3146</v>
      </c>
      <c r="B3680" s="16" t="str">
        <f>TRIM("　東中浜公園")</f>
        <v>東中浜公園</v>
      </c>
      <c r="C3680" s="14" t="s">
        <v>1517</v>
      </c>
      <c r="D3680" s="14" t="s">
        <v>1192</v>
      </c>
      <c r="E3680" s="1">
        <v>9799.23</v>
      </c>
      <c r="F3680" s="2"/>
      <c r="G3680" s="1"/>
      <c r="H3680" s="3"/>
      <c r="I3680" s="14" t="s">
        <v>2177</v>
      </c>
    </row>
    <row r="3681" spans="1:9" ht="18.75" customHeight="1" x14ac:dyDescent="0.4">
      <c r="A3681" s="14" t="s">
        <v>3646</v>
      </c>
      <c r="B3681" s="16" t="str">
        <f>TRIM("　東中浜公園")</f>
        <v>東中浜公園</v>
      </c>
      <c r="C3681" s="14" t="s">
        <v>1517</v>
      </c>
      <c r="D3681" s="14" t="s">
        <v>1192</v>
      </c>
      <c r="E3681" s="1"/>
      <c r="F3681" s="2"/>
      <c r="G3681" s="1">
        <v>21.26</v>
      </c>
      <c r="H3681" s="3"/>
      <c r="I3681" s="14" t="s">
        <v>2177</v>
      </c>
    </row>
    <row r="3682" spans="1:9" ht="18.75" customHeight="1" x14ac:dyDescent="0.4">
      <c r="A3682" s="14" t="s">
        <v>4577</v>
      </c>
      <c r="B3682" s="16" t="str">
        <f>TRIM("東中浜公園集会所")</f>
        <v>東中浜公園集会所</v>
      </c>
      <c r="C3682" s="14" t="s">
        <v>1517</v>
      </c>
      <c r="D3682" s="14" t="s">
        <v>1192</v>
      </c>
      <c r="E3682" s="1"/>
      <c r="F3682" s="2"/>
      <c r="G3682" s="1">
        <v>200</v>
      </c>
      <c r="H3682" s="3"/>
      <c r="I3682" s="14" t="s">
        <v>1594</v>
      </c>
    </row>
    <row r="3683" spans="1:9" ht="18.75" customHeight="1" x14ac:dyDescent="0.4">
      <c r="A3683" s="14" t="s">
        <v>3101</v>
      </c>
      <c r="B3683" s="16" t="str">
        <f>TRIM("　天王田公園")</f>
        <v>天王田公園</v>
      </c>
      <c r="C3683" s="14" t="s">
        <v>1517</v>
      </c>
      <c r="D3683" s="14" t="s">
        <v>1173</v>
      </c>
      <c r="E3683" s="1">
        <v>3617.02</v>
      </c>
      <c r="F3683" s="2"/>
      <c r="G3683" s="1"/>
      <c r="H3683" s="3"/>
      <c r="I3683" s="14" t="s">
        <v>2177</v>
      </c>
    </row>
    <row r="3684" spans="1:9" ht="18.75" customHeight="1" x14ac:dyDescent="0.4">
      <c r="A3684" s="14" t="s">
        <v>5144</v>
      </c>
      <c r="B3684" s="16" t="str">
        <f>TRIM("菫中学校")</f>
        <v>菫中学校</v>
      </c>
      <c r="C3684" s="14" t="s">
        <v>1517</v>
      </c>
      <c r="D3684" s="14" t="s">
        <v>539</v>
      </c>
      <c r="E3684" s="1">
        <v>21496.05</v>
      </c>
      <c r="F3684" s="2"/>
      <c r="G3684" s="1">
        <v>7662.25</v>
      </c>
      <c r="H3684" s="3"/>
      <c r="I3684" s="14" t="s">
        <v>4689</v>
      </c>
    </row>
    <row r="3685" spans="1:9" ht="18.75" customHeight="1" x14ac:dyDescent="0.4">
      <c r="A3685" s="14" t="s">
        <v>6352</v>
      </c>
      <c r="B3685" s="16" t="str">
        <f>TRIM("古市南住宅")</f>
        <v>古市南住宅</v>
      </c>
      <c r="C3685" s="14" t="s">
        <v>1517</v>
      </c>
      <c r="D3685" s="14" t="s">
        <v>539</v>
      </c>
      <c r="E3685" s="1">
        <v>10410.74</v>
      </c>
      <c r="F3685" s="2"/>
      <c r="G3685" s="1">
        <v>12238.98</v>
      </c>
      <c r="H3685" s="3"/>
      <c r="I3685" s="14" t="s">
        <v>6177</v>
      </c>
    </row>
    <row r="3686" spans="1:9" ht="18.75" customHeight="1" x14ac:dyDescent="0.4">
      <c r="A3686" s="14" t="s">
        <v>6353</v>
      </c>
      <c r="B3686" s="16" t="str">
        <f>TRIM("古市南第2住宅")</f>
        <v>古市南第2住宅</v>
      </c>
      <c r="C3686" s="14" t="s">
        <v>1517</v>
      </c>
      <c r="D3686" s="14" t="s">
        <v>539</v>
      </c>
      <c r="E3686" s="1">
        <v>7928.76</v>
      </c>
      <c r="F3686" s="2"/>
      <c r="G3686" s="1">
        <v>7798.57</v>
      </c>
      <c r="H3686" s="3"/>
      <c r="I3686" s="14" t="s">
        <v>6177</v>
      </c>
    </row>
    <row r="3687" spans="1:9" ht="18.75" customHeight="1" x14ac:dyDescent="0.4">
      <c r="A3687" s="14" t="s">
        <v>6354</v>
      </c>
      <c r="B3687" s="16" t="str">
        <f>TRIM("古市南第3住宅")</f>
        <v>古市南第3住宅</v>
      </c>
      <c r="C3687" s="14" t="s">
        <v>1517</v>
      </c>
      <c r="D3687" s="14" t="s">
        <v>539</v>
      </c>
      <c r="E3687" s="1">
        <v>3620.18</v>
      </c>
      <c r="F3687" s="2"/>
      <c r="G3687" s="1">
        <v>2263.88</v>
      </c>
      <c r="H3687" s="3"/>
      <c r="I3687" s="14" t="s">
        <v>6177</v>
      </c>
    </row>
    <row r="3688" spans="1:9" ht="18.75" customHeight="1" x14ac:dyDescent="0.4">
      <c r="A3688" s="14" t="s">
        <v>6714</v>
      </c>
      <c r="B3688" s="16" t="str">
        <f>TRIM("すみれ北住宅")</f>
        <v>すみれ北住宅</v>
      </c>
      <c r="C3688" s="14" t="s">
        <v>1517</v>
      </c>
      <c r="D3688" s="14" t="s">
        <v>539</v>
      </c>
      <c r="E3688" s="1">
        <v>3304.94</v>
      </c>
      <c r="F3688" s="2"/>
      <c r="G3688" s="1">
        <v>3127.17</v>
      </c>
      <c r="H3688" s="3"/>
      <c r="I3688" s="14" t="s">
        <v>6177</v>
      </c>
    </row>
    <row r="3689" spans="1:9" ht="18.75" customHeight="1" x14ac:dyDescent="0.4">
      <c r="A3689" s="14" t="s">
        <v>5731</v>
      </c>
      <c r="B3689" s="16" t="str">
        <f>TRIM("古市たいよう保育園")</f>
        <v>古市たいよう保育園</v>
      </c>
      <c r="C3689" s="14" t="s">
        <v>1517</v>
      </c>
      <c r="D3689" s="14" t="s">
        <v>539</v>
      </c>
      <c r="E3689" s="1">
        <v>965.69</v>
      </c>
      <c r="F3689" s="2"/>
      <c r="G3689" s="1"/>
      <c r="H3689" s="3"/>
      <c r="I3689" s="14" t="s">
        <v>5617</v>
      </c>
    </row>
    <row r="3690" spans="1:9" ht="18.75" customHeight="1" x14ac:dyDescent="0.4">
      <c r="A3690" s="14" t="s">
        <v>4564</v>
      </c>
      <c r="B3690" s="16" t="str">
        <f>TRIM("すみれ会館")</f>
        <v>すみれ会館</v>
      </c>
      <c r="C3690" s="14" t="s">
        <v>1517</v>
      </c>
      <c r="D3690" s="14" t="s">
        <v>709</v>
      </c>
      <c r="E3690" s="1">
        <v>179.31</v>
      </c>
      <c r="F3690" s="2"/>
      <c r="G3690" s="1">
        <v>86.89</v>
      </c>
      <c r="H3690" s="3"/>
      <c r="I3690" s="14" t="s">
        <v>1594</v>
      </c>
    </row>
    <row r="3691" spans="1:9" ht="18.75" customHeight="1" x14ac:dyDescent="0.4">
      <c r="A3691" s="14" t="s">
        <v>4694</v>
      </c>
      <c r="B3691" s="16" t="str">
        <f>TRIM("すみれ小学校")</f>
        <v>すみれ小学校</v>
      </c>
      <c r="C3691" s="14" t="s">
        <v>1517</v>
      </c>
      <c r="D3691" s="14" t="s">
        <v>709</v>
      </c>
      <c r="E3691" s="1">
        <v>11950.27</v>
      </c>
      <c r="F3691" s="2"/>
      <c r="G3691" s="1">
        <v>6952.8</v>
      </c>
      <c r="H3691" s="3"/>
      <c r="I3691" s="14" t="s">
        <v>4689</v>
      </c>
    </row>
    <row r="3692" spans="1:9" ht="18.75" customHeight="1" x14ac:dyDescent="0.4">
      <c r="A3692" s="14" t="s">
        <v>6351</v>
      </c>
      <c r="B3692" s="16" t="str">
        <f>TRIM("古市東住宅")</f>
        <v>古市東住宅</v>
      </c>
      <c r="C3692" s="14" t="s">
        <v>1517</v>
      </c>
      <c r="D3692" s="14" t="s">
        <v>709</v>
      </c>
      <c r="E3692" s="1">
        <v>41890.78</v>
      </c>
      <c r="F3692" s="2"/>
      <c r="G3692" s="1">
        <v>61599.64</v>
      </c>
      <c r="H3692" s="3"/>
      <c r="I3692" s="14" t="s">
        <v>6177</v>
      </c>
    </row>
    <row r="3693" spans="1:9" ht="18.75" customHeight="1" x14ac:dyDescent="0.4">
      <c r="A3693" s="14" t="s">
        <v>2675</v>
      </c>
      <c r="B3693" s="16" t="str">
        <f>TRIM("　古市中公園")</f>
        <v>古市中公園</v>
      </c>
      <c r="C3693" s="14" t="s">
        <v>1517</v>
      </c>
      <c r="D3693" s="14" t="s">
        <v>709</v>
      </c>
      <c r="E3693" s="1">
        <v>7572.54</v>
      </c>
      <c r="F3693" s="2"/>
      <c r="G3693" s="1"/>
      <c r="H3693" s="3"/>
      <c r="I3693" s="14" t="s">
        <v>2177</v>
      </c>
    </row>
    <row r="3694" spans="1:9" ht="18.75" customHeight="1" x14ac:dyDescent="0.4">
      <c r="A3694" s="14" t="s">
        <v>6254</v>
      </c>
      <c r="B3694" s="16" t="str">
        <f>TRIM("もと古市東住宅")</f>
        <v>もと古市東住宅</v>
      </c>
      <c r="C3694" s="14" t="s">
        <v>1517</v>
      </c>
      <c r="D3694" s="14" t="s">
        <v>709</v>
      </c>
      <c r="E3694" s="1">
        <v>3.72</v>
      </c>
      <c r="F3694" s="2"/>
      <c r="G3694" s="1"/>
      <c r="H3694" s="3"/>
      <c r="I3694" s="14" t="s">
        <v>6177</v>
      </c>
    </row>
    <row r="3695" spans="1:9" ht="18.75" customHeight="1" x14ac:dyDescent="0.4">
      <c r="A3695" s="14" t="s">
        <v>6355</v>
      </c>
      <c r="B3695" s="16" t="str">
        <f>TRIM("古市北住宅")</f>
        <v>古市北住宅</v>
      </c>
      <c r="C3695" s="14" t="s">
        <v>1517</v>
      </c>
      <c r="D3695" s="14" t="s">
        <v>297</v>
      </c>
      <c r="E3695" s="1">
        <v>7586.49</v>
      </c>
      <c r="F3695" s="2">
        <v>471</v>
      </c>
      <c r="G3695" s="1">
        <v>4669.6499999999996</v>
      </c>
      <c r="H3695" s="3"/>
      <c r="I3695" s="14" t="s">
        <v>6177</v>
      </c>
    </row>
    <row r="3696" spans="1:9" ht="18.75" customHeight="1" x14ac:dyDescent="0.4">
      <c r="A3696" s="14" t="s">
        <v>5593</v>
      </c>
      <c r="B3696" s="16" t="str">
        <f>TRIM("新森古市南用地")</f>
        <v>新森古市南用地</v>
      </c>
      <c r="C3696" s="14" t="s">
        <v>1517</v>
      </c>
      <c r="D3696" s="14" t="s">
        <v>297</v>
      </c>
      <c r="E3696" s="1">
        <v>192.64</v>
      </c>
      <c r="F3696" s="2">
        <v>919</v>
      </c>
      <c r="G3696" s="1"/>
      <c r="H3696" s="3"/>
      <c r="I3696" s="14" t="s">
        <v>5349</v>
      </c>
    </row>
    <row r="3697" spans="1:9" ht="18.75" customHeight="1" x14ac:dyDescent="0.4">
      <c r="A3697" s="14" t="s">
        <v>6356</v>
      </c>
      <c r="B3697" s="16" t="str">
        <f>TRIM("古市北第2住宅")</f>
        <v>古市北第2住宅</v>
      </c>
      <c r="C3697" s="14" t="s">
        <v>1517</v>
      </c>
      <c r="D3697" s="14" t="s">
        <v>297</v>
      </c>
      <c r="E3697" s="1">
        <v>2654.54</v>
      </c>
      <c r="F3697" s="2"/>
      <c r="G3697" s="1">
        <v>2219.41</v>
      </c>
      <c r="H3697" s="3"/>
      <c r="I3697" s="14" t="s">
        <v>6177</v>
      </c>
    </row>
    <row r="3698" spans="1:9" ht="18.75" customHeight="1" x14ac:dyDescent="0.4">
      <c r="A3698" s="14" t="s">
        <v>1759</v>
      </c>
      <c r="B3698" s="16" t="str">
        <f>TRIM("障がい福祉サービス事業所　フォーワーク")</f>
        <v>障がい福祉サービス事業所　フォーワーク</v>
      </c>
      <c r="C3698" s="14" t="s">
        <v>1517</v>
      </c>
      <c r="D3698" s="14" t="s">
        <v>297</v>
      </c>
      <c r="E3698" s="1">
        <v>352.97</v>
      </c>
      <c r="F3698" s="2"/>
      <c r="G3698" s="1"/>
      <c r="H3698" s="3"/>
      <c r="I3698" s="14" t="s">
        <v>1654</v>
      </c>
    </row>
    <row r="3699" spans="1:9" ht="18.75" customHeight="1" x14ac:dyDescent="0.4">
      <c r="A3699" s="14" t="s">
        <v>1983</v>
      </c>
      <c r="B3699" s="16" t="str">
        <f>TRIM("菫憩の家")</f>
        <v>菫憩の家</v>
      </c>
      <c r="C3699" s="14" t="s">
        <v>1517</v>
      </c>
      <c r="D3699" s="14" t="s">
        <v>297</v>
      </c>
      <c r="E3699" s="1">
        <v>212.86</v>
      </c>
      <c r="F3699" s="2"/>
      <c r="G3699" s="1"/>
      <c r="H3699" s="3"/>
      <c r="I3699" s="14" t="s">
        <v>1594</v>
      </c>
    </row>
    <row r="3700" spans="1:9" ht="18.75" customHeight="1" x14ac:dyDescent="0.4">
      <c r="A3700" s="14" t="s">
        <v>2674</v>
      </c>
      <c r="B3700" s="16" t="str">
        <f>TRIM("　古市西北公園")</f>
        <v>古市西北公園</v>
      </c>
      <c r="C3700" s="14" t="s">
        <v>1517</v>
      </c>
      <c r="D3700" s="14" t="s">
        <v>297</v>
      </c>
      <c r="E3700" s="1">
        <v>4802.7</v>
      </c>
      <c r="F3700" s="2"/>
      <c r="G3700" s="1"/>
      <c r="H3700" s="3"/>
      <c r="I3700" s="14" t="s">
        <v>2177</v>
      </c>
    </row>
    <row r="3701" spans="1:9" ht="18.75" customHeight="1" x14ac:dyDescent="0.4">
      <c r="A3701" s="14" t="s">
        <v>4095</v>
      </c>
      <c r="B3701" s="16" t="str">
        <f>TRIM("猫間川抽水所")</f>
        <v>猫間川抽水所</v>
      </c>
      <c r="C3701" s="14" t="s">
        <v>1517</v>
      </c>
      <c r="D3701" s="14" t="s">
        <v>687</v>
      </c>
      <c r="E3701" s="1">
        <v>6660.89</v>
      </c>
      <c r="F3701" s="2"/>
      <c r="G3701" s="1">
        <v>1089.02</v>
      </c>
      <c r="H3701" s="3"/>
      <c r="I3701" s="14" t="s">
        <v>2177</v>
      </c>
    </row>
    <row r="3702" spans="1:9" ht="18.75" customHeight="1" x14ac:dyDescent="0.4">
      <c r="A3702" s="14" t="s">
        <v>4886</v>
      </c>
      <c r="B3702" s="16" t="str">
        <f>TRIM("森之宮小学校")</f>
        <v>森之宮小学校</v>
      </c>
      <c r="C3702" s="14" t="s">
        <v>1517</v>
      </c>
      <c r="D3702" s="14" t="s">
        <v>687</v>
      </c>
      <c r="E3702" s="1">
        <v>9998</v>
      </c>
      <c r="F3702" s="2"/>
      <c r="G3702" s="1">
        <v>4260.24</v>
      </c>
      <c r="H3702" s="3"/>
      <c r="I3702" s="14" t="s">
        <v>4689</v>
      </c>
    </row>
    <row r="3703" spans="1:9" ht="18.75" customHeight="1" x14ac:dyDescent="0.4">
      <c r="A3703" s="14" t="s">
        <v>2286</v>
      </c>
      <c r="B3703" s="16" t="str">
        <f>TRIM("築港深江線（城東）（管財課）")</f>
        <v>築港深江線（城東）（管財課）</v>
      </c>
      <c r="C3703" s="14" t="s">
        <v>1517</v>
      </c>
      <c r="D3703" s="14" t="s">
        <v>687</v>
      </c>
      <c r="E3703" s="1">
        <v>3035.43</v>
      </c>
      <c r="F3703" s="2"/>
      <c r="G3703" s="1"/>
      <c r="H3703" s="3"/>
      <c r="I3703" s="14" t="s">
        <v>2177</v>
      </c>
    </row>
    <row r="3704" spans="1:9" ht="18.75" customHeight="1" x14ac:dyDescent="0.4">
      <c r="A3704" s="14" t="s">
        <v>3857</v>
      </c>
      <c r="B3704" s="16" t="str">
        <f>TRIM("森之宮駅自転車駐車場")</f>
        <v>森之宮駅自転車駐車場</v>
      </c>
      <c r="C3704" s="14" t="s">
        <v>1517</v>
      </c>
      <c r="D3704" s="14" t="s">
        <v>687</v>
      </c>
      <c r="E3704" s="1">
        <v>30.62</v>
      </c>
      <c r="F3704" s="2"/>
      <c r="G3704" s="1"/>
      <c r="H3704" s="3"/>
      <c r="I3704" s="14" t="s">
        <v>2177</v>
      </c>
    </row>
    <row r="3705" spans="1:9" ht="18.75" customHeight="1" x14ac:dyDescent="0.4">
      <c r="A3705" s="14" t="s">
        <v>4016</v>
      </c>
      <c r="B3705" s="16" t="str">
        <f>TRIM("下水道用地（城東）")</f>
        <v>下水道用地（城東）</v>
      </c>
      <c r="C3705" s="14" t="s">
        <v>1517</v>
      </c>
      <c r="D3705" s="14" t="s">
        <v>687</v>
      </c>
      <c r="E3705" s="1">
        <v>25636</v>
      </c>
      <c r="F3705" s="2"/>
      <c r="G3705" s="1"/>
      <c r="H3705" s="3"/>
      <c r="I3705" s="14" t="s">
        <v>2177</v>
      </c>
    </row>
    <row r="3706" spans="1:9" ht="18.75" customHeight="1" x14ac:dyDescent="0.4">
      <c r="A3706" s="14" t="s">
        <v>4075</v>
      </c>
      <c r="B3706" s="16" t="str">
        <f>TRIM("中浜西下水処理場")</f>
        <v>中浜西下水処理場</v>
      </c>
      <c r="C3706" s="14" t="s">
        <v>1517</v>
      </c>
      <c r="D3706" s="14" t="s">
        <v>9</v>
      </c>
      <c r="E3706" s="1">
        <v>41450.550000000003</v>
      </c>
      <c r="F3706" s="2"/>
      <c r="G3706" s="1">
        <v>3256.29</v>
      </c>
      <c r="H3706" s="3"/>
      <c r="I3706" s="14" t="s">
        <v>2177</v>
      </c>
    </row>
    <row r="3707" spans="1:9" ht="18.75" customHeight="1" x14ac:dyDescent="0.4">
      <c r="A3707" s="14" t="s">
        <v>6516</v>
      </c>
      <c r="B3707" s="16" t="str">
        <f>TRIM("中浜住宅")</f>
        <v>中浜住宅</v>
      </c>
      <c r="C3707" s="14" t="s">
        <v>1517</v>
      </c>
      <c r="D3707" s="14" t="s">
        <v>9</v>
      </c>
      <c r="E3707" s="1">
        <v>4121.62</v>
      </c>
      <c r="F3707" s="2"/>
      <c r="G3707" s="1">
        <v>1996.51</v>
      </c>
      <c r="H3707" s="3"/>
      <c r="I3707" s="14" t="s">
        <v>6177</v>
      </c>
    </row>
    <row r="3708" spans="1:9" ht="18.75" customHeight="1" x14ac:dyDescent="0.4">
      <c r="A3708" s="14" t="s">
        <v>6089</v>
      </c>
      <c r="B3708" s="16" t="str">
        <f>TRIM("森之宮第２団地一般廃棄物保管施設")</f>
        <v>森之宮第２団地一般廃棄物保管施設</v>
      </c>
      <c r="C3708" s="14" t="s">
        <v>1517</v>
      </c>
      <c r="D3708" s="14" t="s">
        <v>9</v>
      </c>
      <c r="E3708" s="1"/>
      <c r="F3708" s="2"/>
      <c r="G3708" s="1">
        <v>180.1</v>
      </c>
      <c r="H3708" s="3"/>
      <c r="I3708" s="14" t="s">
        <v>5977</v>
      </c>
    </row>
    <row r="3709" spans="1:9" ht="18.75" customHeight="1" x14ac:dyDescent="0.4">
      <c r="A3709" s="14" t="s">
        <v>6096</v>
      </c>
      <c r="B3709" s="16" t="str">
        <f>TRIM("森の宮パークサイドコーポ一般廃棄物保管施設")</f>
        <v>森の宮パークサイドコーポ一般廃棄物保管施設</v>
      </c>
      <c r="C3709" s="14" t="s">
        <v>1517</v>
      </c>
      <c r="D3709" s="14" t="s">
        <v>9</v>
      </c>
      <c r="E3709" s="1"/>
      <c r="F3709" s="2"/>
      <c r="G3709" s="1">
        <v>36.770000000000003</v>
      </c>
      <c r="H3709" s="3"/>
      <c r="I3709" s="14" t="s">
        <v>5977</v>
      </c>
    </row>
    <row r="3710" spans="1:9" ht="18.75" customHeight="1" x14ac:dyDescent="0.4">
      <c r="A3710" s="14" t="s">
        <v>4735</v>
      </c>
      <c r="B3710" s="16" t="str">
        <f>TRIM("榎本小学校")</f>
        <v>榎本小学校</v>
      </c>
      <c r="C3710" s="14" t="s">
        <v>1531</v>
      </c>
      <c r="D3710" s="14" t="s">
        <v>527</v>
      </c>
      <c r="E3710" s="1">
        <v>15894.04</v>
      </c>
      <c r="F3710" s="2"/>
      <c r="G3710" s="1">
        <v>8436.9699999999993</v>
      </c>
      <c r="H3710" s="3"/>
      <c r="I3710" s="14" t="s">
        <v>4689</v>
      </c>
    </row>
    <row r="3711" spans="1:9" ht="18.75" customHeight="1" x14ac:dyDescent="0.4">
      <c r="A3711" s="14" t="s">
        <v>5824</v>
      </c>
      <c r="B3711" s="16" t="str">
        <f>TRIM("榎本幼稚園")</f>
        <v>榎本幼稚園</v>
      </c>
      <c r="C3711" s="14" t="s">
        <v>1531</v>
      </c>
      <c r="D3711" s="14" t="s">
        <v>527</v>
      </c>
      <c r="E3711" s="1">
        <v>2232</v>
      </c>
      <c r="F3711" s="2"/>
      <c r="G3711" s="1">
        <v>685.66</v>
      </c>
      <c r="H3711" s="3"/>
      <c r="I3711" s="14" t="s">
        <v>5617</v>
      </c>
    </row>
    <row r="3712" spans="1:9" ht="18.75" customHeight="1" x14ac:dyDescent="0.4">
      <c r="A3712" s="14" t="s">
        <v>2582</v>
      </c>
      <c r="B3712" s="16" t="str">
        <f>TRIM("　榎本公園")</f>
        <v>榎本公園</v>
      </c>
      <c r="C3712" s="14" t="s">
        <v>1531</v>
      </c>
      <c r="D3712" s="14" t="s">
        <v>527</v>
      </c>
      <c r="E3712" s="1">
        <v>1487.64</v>
      </c>
      <c r="F3712" s="2"/>
      <c r="G3712" s="1"/>
      <c r="H3712" s="3"/>
      <c r="I3712" s="14" t="s">
        <v>2177</v>
      </c>
    </row>
    <row r="3713" spans="1:9" ht="18.75" customHeight="1" x14ac:dyDescent="0.4">
      <c r="A3713" s="14" t="s">
        <v>6377</v>
      </c>
      <c r="B3713" s="16" t="str">
        <f>TRIM("今津北住宅")</f>
        <v>今津北住宅</v>
      </c>
      <c r="C3713" s="14" t="s">
        <v>1531</v>
      </c>
      <c r="D3713" s="14" t="s">
        <v>747</v>
      </c>
      <c r="E3713" s="1">
        <v>9936.06</v>
      </c>
      <c r="F3713" s="2"/>
      <c r="G3713" s="1">
        <v>10280.700000000001</v>
      </c>
      <c r="H3713" s="3"/>
      <c r="I3713" s="14" t="s">
        <v>6177</v>
      </c>
    </row>
    <row r="3714" spans="1:9" ht="18.75" customHeight="1" x14ac:dyDescent="0.4">
      <c r="A3714" s="14" t="s">
        <v>2725</v>
      </c>
      <c r="B3714" s="16" t="str">
        <f>TRIM("　今津東公園")</f>
        <v>今津東公園</v>
      </c>
      <c r="C3714" s="14" t="s">
        <v>1531</v>
      </c>
      <c r="D3714" s="14" t="s">
        <v>1048</v>
      </c>
      <c r="E3714" s="1">
        <v>2208.66</v>
      </c>
      <c r="F3714" s="2"/>
      <c r="G3714" s="1"/>
      <c r="H3714" s="3"/>
      <c r="I3714" s="14" t="s">
        <v>2177</v>
      </c>
    </row>
    <row r="3715" spans="1:9" ht="18.75" customHeight="1" x14ac:dyDescent="0.4">
      <c r="A3715" s="14" t="s">
        <v>2238</v>
      </c>
      <c r="B3715" s="16" t="str">
        <f>TRIM("石切大阪線（鶴見）（管財課）")</f>
        <v>石切大阪線（鶴見）（管財課）</v>
      </c>
      <c r="C3715" s="14" t="s">
        <v>1531</v>
      </c>
      <c r="D3715" s="14" t="s">
        <v>922</v>
      </c>
      <c r="E3715" s="1">
        <v>3940.81</v>
      </c>
      <c r="F3715" s="2"/>
      <c r="G3715" s="1"/>
      <c r="H3715" s="3"/>
      <c r="I3715" s="14" t="s">
        <v>2177</v>
      </c>
    </row>
    <row r="3716" spans="1:9" ht="18.75" customHeight="1" x14ac:dyDescent="0.4">
      <c r="A3716" s="14" t="s">
        <v>2328</v>
      </c>
      <c r="B3716" s="16" t="str">
        <f>TRIM("八尾茨木線（鶴見）（管財課）")</f>
        <v>八尾茨木線（鶴見）（管財課）</v>
      </c>
      <c r="C3716" s="14" t="s">
        <v>1531</v>
      </c>
      <c r="D3716" s="14" t="s">
        <v>922</v>
      </c>
      <c r="E3716" s="1">
        <v>8.9499999999999993</v>
      </c>
      <c r="F3716" s="2"/>
      <c r="G3716" s="1"/>
      <c r="H3716" s="3"/>
      <c r="I3716" s="14" t="s">
        <v>2177</v>
      </c>
    </row>
    <row r="3717" spans="1:9" ht="18.75" customHeight="1" x14ac:dyDescent="0.4">
      <c r="A3717" s="14" t="s">
        <v>5717</v>
      </c>
      <c r="B3717" s="16" t="str">
        <f>TRIM("にじのき保育園")</f>
        <v>にじのき保育園</v>
      </c>
      <c r="C3717" s="14" t="s">
        <v>1531</v>
      </c>
      <c r="D3717" s="14" t="s">
        <v>532</v>
      </c>
      <c r="E3717" s="1">
        <v>1824.13</v>
      </c>
      <c r="F3717" s="2" t="s">
        <v>7269</v>
      </c>
      <c r="G3717" s="1">
        <v>367.32</v>
      </c>
      <c r="H3717" s="3"/>
      <c r="I3717" s="14" t="s">
        <v>5617</v>
      </c>
    </row>
    <row r="3718" spans="1:9" ht="18.75" customHeight="1" x14ac:dyDescent="0.4">
      <c r="A3718" s="14" t="s">
        <v>4818</v>
      </c>
      <c r="B3718" s="16" t="str">
        <f>TRIM("今津中学校")</f>
        <v>今津中学校</v>
      </c>
      <c r="C3718" s="14" t="s">
        <v>1531</v>
      </c>
      <c r="D3718" s="14" t="s">
        <v>532</v>
      </c>
      <c r="E3718" s="1">
        <v>14926.47</v>
      </c>
      <c r="F3718" s="2"/>
      <c r="G3718" s="1">
        <v>7832.48</v>
      </c>
      <c r="H3718" s="3"/>
      <c r="I3718" s="14" t="s">
        <v>4689</v>
      </c>
    </row>
    <row r="3719" spans="1:9" ht="18.75" customHeight="1" x14ac:dyDescent="0.4">
      <c r="A3719" s="14" t="s">
        <v>2583</v>
      </c>
      <c r="B3719" s="16" t="str">
        <f>TRIM("　榎本南公園")</f>
        <v>榎本南公園</v>
      </c>
      <c r="C3719" s="14" t="s">
        <v>1531</v>
      </c>
      <c r="D3719" s="14" t="s">
        <v>532</v>
      </c>
      <c r="E3719" s="1">
        <v>1211.43</v>
      </c>
      <c r="F3719" s="2"/>
      <c r="G3719" s="1"/>
      <c r="H3719" s="3"/>
      <c r="I3719" s="14" t="s">
        <v>2177</v>
      </c>
    </row>
    <row r="3720" spans="1:9" ht="18.75" customHeight="1" x14ac:dyDescent="0.4">
      <c r="A3720" s="14" t="s">
        <v>4589</v>
      </c>
      <c r="B3720" s="16" t="str">
        <f>TRIM("榎本地域集会所")</f>
        <v>榎本地域集会所</v>
      </c>
      <c r="C3720" s="14" t="s">
        <v>1531</v>
      </c>
      <c r="D3720" s="14" t="s">
        <v>532</v>
      </c>
      <c r="E3720" s="1">
        <v>619.5</v>
      </c>
      <c r="F3720" s="2"/>
      <c r="G3720" s="1"/>
      <c r="H3720" s="3"/>
      <c r="I3720" s="14" t="s">
        <v>1992</v>
      </c>
    </row>
    <row r="3721" spans="1:9" ht="18.75" customHeight="1" x14ac:dyDescent="0.4">
      <c r="A3721" s="14" t="s">
        <v>5678</v>
      </c>
      <c r="B3721" s="16" t="str">
        <f>TRIM("もと鶴見勤労青少年ホーム")</f>
        <v>もと鶴見勤労青少年ホーム</v>
      </c>
      <c r="C3721" s="14" t="s">
        <v>1531</v>
      </c>
      <c r="D3721" s="14" t="s">
        <v>532</v>
      </c>
      <c r="E3721" s="1"/>
      <c r="F3721" s="2"/>
      <c r="G3721" s="1">
        <v>649.98</v>
      </c>
      <c r="H3721" s="3" t="s">
        <v>7353</v>
      </c>
      <c r="I3721" s="14" t="s">
        <v>5617</v>
      </c>
    </row>
    <row r="3722" spans="1:9" ht="18.75" customHeight="1" x14ac:dyDescent="0.4">
      <c r="A3722" s="14" t="s">
        <v>2724</v>
      </c>
      <c r="B3722" s="16" t="str">
        <f>TRIM("　今津公園")</f>
        <v>今津公園</v>
      </c>
      <c r="C3722" s="14" t="s">
        <v>1531</v>
      </c>
      <c r="D3722" s="14" t="s">
        <v>1047</v>
      </c>
      <c r="E3722" s="1">
        <v>22327.14</v>
      </c>
      <c r="F3722" s="2"/>
      <c r="G3722" s="1"/>
      <c r="H3722" s="3"/>
      <c r="I3722" s="14" t="s">
        <v>2177</v>
      </c>
    </row>
    <row r="3723" spans="1:9" ht="18.75" customHeight="1" x14ac:dyDescent="0.4">
      <c r="A3723" s="14" t="s">
        <v>3557</v>
      </c>
      <c r="B3723" s="16" t="str">
        <f>TRIM("　今津公園")</f>
        <v>今津公園</v>
      </c>
      <c r="C3723" s="14" t="s">
        <v>1531</v>
      </c>
      <c r="D3723" s="14" t="s">
        <v>1047</v>
      </c>
      <c r="E3723" s="1"/>
      <c r="F3723" s="2"/>
      <c r="G3723" s="1">
        <v>40.44</v>
      </c>
      <c r="H3723" s="3"/>
      <c r="I3723" s="14" t="s">
        <v>2177</v>
      </c>
    </row>
    <row r="3724" spans="1:9" ht="18.75" customHeight="1" x14ac:dyDescent="0.4">
      <c r="A3724" s="14" t="s">
        <v>5857</v>
      </c>
      <c r="B3724" s="16" t="str">
        <f>TRIM("今津保育所")</f>
        <v>今津保育所</v>
      </c>
      <c r="C3724" s="14" t="s">
        <v>1531</v>
      </c>
      <c r="D3724" s="14" t="s">
        <v>571</v>
      </c>
      <c r="E3724" s="1">
        <v>1078.79</v>
      </c>
      <c r="F3724" s="2"/>
      <c r="G3724" s="1">
        <v>485.69</v>
      </c>
      <c r="H3724" s="3"/>
      <c r="I3724" s="14" t="s">
        <v>5617</v>
      </c>
    </row>
    <row r="3725" spans="1:9" ht="18.75" customHeight="1" x14ac:dyDescent="0.4">
      <c r="A3725" s="14" t="s">
        <v>6376</v>
      </c>
      <c r="B3725" s="16" t="str">
        <f>TRIM("今津中住宅")</f>
        <v>今津中住宅</v>
      </c>
      <c r="C3725" s="14" t="s">
        <v>1531</v>
      </c>
      <c r="D3725" s="14" t="s">
        <v>571</v>
      </c>
      <c r="E3725" s="1">
        <v>17197.66</v>
      </c>
      <c r="F3725" s="2"/>
      <c r="G3725" s="1">
        <v>23748.240000000002</v>
      </c>
      <c r="H3725" s="3"/>
      <c r="I3725" s="14" t="s">
        <v>6177</v>
      </c>
    </row>
    <row r="3726" spans="1:9" ht="18.75" customHeight="1" x14ac:dyDescent="0.4">
      <c r="A3726" s="14" t="s">
        <v>4817</v>
      </c>
      <c r="B3726" s="16" t="str">
        <f>TRIM("今津小学校")</f>
        <v>今津小学校</v>
      </c>
      <c r="C3726" s="14" t="s">
        <v>1531</v>
      </c>
      <c r="D3726" s="14" t="s">
        <v>1395</v>
      </c>
      <c r="E3726" s="1">
        <v>12388.33</v>
      </c>
      <c r="F3726" s="2"/>
      <c r="G3726" s="1">
        <v>5989.07</v>
      </c>
      <c r="H3726" s="3"/>
      <c r="I3726" s="14" t="s">
        <v>4689</v>
      </c>
    </row>
    <row r="3727" spans="1:9" ht="18.75" customHeight="1" x14ac:dyDescent="0.4">
      <c r="A3727" s="14" t="s">
        <v>5276</v>
      </c>
      <c r="B3727" s="16" t="str">
        <f>TRIM("鶴見消防署今津出張所")</f>
        <v>鶴見消防署今津出張所</v>
      </c>
      <c r="C3727" s="14" t="s">
        <v>1531</v>
      </c>
      <c r="D3727" s="14" t="s">
        <v>380</v>
      </c>
      <c r="E3727" s="1">
        <v>405.95</v>
      </c>
      <c r="F3727" s="2"/>
      <c r="G3727" s="1">
        <v>227.89</v>
      </c>
      <c r="H3727" s="3"/>
      <c r="I3727" s="14" t="s">
        <v>5219</v>
      </c>
    </row>
    <row r="3728" spans="1:9" ht="18.75" customHeight="1" x14ac:dyDescent="0.4">
      <c r="A3728" s="14" t="s">
        <v>1874</v>
      </c>
      <c r="B3728" s="16" t="str">
        <f>TRIM("今津地域在宅サービスステーション")</f>
        <v>今津地域在宅サービスステーション</v>
      </c>
      <c r="C3728" s="14" t="s">
        <v>1531</v>
      </c>
      <c r="D3728" s="14" t="s">
        <v>380</v>
      </c>
      <c r="E3728" s="1">
        <v>750.8</v>
      </c>
      <c r="F3728" s="2"/>
      <c r="G3728" s="1"/>
      <c r="H3728" s="3"/>
      <c r="I3728" s="14" t="s">
        <v>1654</v>
      </c>
    </row>
    <row r="3729" spans="1:9" ht="18.75" customHeight="1" x14ac:dyDescent="0.4">
      <c r="A3729" s="14" t="s">
        <v>5753</v>
      </c>
      <c r="B3729" s="16" t="str">
        <f>TRIM("鶴見えのもと保育園")</f>
        <v>鶴見えのもと保育園</v>
      </c>
      <c r="C3729" s="14" t="s">
        <v>1531</v>
      </c>
      <c r="D3729" s="14" t="s">
        <v>380</v>
      </c>
      <c r="E3729" s="1">
        <v>272.88</v>
      </c>
      <c r="F3729" s="2"/>
      <c r="G3729" s="1"/>
      <c r="H3729" s="3"/>
      <c r="I3729" s="14" t="s">
        <v>5617</v>
      </c>
    </row>
    <row r="3730" spans="1:9" ht="18.75" customHeight="1" x14ac:dyDescent="0.4">
      <c r="A3730" s="14" t="s">
        <v>5975</v>
      </c>
      <c r="B3730" s="16" t="str">
        <f>TRIM("（仮称）東部こども相談センター建設用地")</f>
        <v>（仮称）東部こども相談センター建設用地</v>
      </c>
      <c r="C3730" s="14" t="s">
        <v>1531</v>
      </c>
      <c r="D3730" s="14" t="s">
        <v>380</v>
      </c>
      <c r="E3730" s="1">
        <v>2358.8200000000002</v>
      </c>
      <c r="F3730" s="2"/>
      <c r="G3730" s="1"/>
      <c r="H3730" s="3"/>
      <c r="I3730" s="14" t="s">
        <v>5617</v>
      </c>
    </row>
    <row r="3731" spans="1:9" ht="18.75" customHeight="1" x14ac:dyDescent="0.4">
      <c r="A3731" s="14" t="s">
        <v>5985</v>
      </c>
      <c r="B3731" s="16" t="str">
        <f>TRIM("公害工場跡地（坂本興業）")</f>
        <v>公害工場跡地（坂本興業）</v>
      </c>
      <c r="C3731" s="14" t="s">
        <v>1531</v>
      </c>
      <c r="D3731" s="14" t="s">
        <v>380</v>
      </c>
      <c r="E3731" s="1">
        <v>646.26</v>
      </c>
      <c r="F3731" s="2"/>
      <c r="G3731" s="1"/>
      <c r="H3731" s="3"/>
      <c r="I3731" s="14" t="s">
        <v>5977</v>
      </c>
    </row>
    <row r="3732" spans="1:9" ht="18.75" customHeight="1" x14ac:dyDescent="0.4">
      <c r="A3732" s="14" t="s">
        <v>6118</v>
      </c>
      <c r="B3732" s="16" t="str">
        <f>TRIM("今津霊園")</f>
        <v>今津霊園</v>
      </c>
      <c r="C3732" s="14" t="s">
        <v>1531</v>
      </c>
      <c r="D3732" s="14" t="s">
        <v>380</v>
      </c>
      <c r="E3732" s="1">
        <v>1177.6300000000001</v>
      </c>
      <c r="F3732" s="2"/>
      <c r="G3732" s="1"/>
      <c r="H3732" s="3"/>
      <c r="I3732" s="14" t="s">
        <v>5977</v>
      </c>
    </row>
    <row r="3733" spans="1:9" ht="18.75" customHeight="1" x14ac:dyDescent="0.4">
      <c r="A3733" s="14" t="s">
        <v>2726</v>
      </c>
      <c r="B3733" s="16" t="str">
        <f>TRIM("　今津南公園")</f>
        <v>今津南公園</v>
      </c>
      <c r="C3733" s="14" t="s">
        <v>1531</v>
      </c>
      <c r="D3733" s="14" t="s">
        <v>1049</v>
      </c>
      <c r="E3733" s="1">
        <v>7514.32</v>
      </c>
      <c r="F3733" s="2"/>
      <c r="G3733" s="1"/>
      <c r="H3733" s="3"/>
      <c r="I3733" s="14" t="s">
        <v>2177</v>
      </c>
    </row>
    <row r="3734" spans="1:9" ht="18.75" customHeight="1" x14ac:dyDescent="0.4">
      <c r="A3734" s="14" t="s">
        <v>6150</v>
      </c>
      <c r="B3734" s="16" t="str">
        <f>TRIM("鶴見斎場")</f>
        <v>鶴見斎場</v>
      </c>
      <c r="C3734" s="14" t="s">
        <v>1531</v>
      </c>
      <c r="D3734" s="14" t="s">
        <v>660</v>
      </c>
      <c r="E3734" s="1">
        <v>4916.88</v>
      </c>
      <c r="F3734" s="2"/>
      <c r="G3734" s="1">
        <v>2718.12</v>
      </c>
      <c r="H3734" s="3"/>
      <c r="I3734" s="14" t="s">
        <v>5977</v>
      </c>
    </row>
    <row r="3735" spans="1:9" ht="18.75" customHeight="1" x14ac:dyDescent="0.4">
      <c r="A3735" s="14" t="s">
        <v>2325</v>
      </c>
      <c r="B3735" s="16" t="str">
        <f>TRIM("廃道（鶴見）")</f>
        <v>廃道（鶴見）</v>
      </c>
      <c r="C3735" s="14" t="s">
        <v>1531</v>
      </c>
      <c r="D3735" s="14" t="s">
        <v>660</v>
      </c>
      <c r="E3735" s="1">
        <v>108.89</v>
      </c>
      <c r="F3735" s="2"/>
      <c r="G3735" s="1"/>
      <c r="H3735" s="3"/>
      <c r="I3735" s="14" t="s">
        <v>2177</v>
      </c>
    </row>
    <row r="3736" spans="1:9" ht="18.75" customHeight="1" x14ac:dyDescent="0.4">
      <c r="A3736" s="14" t="s">
        <v>3083</v>
      </c>
      <c r="B3736" s="16" t="str">
        <f>TRIM("　鶴見1公園")</f>
        <v>鶴見1公園</v>
      </c>
      <c r="C3736" s="14" t="s">
        <v>1531</v>
      </c>
      <c r="D3736" s="14" t="s">
        <v>660</v>
      </c>
      <c r="E3736" s="1">
        <v>970.3</v>
      </c>
      <c r="F3736" s="2"/>
      <c r="G3736" s="1"/>
      <c r="H3736" s="3"/>
      <c r="I3736" s="14" t="s">
        <v>2177</v>
      </c>
    </row>
    <row r="3737" spans="1:9" ht="18.75" customHeight="1" x14ac:dyDescent="0.4">
      <c r="A3737" s="14" t="s">
        <v>3702</v>
      </c>
      <c r="B3737" s="16" t="str">
        <f>TRIM("鶴見中央公園")</f>
        <v>鶴見中央公園</v>
      </c>
      <c r="C3737" s="14" t="s">
        <v>1531</v>
      </c>
      <c r="D3737" s="14" t="s">
        <v>660</v>
      </c>
      <c r="E3737" s="1"/>
      <c r="F3737" s="2"/>
      <c r="G3737" s="1">
        <v>21.12</v>
      </c>
      <c r="H3737" s="3"/>
      <c r="I3737" s="14" t="s">
        <v>2177</v>
      </c>
    </row>
    <row r="3738" spans="1:9" ht="18.75" customHeight="1" x14ac:dyDescent="0.4">
      <c r="A3738" s="14" t="s">
        <v>4997</v>
      </c>
      <c r="B3738" s="16" t="str">
        <f>TRIM("鶴見南小学校")</f>
        <v>鶴見南小学校</v>
      </c>
      <c r="C3738" s="14" t="s">
        <v>1531</v>
      </c>
      <c r="D3738" s="14" t="s">
        <v>263</v>
      </c>
      <c r="E3738" s="1">
        <v>11281.13</v>
      </c>
      <c r="F3738" s="2"/>
      <c r="G3738" s="1">
        <v>7981.59</v>
      </c>
      <c r="H3738" s="3"/>
      <c r="I3738" s="14" t="s">
        <v>4689</v>
      </c>
    </row>
    <row r="3739" spans="1:9" ht="18.75" customHeight="1" x14ac:dyDescent="0.4">
      <c r="A3739" s="14" t="s">
        <v>6551</v>
      </c>
      <c r="B3739" s="16" t="str">
        <f>TRIM("鶴見住宅")</f>
        <v>鶴見住宅</v>
      </c>
      <c r="C3739" s="14" t="s">
        <v>1531</v>
      </c>
      <c r="D3739" s="14" t="s">
        <v>263</v>
      </c>
      <c r="E3739" s="1">
        <v>39191.769999999997</v>
      </c>
      <c r="F3739" s="2"/>
      <c r="G3739" s="1">
        <v>37805.21</v>
      </c>
      <c r="H3739" s="3"/>
      <c r="I3739" s="14" t="s">
        <v>6177</v>
      </c>
    </row>
    <row r="3740" spans="1:9" ht="18.75" customHeight="1" x14ac:dyDescent="0.4">
      <c r="A3740" s="14" t="s">
        <v>6552</v>
      </c>
      <c r="B3740" s="16" t="str">
        <f>TRIM("鶴見第2住宅")</f>
        <v>鶴見第2住宅</v>
      </c>
      <c r="C3740" s="14" t="s">
        <v>1531</v>
      </c>
      <c r="D3740" s="14" t="s">
        <v>263</v>
      </c>
      <c r="E3740" s="1">
        <v>26118.78</v>
      </c>
      <c r="F3740" s="2"/>
      <c r="G3740" s="1">
        <v>23710.86</v>
      </c>
      <c r="H3740" s="3"/>
      <c r="I3740" s="14" t="s">
        <v>6177</v>
      </c>
    </row>
    <row r="3741" spans="1:9" ht="18.75" customHeight="1" x14ac:dyDescent="0.4">
      <c r="A3741" s="14" t="s">
        <v>2102</v>
      </c>
      <c r="B3741" s="16" t="str">
        <f>TRIM("鶴見地域集会所")</f>
        <v>鶴見地域集会所</v>
      </c>
      <c r="C3741" s="14" t="s">
        <v>1531</v>
      </c>
      <c r="D3741" s="14" t="s">
        <v>263</v>
      </c>
      <c r="E3741" s="1">
        <v>273.95999999999998</v>
      </c>
      <c r="F3741" s="2"/>
      <c r="G3741" s="1"/>
      <c r="H3741" s="3"/>
      <c r="I3741" s="14" t="s">
        <v>1992</v>
      </c>
    </row>
    <row r="3742" spans="1:9" ht="18.75" customHeight="1" x14ac:dyDescent="0.4">
      <c r="A3742" s="14" t="s">
        <v>2223</v>
      </c>
      <c r="B3742" s="16" t="str">
        <f>TRIM("国道４７９号（鶴見）（管財課）")</f>
        <v>国道４７９号（鶴見）（管財課）</v>
      </c>
      <c r="C3742" s="14" t="s">
        <v>1531</v>
      </c>
      <c r="D3742" s="14" t="s">
        <v>263</v>
      </c>
      <c r="E3742" s="1">
        <v>25119.55</v>
      </c>
      <c r="F3742" s="2"/>
      <c r="G3742" s="1"/>
      <c r="H3742" s="3"/>
      <c r="I3742" s="14" t="s">
        <v>2177</v>
      </c>
    </row>
    <row r="3743" spans="1:9" ht="18.75" customHeight="1" x14ac:dyDescent="0.4">
      <c r="A3743" s="14" t="s">
        <v>3089</v>
      </c>
      <c r="B3743" s="16" t="str">
        <f>TRIM("　鶴見南公園")</f>
        <v>鶴見南公園</v>
      </c>
      <c r="C3743" s="14" t="s">
        <v>1531</v>
      </c>
      <c r="D3743" s="14" t="s">
        <v>263</v>
      </c>
      <c r="E3743" s="1">
        <v>515.62</v>
      </c>
      <c r="F3743" s="2"/>
      <c r="G3743" s="1"/>
      <c r="H3743" s="3"/>
      <c r="I3743" s="14" t="s">
        <v>2177</v>
      </c>
    </row>
    <row r="3744" spans="1:9" ht="18.75" customHeight="1" x14ac:dyDescent="0.4">
      <c r="A3744" s="14" t="s">
        <v>5544</v>
      </c>
      <c r="B3744" s="16" t="str">
        <f>TRIM("廃道（鶴見）")</f>
        <v>廃道（鶴見）</v>
      </c>
      <c r="C3744" s="14" t="s">
        <v>1531</v>
      </c>
      <c r="D3744" s="14" t="s">
        <v>263</v>
      </c>
      <c r="E3744" s="1">
        <v>107.2</v>
      </c>
      <c r="F3744" s="2"/>
      <c r="G3744" s="1"/>
      <c r="H3744" s="3"/>
      <c r="I3744" s="14" t="s">
        <v>5349</v>
      </c>
    </row>
    <row r="3745" spans="1:9" ht="18.75" customHeight="1" x14ac:dyDescent="0.4">
      <c r="A3745" s="14" t="s">
        <v>6192</v>
      </c>
      <c r="B3745" s="16" t="str">
        <f>TRIM("今福住宅用地")</f>
        <v>今福住宅用地</v>
      </c>
      <c r="C3745" s="14" t="s">
        <v>1531</v>
      </c>
      <c r="D3745" s="14" t="s">
        <v>263</v>
      </c>
      <c r="E3745" s="1">
        <v>894.88</v>
      </c>
      <c r="F3745" s="2"/>
      <c r="G3745" s="1"/>
      <c r="H3745" s="3"/>
      <c r="I3745" s="14" t="s">
        <v>6177</v>
      </c>
    </row>
    <row r="3746" spans="1:9" ht="18.75" customHeight="1" x14ac:dyDescent="0.4">
      <c r="A3746" s="14" t="s">
        <v>4996</v>
      </c>
      <c r="B3746" s="16" t="str">
        <f>TRIM("鶴見小学校")</f>
        <v>鶴見小学校</v>
      </c>
      <c r="C3746" s="14" t="s">
        <v>1531</v>
      </c>
      <c r="D3746" s="14" t="s">
        <v>800</v>
      </c>
      <c r="E3746" s="1">
        <v>11475.73</v>
      </c>
      <c r="F3746" s="2"/>
      <c r="G3746" s="1">
        <v>6220.37</v>
      </c>
      <c r="H3746" s="3"/>
      <c r="I3746" s="14" t="s">
        <v>4689</v>
      </c>
    </row>
    <row r="3747" spans="1:9" ht="18.75" customHeight="1" x14ac:dyDescent="0.4">
      <c r="A3747" s="14" t="s">
        <v>3090</v>
      </c>
      <c r="B3747" s="16" t="str">
        <f>TRIM("　鶴見北公園")</f>
        <v>鶴見北公園</v>
      </c>
      <c r="C3747" s="14" t="s">
        <v>1531</v>
      </c>
      <c r="D3747" s="14" t="s">
        <v>800</v>
      </c>
      <c r="E3747" s="1">
        <v>1480.49</v>
      </c>
      <c r="F3747" s="2"/>
      <c r="G3747" s="1"/>
      <c r="H3747" s="3"/>
      <c r="I3747" s="14" t="s">
        <v>2177</v>
      </c>
    </row>
    <row r="3748" spans="1:9" ht="18.75" customHeight="1" x14ac:dyDescent="0.4">
      <c r="A3748" s="14" t="s">
        <v>3481</v>
      </c>
      <c r="B3748" s="16" t="str">
        <f>TRIM("鶴見北中央公園")</f>
        <v>鶴見北中央公園</v>
      </c>
      <c r="C3748" s="14" t="s">
        <v>1531</v>
      </c>
      <c r="D3748" s="14" t="s">
        <v>800</v>
      </c>
      <c r="E3748" s="1">
        <v>2278.31</v>
      </c>
      <c r="F3748" s="2"/>
      <c r="G3748" s="1"/>
      <c r="H3748" s="3"/>
      <c r="I3748" s="14" t="s">
        <v>2177</v>
      </c>
    </row>
    <row r="3749" spans="1:9" ht="18.75" customHeight="1" x14ac:dyDescent="0.4">
      <c r="A3749" s="14" t="s">
        <v>6553</v>
      </c>
      <c r="B3749" s="16" t="str">
        <f>TRIM("鶴見北住宅")</f>
        <v>鶴見北住宅</v>
      </c>
      <c r="C3749" s="14" t="s">
        <v>1531</v>
      </c>
      <c r="D3749" s="14" t="s">
        <v>1464</v>
      </c>
      <c r="E3749" s="1">
        <v>30501.14</v>
      </c>
      <c r="F3749" s="2">
        <v>474</v>
      </c>
      <c r="G3749" s="1">
        <v>39812.07</v>
      </c>
      <c r="H3749" s="3"/>
      <c r="I3749" s="14" t="s">
        <v>6177</v>
      </c>
    </row>
    <row r="3750" spans="1:9" ht="18.75" customHeight="1" x14ac:dyDescent="0.4">
      <c r="A3750" s="14" t="s">
        <v>2101</v>
      </c>
      <c r="B3750" s="16" t="str">
        <f>TRIM("鶴見北地域集会所")</f>
        <v>鶴見北地域集会所</v>
      </c>
      <c r="C3750" s="14" t="s">
        <v>1531</v>
      </c>
      <c r="D3750" s="14" t="s">
        <v>1464</v>
      </c>
      <c r="E3750" s="1">
        <v>248.77</v>
      </c>
      <c r="F3750" s="2"/>
      <c r="G3750" s="1"/>
      <c r="H3750" s="3"/>
      <c r="I3750" s="14" t="s">
        <v>1992</v>
      </c>
    </row>
    <row r="3751" spans="1:9" ht="18.75" customHeight="1" x14ac:dyDescent="0.4">
      <c r="A3751" s="14" t="s">
        <v>5142</v>
      </c>
      <c r="B3751" s="16" t="str">
        <f>TRIM("緑中学校")</f>
        <v>緑中学校</v>
      </c>
      <c r="C3751" s="14" t="s">
        <v>1531</v>
      </c>
      <c r="D3751" s="14" t="s">
        <v>1441</v>
      </c>
      <c r="E3751" s="1">
        <v>16499</v>
      </c>
      <c r="F3751" s="2"/>
      <c r="G3751" s="1">
        <v>8408.94</v>
      </c>
      <c r="H3751" s="3"/>
      <c r="I3751" s="14" t="s">
        <v>4689</v>
      </c>
    </row>
    <row r="3752" spans="1:9" ht="18.75" customHeight="1" x14ac:dyDescent="0.4">
      <c r="A3752" s="14" t="s">
        <v>4592</v>
      </c>
      <c r="B3752" s="16" t="str">
        <f>TRIM("茨田南地域集会所")</f>
        <v>茨田南地域集会所</v>
      </c>
      <c r="C3752" s="14" t="s">
        <v>1531</v>
      </c>
      <c r="D3752" s="14" t="s">
        <v>757</v>
      </c>
      <c r="E3752" s="1">
        <v>688.55</v>
      </c>
      <c r="F3752" s="2"/>
      <c r="G3752" s="1"/>
      <c r="H3752" s="3"/>
      <c r="I3752" s="14" t="s">
        <v>1992</v>
      </c>
    </row>
    <row r="3753" spans="1:9" ht="18.75" customHeight="1" x14ac:dyDescent="0.4">
      <c r="A3753" s="14" t="s">
        <v>6585</v>
      </c>
      <c r="B3753" s="16" t="str">
        <f>TRIM("徳庵住宅")</f>
        <v>徳庵住宅</v>
      </c>
      <c r="C3753" s="14" t="s">
        <v>1531</v>
      </c>
      <c r="D3753" s="14" t="s">
        <v>812</v>
      </c>
      <c r="E3753" s="1">
        <v>14489.17</v>
      </c>
      <c r="F3753" s="2"/>
      <c r="G3753" s="1">
        <v>9500.7900000000009</v>
      </c>
      <c r="H3753" s="3"/>
      <c r="I3753" s="14" t="s">
        <v>6177</v>
      </c>
    </row>
    <row r="3754" spans="1:9" ht="18.75" customHeight="1" x14ac:dyDescent="0.4">
      <c r="A3754" s="14" t="s">
        <v>6287</v>
      </c>
      <c r="B3754" s="16" t="str">
        <f>TRIM("茨田諸口東住宅")</f>
        <v>茨田諸口東住宅</v>
      </c>
      <c r="C3754" s="14" t="s">
        <v>1531</v>
      </c>
      <c r="D3754" s="14" t="s">
        <v>718</v>
      </c>
      <c r="E3754" s="1">
        <v>2826</v>
      </c>
      <c r="F3754" s="2"/>
      <c r="G3754" s="1">
        <v>2201.52</v>
      </c>
      <c r="H3754" s="3"/>
      <c r="I3754" s="14" t="s">
        <v>6177</v>
      </c>
    </row>
    <row r="3755" spans="1:9" ht="18.75" customHeight="1" x14ac:dyDescent="0.4">
      <c r="A3755" s="14" t="s">
        <v>6509</v>
      </c>
      <c r="B3755" s="16" t="str">
        <f>TRIM("中茶屋住宅")</f>
        <v>中茶屋住宅</v>
      </c>
      <c r="C3755" s="14" t="s">
        <v>1531</v>
      </c>
      <c r="D3755" s="14" t="s">
        <v>718</v>
      </c>
      <c r="E3755" s="1">
        <v>11503.47</v>
      </c>
      <c r="F3755" s="2"/>
      <c r="G3755" s="1">
        <v>7530.28</v>
      </c>
      <c r="H3755" s="3"/>
      <c r="I3755" s="14" t="s">
        <v>6177</v>
      </c>
    </row>
    <row r="3756" spans="1:9" ht="18.75" customHeight="1" x14ac:dyDescent="0.4">
      <c r="A3756" s="14" t="s">
        <v>3472</v>
      </c>
      <c r="B3756" s="16" t="str">
        <f>TRIM("中徳公園")</f>
        <v>中徳公園</v>
      </c>
      <c r="C3756" s="14" t="s">
        <v>1531</v>
      </c>
      <c r="D3756" s="14" t="s">
        <v>718</v>
      </c>
      <c r="E3756" s="1">
        <v>3069.15</v>
      </c>
      <c r="F3756" s="2"/>
      <c r="G3756" s="1"/>
      <c r="H3756" s="3"/>
      <c r="I3756" s="14" t="s">
        <v>2177</v>
      </c>
    </row>
    <row r="3757" spans="1:9" ht="18.75" customHeight="1" x14ac:dyDescent="0.4">
      <c r="A3757" s="14" t="s">
        <v>4588</v>
      </c>
      <c r="B3757" s="16" t="str">
        <f>TRIM("茨田地域集会所")</f>
        <v>茨田地域集会所</v>
      </c>
      <c r="C3757" s="14" t="s">
        <v>1531</v>
      </c>
      <c r="D3757" s="14" t="s">
        <v>718</v>
      </c>
      <c r="E3757" s="1">
        <v>240</v>
      </c>
      <c r="F3757" s="2"/>
      <c r="G3757" s="1"/>
      <c r="H3757" s="3"/>
      <c r="I3757" s="14" t="s">
        <v>1992</v>
      </c>
    </row>
    <row r="3758" spans="1:9" ht="18.75" customHeight="1" x14ac:dyDescent="0.4">
      <c r="A3758" s="18"/>
      <c r="B3758" s="14" t="s">
        <v>7177</v>
      </c>
      <c r="C3758" s="14" t="s">
        <v>1531</v>
      </c>
      <c r="D3758" s="1" t="s">
        <v>718</v>
      </c>
      <c r="E3758" s="2"/>
      <c r="F3758" s="11"/>
      <c r="G3758" s="1">
        <v>347</v>
      </c>
      <c r="H3758" s="1"/>
      <c r="I3758" s="1" t="s">
        <v>2177</v>
      </c>
    </row>
    <row r="3759" spans="1:9" ht="18.75" customHeight="1" x14ac:dyDescent="0.4">
      <c r="A3759" s="14" t="s">
        <v>6648</v>
      </c>
      <c r="B3759" s="16" t="str">
        <f>TRIM("放出東住宅")</f>
        <v>放出東住宅</v>
      </c>
      <c r="C3759" s="14" t="s">
        <v>1531</v>
      </c>
      <c r="D3759" s="14" t="s">
        <v>831</v>
      </c>
      <c r="E3759" s="1">
        <v>32166.6</v>
      </c>
      <c r="F3759" s="2"/>
      <c r="G3759" s="1">
        <v>31294.84</v>
      </c>
      <c r="H3759" s="3"/>
      <c r="I3759" s="14" t="s">
        <v>6177</v>
      </c>
    </row>
    <row r="3760" spans="1:9" ht="18.75" customHeight="1" x14ac:dyDescent="0.4">
      <c r="A3760" s="14" t="s">
        <v>3281</v>
      </c>
      <c r="B3760" s="16" t="str">
        <f>TRIM("　放出公園")</f>
        <v>放出公園</v>
      </c>
      <c r="C3760" s="14" t="s">
        <v>1531</v>
      </c>
      <c r="D3760" s="14" t="s">
        <v>831</v>
      </c>
      <c r="E3760" s="1">
        <v>5579.9</v>
      </c>
      <c r="F3760" s="2"/>
      <c r="G3760" s="1"/>
      <c r="H3760" s="3"/>
      <c r="I3760" s="14" t="s">
        <v>2177</v>
      </c>
    </row>
    <row r="3761" spans="1:9" ht="18.75" customHeight="1" x14ac:dyDescent="0.4">
      <c r="A3761" s="14" t="s">
        <v>2334</v>
      </c>
      <c r="B3761" s="16" t="str">
        <f>TRIM("平野守口線（鶴見）（管財課）")</f>
        <v>平野守口線（鶴見）（管財課）</v>
      </c>
      <c r="C3761" s="14" t="s">
        <v>1531</v>
      </c>
      <c r="D3761" s="14" t="s">
        <v>64</v>
      </c>
      <c r="E3761" s="1">
        <v>2197.4699999999998</v>
      </c>
      <c r="F3761" s="2"/>
      <c r="G3761" s="1"/>
      <c r="H3761" s="3"/>
      <c r="I3761" s="14" t="s">
        <v>2177</v>
      </c>
    </row>
    <row r="3762" spans="1:9" ht="18.75" customHeight="1" x14ac:dyDescent="0.4">
      <c r="A3762" s="14" t="s">
        <v>3496</v>
      </c>
      <c r="B3762" s="16" t="str">
        <f>TRIM("放出1号公園")</f>
        <v>放出1号公園</v>
      </c>
      <c r="C3762" s="14" t="s">
        <v>1531</v>
      </c>
      <c r="D3762" s="14" t="s">
        <v>64</v>
      </c>
      <c r="E3762" s="1">
        <v>872.87</v>
      </c>
      <c r="F3762" s="2"/>
      <c r="G3762" s="1"/>
      <c r="H3762" s="3"/>
      <c r="I3762" s="14" t="s">
        <v>2177</v>
      </c>
    </row>
    <row r="3763" spans="1:9" ht="18.75" customHeight="1" x14ac:dyDescent="0.4">
      <c r="A3763" s="14" t="s">
        <v>3497</v>
      </c>
      <c r="B3763" s="16" t="str">
        <f>TRIM("放出駅南公園")</f>
        <v>放出駅南公園</v>
      </c>
      <c r="C3763" s="14" t="s">
        <v>1531</v>
      </c>
      <c r="D3763" s="14" t="s">
        <v>64</v>
      </c>
      <c r="E3763" s="1">
        <v>1044.46</v>
      </c>
      <c r="F3763" s="2"/>
      <c r="G3763" s="1"/>
      <c r="H3763" s="3"/>
      <c r="I3763" s="14" t="s">
        <v>2177</v>
      </c>
    </row>
    <row r="3764" spans="1:9" ht="18.75" customHeight="1" x14ac:dyDescent="0.4">
      <c r="A3764" s="14" t="s">
        <v>3943</v>
      </c>
      <c r="B3764" s="16" t="str">
        <f>TRIM("放出駅自転車駐車場")</f>
        <v>放出駅自転車駐車場</v>
      </c>
      <c r="C3764" s="14" t="s">
        <v>1531</v>
      </c>
      <c r="D3764" s="14" t="s">
        <v>64</v>
      </c>
      <c r="E3764" s="1"/>
      <c r="F3764" s="2"/>
      <c r="G3764" s="1">
        <v>1361.52</v>
      </c>
      <c r="H3764" s="3"/>
      <c r="I3764" s="14" t="s">
        <v>2177</v>
      </c>
    </row>
    <row r="3765" spans="1:9" ht="18.75" customHeight="1" x14ac:dyDescent="0.4">
      <c r="A3765" s="14" t="s">
        <v>3944</v>
      </c>
      <c r="B3765" s="16" t="str">
        <f>TRIM("放出駅自転車駐車場南口管理ボックス")</f>
        <v>放出駅自転車駐車場南口管理ボックス</v>
      </c>
      <c r="C3765" s="14" t="s">
        <v>1531</v>
      </c>
      <c r="D3765" s="14" t="s">
        <v>64</v>
      </c>
      <c r="E3765" s="1"/>
      <c r="F3765" s="2"/>
      <c r="G3765" s="1">
        <v>12.15</v>
      </c>
      <c r="H3765" s="3"/>
      <c r="I3765" s="14" t="s">
        <v>2177</v>
      </c>
    </row>
    <row r="3766" spans="1:9" ht="18.75" customHeight="1" x14ac:dyDescent="0.4">
      <c r="A3766" s="14" t="s">
        <v>5460</v>
      </c>
      <c r="B3766" s="16" t="str">
        <f>TRIM("過小地（道路用地）")</f>
        <v>過小地（道路用地）</v>
      </c>
      <c r="C3766" s="14" t="s">
        <v>1531</v>
      </c>
      <c r="D3766" s="14" t="s">
        <v>64</v>
      </c>
      <c r="E3766" s="1">
        <v>2347.23</v>
      </c>
      <c r="F3766" s="2"/>
      <c r="G3766" s="1"/>
      <c r="H3766" s="3"/>
      <c r="I3766" s="14" t="s">
        <v>5349</v>
      </c>
    </row>
    <row r="3767" spans="1:9" ht="18.75" customHeight="1" x14ac:dyDescent="0.4">
      <c r="A3767" s="14" t="s">
        <v>7081</v>
      </c>
      <c r="B3767" s="16" t="str">
        <f>TRIM("放出小売市場民営活性化事業施設")</f>
        <v>放出小売市場民営活性化事業施設</v>
      </c>
      <c r="C3767" s="14" t="s">
        <v>1531</v>
      </c>
      <c r="D3767" s="14" t="s">
        <v>64</v>
      </c>
      <c r="E3767" s="1">
        <v>1737.76</v>
      </c>
      <c r="F3767" s="2"/>
      <c r="G3767" s="1"/>
      <c r="H3767" s="3"/>
      <c r="I3767" s="14" t="s">
        <v>4115</v>
      </c>
    </row>
    <row r="3768" spans="1:9" ht="18.75" customHeight="1" x14ac:dyDescent="0.4">
      <c r="A3768" s="14" t="s">
        <v>4725</v>
      </c>
      <c r="B3768" s="16" t="str">
        <f>TRIM("茨田北小学校")</f>
        <v>茨田北小学校</v>
      </c>
      <c r="C3768" s="14" t="s">
        <v>1531</v>
      </c>
      <c r="D3768" s="14" t="s">
        <v>1382</v>
      </c>
      <c r="E3768" s="1">
        <v>14133.97</v>
      </c>
      <c r="F3768" s="2"/>
      <c r="G3768" s="1">
        <v>9287.8799999999992</v>
      </c>
      <c r="H3768" s="3"/>
      <c r="I3768" s="14" t="s">
        <v>4689</v>
      </c>
    </row>
    <row r="3769" spans="1:9" ht="18.75" customHeight="1" x14ac:dyDescent="0.4">
      <c r="A3769" s="14" t="s">
        <v>3248</v>
      </c>
      <c r="B3769" s="16" t="str">
        <f>TRIM("　浜北公園")</f>
        <v>浜北公園</v>
      </c>
      <c r="C3769" s="14" t="s">
        <v>1531</v>
      </c>
      <c r="D3769" s="14" t="s">
        <v>1223</v>
      </c>
      <c r="E3769" s="1">
        <v>2744.42</v>
      </c>
      <c r="F3769" s="2"/>
      <c r="G3769" s="1"/>
      <c r="H3769" s="3"/>
      <c r="I3769" s="14" t="s">
        <v>2177</v>
      </c>
    </row>
    <row r="3770" spans="1:9" ht="18.75" customHeight="1" x14ac:dyDescent="0.4">
      <c r="A3770" s="14" t="s">
        <v>4726</v>
      </c>
      <c r="B3770" s="16" t="str">
        <f>TRIM("茨田北中学校")</f>
        <v>茨田北中学校</v>
      </c>
      <c r="C3770" s="14" t="s">
        <v>1531</v>
      </c>
      <c r="D3770" s="14" t="s">
        <v>719</v>
      </c>
      <c r="E3770" s="1">
        <v>20598.87</v>
      </c>
      <c r="F3770" s="2"/>
      <c r="G3770" s="1">
        <v>7158.34</v>
      </c>
      <c r="H3770" s="3"/>
      <c r="I3770" s="14" t="s">
        <v>4689</v>
      </c>
    </row>
    <row r="3771" spans="1:9" ht="18.75" customHeight="1" x14ac:dyDescent="0.4">
      <c r="A3771" s="14" t="s">
        <v>6289</v>
      </c>
      <c r="B3771" s="16" t="str">
        <f>TRIM("茨田大宮西住宅")</f>
        <v>茨田大宮西住宅</v>
      </c>
      <c r="C3771" s="14" t="s">
        <v>1531</v>
      </c>
      <c r="D3771" s="14" t="s">
        <v>719</v>
      </c>
      <c r="E3771" s="1">
        <v>9789.49</v>
      </c>
      <c r="F3771" s="2"/>
      <c r="G3771" s="1">
        <v>7098.32</v>
      </c>
      <c r="H3771" s="3"/>
      <c r="I3771" s="14" t="s">
        <v>6177</v>
      </c>
    </row>
    <row r="3772" spans="1:9" ht="18.75" customHeight="1" x14ac:dyDescent="0.4">
      <c r="A3772" s="14" t="s">
        <v>1718</v>
      </c>
      <c r="B3772" s="16" t="str">
        <f>TRIM("障がい福祉サービス事業所　つるみの郷")</f>
        <v>障がい福祉サービス事業所　つるみの郷</v>
      </c>
      <c r="C3772" s="14" t="s">
        <v>1531</v>
      </c>
      <c r="D3772" s="14" t="s">
        <v>42</v>
      </c>
      <c r="E3772" s="1">
        <v>2129.14</v>
      </c>
      <c r="F3772" s="2"/>
      <c r="G3772" s="1"/>
      <c r="H3772" s="3"/>
      <c r="I3772" s="14" t="s">
        <v>1654</v>
      </c>
    </row>
    <row r="3773" spans="1:9" ht="18.75" customHeight="1" x14ac:dyDescent="0.4">
      <c r="A3773" s="14" t="s">
        <v>2569</v>
      </c>
      <c r="B3773" s="16" t="str">
        <f>TRIM("　茨田大宮西公園")</f>
        <v>茨田大宮西公園</v>
      </c>
      <c r="C3773" s="14" t="s">
        <v>1531</v>
      </c>
      <c r="D3773" s="14" t="s">
        <v>42</v>
      </c>
      <c r="E3773" s="1">
        <v>2767.81</v>
      </c>
      <c r="F3773" s="2"/>
      <c r="G3773" s="1"/>
      <c r="H3773" s="3"/>
      <c r="I3773" s="14" t="s">
        <v>2177</v>
      </c>
    </row>
    <row r="3774" spans="1:9" ht="18.75" customHeight="1" x14ac:dyDescent="0.4">
      <c r="A3774" s="14" t="s">
        <v>3084</v>
      </c>
      <c r="B3774" s="16" t="str">
        <f>TRIM("　鶴見開発3号公園")</f>
        <v>鶴見開発3号公園</v>
      </c>
      <c r="C3774" s="14" t="s">
        <v>1531</v>
      </c>
      <c r="D3774" s="14" t="s">
        <v>42</v>
      </c>
      <c r="E3774" s="1">
        <v>140</v>
      </c>
      <c r="F3774" s="2"/>
      <c r="G3774" s="1"/>
      <c r="H3774" s="3"/>
      <c r="I3774" s="14" t="s">
        <v>2177</v>
      </c>
    </row>
    <row r="3775" spans="1:9" ht="18.75" customHeight="1" x14ac:dyDescent="0.4">
      <c r="A3775" s="14" t="s">
        <v>3534</v>
      </c>
      <c r="B3775" s="16" t="str">
        <f>TRIM("　茨田大宮西公園")</f>
        <v>茨田大宮西公園</v>
      </c>
      <c r="C3775" s="14" t="s">
        <v>1531</v>
      </c>
      <c r="D3775" s="14" t="s">
        <v>42</v>
      </c>
      <c r="E3775" s="1"/>
      <c r="F3775" s="2"/>
      <c r="G3775" s="1">
        <v>19.2</v>
      </c>
      <c r="H3775" s="3"/>
      <c r="I3775" s="14" t="s">
        <v>2177</v>
      </c>
    </row>
    <row r="3776" spans="1:9" ht="18.75" customHeight="1" x14ac:dyDescent="0.4">
      <c r="A3776" s="14" t="s">
        <v>7056</v>
      </c>
      <c r="B3776" s="16" t="str">
        <f>TRIM("大阪鶴見花き地方卸売市場")</f>
        <v>大阪鶴見花き地方卸売市場</v>
      </c>
      <c r="C3776" s="14" t="s">
        <v>1531</v>
      </c>
      <c r="D3776" s="14" t="s">
        <v>42</v>
      </c>
      <c r="E3776" s="1">
        <v>24500.03</v>
      </c>
      <c r="F3776" s="2"/>
      <c r="G3776" s="1"/>
      <c r="H3776" s="3"/>
      <c r="I3776" s="14" t="s">
        <v>4115</v>
      </c>
    </row>
    <row r="3777" spans="1:9" ht="18.75" customHeight="1" x14ac:dyDescent="0.4">
      <c r="A3777" s="14" t="s">
        <v>7057</v>
      </c>
      <c r="B3777" s="16" t="str">
        <f>TRIM("大阪鶴見花き地方卸売市場緑地用地")</f>
        <v>大阪鶴見花き地方卸売市場緑地用地</v>
      </c>
      <c r="C3777" s="14" t="s">
        <v>1531</v>
      </c>
      <c r="D3777" s="14" t="s">
        <v>42</v>
      </c>
      <c r="E3777" s="1">
        <v>1410.53</v>
      </c>
      <c r="F3777" s="2"/>
      <c r="G3777" s="1"/>
      <c r="H3777" s="3"/>
      <c r="I3777" s="14" t="s">
        <v>4115</v>
      </c>
    </row>
    <row r="3778" spans="1:9" ht="18.75" customHeight="1" x14ac:dyDescent="0.4">
      <c r="A3778" s="14" t="s">
        <v>4723</v>
      </c>
      <c r="B3778" s="16" t="str">
        <f>TRIM("茨田東小学校")</f>
        <v>茨田東小学校</v>
      </c>
      <c r="C3778" s="14" t="s">
        <v>1531</v>
      </c>
      <c r="D3778" s="14" t="s">
        <v>368</v>
      </c>
      <c r="E3778" s="1">
        <v>19932.16</v>
      </c>
      <c r="F3778" s="2"/>
      <c r="G3778" s="1">
        <v>5969.27</v>
      </c>
      <c r="H3778" s="3"/>
      <c r="I3778" s="14" t="s">
        <v>4689</v>
      </c>
    </row>
    <row r="3779" spans="1:9" ht="18.75" customHeight="1" x14ac:dyDescent="0.4">
      <c r="A3779" s="14" t="s">
        <v>6292</v>
      </c>
      <c r="B3779" s="16" t="str">
        <f>TRIM("茨田大宮第3住宅")</f>
        <v>茨田大宮第3住宅</v>
      </c>
      <c r="C3779" s="14" t="s">
        <v>1531</v>
      </c>
      <c r="D3779" s="14" t="s">
        <v>368</v>
      </c>
      <c r="E3779" s="1">
        <v>32602.54</v>
      </c>
      <c r="F3779" s="2"/>
      <c r="G3779" s="1">
        <v>36511.599999999999</v>
      </c>
      <c r="H3779" s="3"/>
      <c r="I3779" s="14" t="s">
        <v>6177</v>
      </c>
    </row>
    <row r="3780" spans="1:9" ht="18.75" customHeight="1" x14ac:dyDescent="0.4">
      <c r="A3780" s="14" t="s">
        <v>1853</v>
      </c>
      <c r="B3780" s="16" t="str">
        <f>TRIM("茨田大宮地域在宅サービスステーション")</f>
        <v>茨田大宮地域在宅サービスステーション</v>
      </c>
      <c r="C3780" s="14" t="s">
        <v>1531</v>
      </c>
      <c r="D3780" s="14" t="s">
        <v>368</v>
      </c>
      <c r="E3780" s="1">
        <v>500</v>
      </c>
      <c r="F3780" s="2"/>
      <c r="G3780" s="1"/>
      <c r="H3780" s="3"/>
      <c r="I3780" s="14" t="s">
        <v>1654</v>
      </c>
    </row>
    <row r="3781" spans="1:9" ht="18.75" customHeight="1" x14ac:dyDescent="0.4">
      <c r="A3781" s="14" t="s">
        <v>2570</v>
      </c>
      <c r="B3781" s="16" t="str">
        <f>TRIM("　茨田大宮南公園")</f>
        <v>茨田大宮南公園</v>
      </c>
      <c r="C3781" s="14" t="s">
        <v>1531</v>
      </c>
      <c r="D3781" s="14" t="s">
        <v>368</v>
      </c>
      <c r="E3781" s="1">
        <v>1948.16</v>
      </c>
      <c r="F3781" s="2"/>
      <c r="G3781" s="1"/>
      <c r="H3781" s="3"/>
      <c r="I3781" s="14" t="s">
        <v>2177</v>
      </c>
    </row>
    <row r="3782" spans="1:9" ht="18.75" customHeight="1" x14ac:dyDescent="0.4">
      <c r="A3782" s="14" t="s">
        <v>5837</v>
      </c>
      <c r="B3782" s="16" t="str">
        <f>TRIM("茨田大宮保育所")</f>
        <v>茨田大宮保育所</v>
      </c>
      <c r="C3782" s="14" t="s">
        <v>1531</v>
      </c>
      <c r="D3782" s="14" t="s">
        <v>368</v>
      </c>
      <c r="E3782" s="1">
        <v>1736.04</v>
      </c>
      <c r="F3782" s="2"/>
      <c r="G3782" s="1"/>
      <c r="H3782" s="3"/>
      <c r="I3782" s="14" t="s">
        <v>5617</v>
      </c>
    </row>
    <row r="3783" spans="1:9" ht="18.75" customHeight="1" x14ac:dyDescent="0.4">
      <c r="A3783" s="14" t="s">
        <v>6291</v>
      </c>
      <c r="B3783" s="16" t="str">
        <f>TRIM("茨田大宮第2住宅")</f>
        <v>茨田大宮第2住宅</v>
      </c>
      <c r="C3783" s="14" t="s">
        <v>1531</v>
      </c>
      <c r="D3783" s="14" t="s">
        <v>609</v>
      </c>
      <c r="E3783" s="1">
        <v>57955.15</v>
      </c>
      <c r="F3783" s="2">
        <v>1905</v>
      </c>
      <c r="G3783" s="1">
        <v>64840.17</v>
      </c>
      <c r="H3783" s="3"/>
      <c r="I3783" s="14" t="s">
        <v>6177</v>
      </c>
    </row>
    <row r="3784" spans="1:9" ht="18.75" customHeight="1" x14ac:dyDescent="0.4">
      <c r="A3784" s="14" t="s">
        <v>6288</v>
      </c>
      <c r="B3784" s="16" t="str">
        <f>TRIM("茨田大宮住宅")</f>
        <v>茨田大宮住宅</v>
      </c>
      <c r="C3784" s="14" t="s">
        <v>1531</v>
      </c>
      <c r="D3784" s="14" t="s">
        <v>609</v>
      </c>
      <c r="E3784" s="1">
        <v>40400.42</v>
      </c>
      <c r="F3784" s="2"/>
      <c r="G3784" s="1">
        <v>21976.15</v>
      </c>
      <c r="H3784" s="3"/>
      <c r="I3784" s="14" t="s">
        <v>6177</v>
      </c>
    </row>
    <row r="3785" spans="1:9" ht="18.75" customHeight="1" x14ac:dyDescent="0.4">
      <c r="A3785" s="14" t="s">
        <v>6290</v>
      </c>
      <c r="B3785" s="16" t="str">
        <f>TRIM("茨田大宮第1住宅")</f>
        <v>茨田大宮第1住宅</v>
      </c>
      <c r="C3785" s="14" t="s">
        <v>1531</v>
      </c>
      <c r="D3785" s="14" t="s">
        <v>609</v>
      </c>
      <c r="E3785" s="1">
        <v>5618.86</v>
      </c>
      <c r="F3785" s="2"/>
      <c r="G3785" s="1">
        <v>28314.33</v>
      </c>
      <c r="H3785" s="3"/>
      <c r="I3785" s="14" t="s">
        <v>6177</v>
      </c>
    </row>
    <row r="3786" spans="1:9" ht="18.75" customHeight="1" x14ac:dyDescent="0.4">
      <c r="A3786" s="14" t="s">
        <v>2521</v>
      </c>
      <c r="B3786" s="16" t="str">
        <f>TRIM("　　茨田大宮中央公園")</f>
        <v>茨田大宮中央公園</v>
      </c>
      <c r="C3786" s="14" t="s">
        <v>1531</v>
      </c>
      <c r="D3786" s="14" t="s">
        <v>609</v>
      </c>
      <c r="E3786" s="1">
        <v>9587.2900000000009</v>
      </c>
      <c r="F3786" s="2"/>
      <c r="G3786" s="1"/>
      <c r="H3786" s="3"/>
      <c r="I3786" s="14" t="s">
        <v>2177</v>
      </c>
    </row>
    <row r="3787" spans="1:9" ht="18.75" customHeight="1" x14ac:dyDescent="0.4">
      <c r="A3787" s="14" t="s">
        <v>3535</v>
      </c>
      <c r="B3787" s="16" t="str">
        <f>TRIM(" 茨田大宮中央公園")</f>
        <v>茨田大宮中央公園</v>
      </c>
      <c r="C3787" s="14" t="s">
        <v>1531</v>
      </c>
      <c r="D3787" s="14" t="s">
        <v>609</v>
      </c>
      <c r="E3787" s="1"/>
      <c r="F3787" s="2"/>
      <c r="G3787" s="1">
        <v>18.239999999999998</v>
      </c>
      <c r="H3787" s="3"/>
      <c r="I3787" s="14" t="s">
        <v>2177</v>
      </c>
    </row>
    <row r="3788" spans="1:9" ht="18.75" customHeight="1" x14ac:dyDescent="0.4">
      <c r="A3788" s="14" t="s">
        <v>4586</v>
      </c>
      <c r="B3788" s="16" t="str">
        <f>TRIM("茨田東地域集会所")</f>
        <v>茨田東地域集会所</v>
      </c>
      <c r="C3788" s="14" t="s">
        <v>1531</v>
      </c>
      <c r="D3788" s="14" t="s">
        <v>609</v>
      </c>
      <c r="E3788" s="1">
        <v>262.52</v>
      </c>
      <c r="F3788" s="2"/>
      <c r="G3788" s="1"/>
      <c r="H3788" s="3"/>
      <c r="I3788" s="14" t="s">
        <v>1992</v>
      </c>
    </row>
    <row r="3789" spans="1:9" ht="18.75" customHeight="1" x14ac:dyDescent="0.4">
      <c r="A3789" s="14" t="s">
        <v>5950</v>
      </c>
      <c r="B3789" s="16" t="str">
        <f>TRIM("茨田東保育所")</f>
        <v>茨田東保育所</v>
      </c>
      <c r="C3789" s="14" t="s">
        <v>1531</v>
      </c>
      <c r="D3789" s="14" t="s">
        <v>609</v>
      </c>
      <c r="E3789" s="1">
        <v>524.53</v>
      </c>
      <c r="F3789" s="2"/>
      <c r="G3789" s="1"/>
      <c r="H3789" s="3"/>
      <c r="I3789" s="14" t="s">
        <v>5617</v>
      </c>
    </row>
    <row r="3790" spans="1:9" ht="18.75" customHeight="1" x14ac:dyDescent="0.4">
      <c r="A3790" s="14" t="s">
        <v>6804</v>
      </c>
      <c r="B3790" s="16" t="str">
        <f>TRIM("茨田大宮定期借地権事業用地")</f>
        <v>茨田大宮定期借地権事業用地</v>
      </c>
      <c r="C3790" s="14" t="s">
        <v>1531</v>
      </c>
      <c r="D3790" s="14" t="s">
        <v>609</v>
      </c>
      <c r="E3790" s="1">
        <v>9292.57</v>
      </c>
      <c r="F3790" s="2"/>
      <c r="G3790" s="1"/>
      <c r="H3790" s="3"/>
      <c r="I3790" s="14" t="s">
        <v>6177</v>
      </c>
    </row>
    <row r="3791" spans="1:9" ht="18.75" customHeight="1" x14ac:dyDescent="0.4">
      <c r="A3791" s="14" t="s">
        <v>6696</v>
      </c>
      <c r="B3791" s="16" t="str">
        <f>TRIM("緑住宅")</f>
        <v>緑住宅</v>
      </c>
      <c r="C3791" s="14" t="s">
        <v>1531</v>
      </c>
      <c r="D3791" s="14" t="s">
        <v>276</v>
      </c>
      <c r="E3791" s="1">
        <v>17825.91</v>
      </c>
      <c r="F3791" s="2"/>
      <c r="G3791" s="1">
        <v>11417.14</v>
      </c>
      <c r="H3791" s="3"/>
      <c r="I3791" s="14" t="s">
        <v>6177</v>
      </c>
    </row>
    <row r="3792" spans="1:9" ht="18.75" customHeight="1" x14ac:dyDescent="0.4">
      <c r="A3792" s="14" t="s">
        <v>3504</v>
      </c>
      <c r="B3792" s="16" t="str">
        <f>TRIM("緑第一公園")</f>
        <v>緑第一公園</v>
      </c>
      <c r="C3792" s="14" t="s">
        <v>1531</v>
      </c>
      <c r="D3792" s="14" t="s">
        <v>276</v>
      </c>
      <c r="E3792" s="1">
        <v>1418.18</v>
      </c>
      <c r="F3792" s="2"/>
      <c r="G3792" s="1"/>
      <c r="H3792" s="3"/>
      <c r="I3792" s="14" t="s">
        <v>2177</v>
      </c>
    </row>
    <row r="3793" spans="1:9" ht="18.75" customHeight="1" x14ac:dyDescent="0.4">
      <c r="A3793" s="14" t="s">
        <v>5559</v>
      </c>
      <c r="B3793" s="16" t="str">
        <f>TRIM("もと府警古市世帯者宿舎")</f>
        <v>もと府警古市世帯者宿舎</v>
      </c>
      <c r="C3793" s="14" t="s">
        <v>1531</v>
      </c>
      <c r="D3793" s="14" t="s">
        <v>276</v>
      </c>
      <c r="E3793" s="1">
        <v>29.84</v>
      </c>
      <c r="F3793" s="2"/>
      <c r="G3793" s="1"/>
      <c r="H3793" s="3"/>
      <c r="I3793" s="14" t="s">
        <v>5349</v>
      </c>
    </row>
    <row r="3794" spans="1:9" ht="18.75" customHeight="1" x14ac:dyDescent="0.4">
      <c r="A3794" s="14" t="s">
        <v>4695</v>
      </c>
      <c r="B3794" s="16" t="str">
        <f>TRIM("みどり小学校")</f>
        <v>みどり小学校</v>
      </c>
      <c r="C3794" s="14" t="s">
        <v>1531</v>
      </c>
      <c r="D3794" s="14" t="s">
        <v>1377</v>
      </c>
      <c r="E3794" s="1">
        <v>3878.15</v>
      </c>
      <c r="F3794" s="2"/>
      <c r="G3794" s="1">
        <v>6464.51</v>
      </c>
      <c r="H3794" s="3"/>
      <c r="I3794" s="14" t="s">
        <v>4689</v>
      </c>
    </row>
    <row r="3795" spans="1:9" ht="18.75" customHeight="1" x14ac:dyDescent="0.4">
      <c r="A3795" s="14" t="s">
        <v>2160</v>
      </c>
      <c r="B3795" s="16" t="str">
        <f>TRIM("緑地域集会所")</f>
        <v>緑地域集会所</v>
      </c>
      <c r="C3795" s="14" t="s">
        <v>1531</v>
      </c>
      <c r="D3795" s="14" t="s">
        <v>175</v>
      </c>
      <c r="E3795" s="1">
        <v>297.19</v>
      </c>
      <c r="F3795" s="2"/>
      <c r="G3795" s="1"/>
      <c r="H3795" s="3"/>
      <c r="I3795" s="14" t="s">
        <v>1992</v>
      </c>
    </row>
    <row r="3796" spans="1:9" ht="18.75" customHeight="1" x14ac:dyDescent="0.4">
      <c r="A3796" s="14" t="s">
        <v>5421</v>
      </c>
      <c r="B3796" s="16" t="str">
        <f>TRIM("もと東警察署翠光寮（児童遊園）")</f>
        <v>もと東警察署翠光寮（児童遊園）</v>
      </c>
      <c r="C3796" s="14" t="s">
        <v>1531</v>
      </c>
      <c r="D3796" s="14" t="s">
        <v>175</v>
      </c>
      <c r="E3796" s="1">
        <v>720.98</v>
      </c>
      <c r="F3796" s="2"/>
      <c r="G3796" s="1"/>
      <c r="H3796" s="3"/>
      <c r="I3796" s="14" t="s">
        <v>5349</v>
      </c>
    </row>
    <row r="3797" spans="1:9" ht="18.75" customHeight="1" x14ac:dyDescent="0.4">
      <c r="A3797" s="14" t="s">
        <v>6293</v>
      </c>
      <c r="B3797" s="16" t="str">
        <f>TRIM("茨田南住宅")</f>
        <v>茨田南住宅</v>
      </c>
      <c r="C3797" s="14" t="s">
        <v>1531</v>
      </c>
      <c r="D3797" s="14" t="s">
        <v>406</v>
      </c>
      <c r="E3797" s="1">
        <v>43715.77</v>
      </c>
      <c r="F3797" s="2">
        <v>482</v>
      </c>
      <c r="G3797" s="1">
        <v>51184.62</v>
      </c>
      <c r="H3797" s="3"/>
      <c r="I3797" s="14" t="s">
        <v>6177</v>
      </c>
    </row>
    <row r="3798" spans="1:9" ht="18.75" customHeight="1" x14ac:dyDescent="0.4">
      <c r="A3798" s="14" t="s">
        <v>4724</v>
      </c>
      <c r="B3798" s="16" t="str">
        <f>TRIM("茨田南小学校")</f>
        <v>茨田南小学校</v>
      </c>
      <c r="C3798" s="14" t="s">
        <v>1531</v>
      </c>
      <c r="D3798" s="14" t="s">
        <v>406</v>
      </c>
      <c r="E3798" s="1">
        <v>12309.47</v>
      </c>
      <c r="F3798" s="2"/>
      <c r="G3798" s="1">
        <v>7314.11</v>
      </c>
      <c r="H3798" s="3"/>
      <c r="I3798" s="14" t="s">
        <v>4689</v>
      </c>
    </row>
    <row r="3799" spans="1:9" ht="18.75" customHeight="1" x14ac:dyDescent="0.4">
      <c r="A3799" s="14" t="s">
        <v>1919</v>
      </c>
      <c r="B3799" s="16" t="str">
        <f>TRIM("特別養護老人ホームウェルシーライフ")</f>
        <v>特別養護老人ホームウェルシーライフ</v>
      </c>
      <c r="C3799" s="14" t="s">
        <v>1531</v>
      </c>
      <c r="D3799" s="14" t="s">
        <v>406</v>
      </c>
      <c r="E3799" s="1">
        <v>1647.75</v>
      </c>
      <c r="F3799" s="2"/>
      <c r="G3799" s="1"/>
      <c r="H3799" s="3"/>
      <c r="I3799" s="14" t="s">
        <v>1654</v>
      </c>
    </row>
    <row r="3800" spans="1:9" ht="18.75" customHeight="1" x14ac:dyDescent="0.4">
      <c r="A3800" s="14" t="s">
        <v>3439</v>
      </c>
      <c r="B3800" s="16" t="str">
        <f>TRIM("諸口中公園")</f>
        <v>諸口中公園</v>
      </c>
      <c r="C3800" s="14" t="s">
        <v>1531</v>
      </c>
      <c r="D3800" s="14" t="s">
        <v>406</v>
      </c>
      <c r="E3800" s="1">
        <v>890.62</v>
      </c>
      <c r="F3800" s="2"/>
      <c r="G3800" s="1"/>
      <c r="H3800" s="3"/>
      <c r="I3800" s="14" t="s">
        <v>2177</v>
      </c>
    </row>
    <row r="3801" spans="1:9" ht="18.75" customHeight="1" x14ac:dyDescent="0.4">
      <c r="A3801" s="14" t="s">
        <v>5160</v>
      </c>
      <c r="B3801" s="16" t="str">
        <f>TRIM("もと茨田南学校業務サービスセンター")</f>
        <v>もと茨田南学校業務サービスセンター</v>
      </c>
      <c r="C3801" s="14" t="s">
        <v>1531</v>
      </c>
      <c r="D3801" s="14" t="s">
        <v>406</v>
      </c>
      <c r="E3801" s="1"/>
      <c r="F3801" s="2"/>
      <c r="G3801" s="1">
        <v>27.75</v>
      </c>
      <c r="H3801" s="3" t="s">
        <v>7353</v>
      </c>
      <c r="I3801" s="14" t="s">
        <v>4689</v>
      </c>
    </row>
    <row r="3802" spans="1:9" ht="18.75" customHeight="1" x14ac:dyDescent="0.4">
      <c r="A3802" s="14" t="s">
        <v>6415</v>
      </c>
      <c r="B3802" s="16" t="str">
        <f>TRIM("諸口南住宅")</f>
        <v>諸口南住宅</v>
      </c>
      <c r="C3802" s="14" t="s">
        <v>1531</v>
      </c>
      <c r="D3802" s="14" t="s">
        <v>153</v>
      </c>
      <c r="E3802" s="1">
        <v>27821.65</v>
      </c>
      <c r="F3802" s="2" t="s">
        <v>7344</v>
      </c>
      <c r="G3802" s="1">
        <v>41950.07</v>
      </c>
      <c r="H3802" s="3"/>
      <c r="I3802" s="14" t="s">
        <v>6177</v>
      </c>
    </row>
    <row r="3803" spans="1:9" ht="18.75" customHeight="1" x14ac:dyDescent="0.4">
      <c r="A3803" s="14" t="s">
        <v>2796</v>
      </c>
      <c r="B3803" s="16" t="str">
        <f>TRIM("　諸口東公園")</f>
        <v>諸口東公園</v>
      </c>
      <c r="C3803" s="14" t="s">
        <v>1531</v>
      </c>
      <c r="D3803" s="14" t="s">
        <v>153</v>
      </c>
      <c r="E3803" s="1">
        <v>1283.42</v>
      </c>
      <c r="F3803" s="2"/>
      <c r="G3803" s="1"/>
      <c r="H3803" s="3"/>
      <c r="I3803" s="14" t="s">
        <v>2177</v>
      </c>
    </row>
    <row r="3804" spans="1:9" ht="18.75" customHeight="1" x14ac:dyDescent="0.4">
      <c r="A3804" s="14" t="s">
        <v>5393</v>
      </c>
      <c r="B3804" s="16" t="str">
        <f>TRIM("もと諸口南住宅")</f>
        <v>もと諸口南住宅</v>
      </c>
      <c r="C3804" s="14" t="s">
        <v>1531</v>
      </c>
      <c r="D3804" s="14" t="s">
        <v>153</v>
      </c>
      <c r="E3804" s="1">
        <v>0.43</v>
      </c>
      <c r="F3804" s="2"/>
      <c r="G3804" s="1"/>
      <c r="H3804" s="3"/>
      <c r="I3804" s="14" t="s">
        <v>5349</v>
      </c>
    </row>
    <row r="3805" spans="1:9" ht="18.75" customHeight="1" x14ac:dyDescent="0.4">
      <c r="A3805" s="14" t="s">
        <v>6797</v>
      </c>
      <c r="B3805" s="16" t="str">
        <f>TRIM("公社賃貸住宅用地（コーシャハイツ諸口）")</f>
        <v>公社賃貸住宅用地（コーシャハイツ諸口）</v>
      </c>
      <c r="C3805" s="14" t="s">
        <v>1531</v>
      </c>
      <c r="D3805" s="14" t="s">
        <v>153</v>
      </c>
      <c r="E3805" s="1">
        <v>3669.22</v>
      </c>
      <c r="F3805" s="2"/>
      <c r="G3805" s="1"/>
      <c r="H3805" s="3"/>
      <c r="I3805" s="14" t="s">
        <v>6177</v>
      </c>
    </row>
    <row r="3806" spans="1:9" ht="18.75" customHeight="1" x14ac:dyDescent="0.4">
      <c r="A3806" s="14" t="s">
        <v>6836</v>
      </c>
      <c r="B3806" s="16" t="str">
        <f>TRIM("もと区画整理事業用地（南部工区・鶴見）")</f>
        <v>もと区画整理事業用地（南部工区・鶴見）</v>
      </c>
      <c r="C3806" s="14" t="s">
        <v>1531</v>
      </c>
      <c r="D3806" s="14" t="s">
        <v>153</v>
      </c>
      <c r="E3806" s="1">
        <v>181.97</v>
      </c>
      <c r="F3806" s="2"/>
      <c r="G3806" s="1"/>
      <c r="H3806" s="3"/>
      <c r="I3806" s="14" t="s">
        <v>6177</v>
      </c>
    </row>
    <row r="3807" spans="1:9" ht="18.75" customHeight="1" x14ac:dyDescent="0.4">
      <c r="A3807" s="14" t="s">
        <v>4722</v>
      </c>
      <c r="B3807" s="16" t="str">
        <f>TRIM("茨田中学校")</f>
        <v>茨田中学校</v>
      </c>
      <c r="C3807" s="14" t="s">
        <v>1531</v>
      </c>
      <c r="D3807" s="14" t="s">
        <v>717</v>
      </c>
      <c r="E3807" s="1">
        <v>17771.400000000001</v>
      </c>
      <c r="F3807" s="2"/>
      <c r="G3807" s="1">
        <v>7336.36</v>
      </c>
      <c r="H3807" s="3"/>
      <c r="I3807" s="14" t="s">
        <v>4689</v>
      </c>
    </row>
    <row r="3808" spans="1:9" ht="18.75" customHeight="1" x14ac:dyDescent="0.4">
      <c r="A3808" s="14" t="s">
        <v>6286</v>
      </c>
      <c r="B3808" s="16" t="str">
        <f>TRIM("茨田諸口西住宅")</f>
        <v>茨田諸口西住宅</v>
      </c>
      <c r="C3808" s="14" t="s">
        <v>1531</v>
      </c>
      <c r="D3808" s="14" t="s">
        <v>717</v>
      </c>
      <c r="E3808" s="1">
        <v>14873.71</v>
      </c>
      <c r="F3808" s="2"/>
      <c r="G3808" s="1">
        <v>12615.4</v>
      </c>
      <c r="H3808" s="3"/>
      <c r="I3808" s="14" t="s">
        <v>6177</v>
      </c>
    </row>
    <row r="3809" spans="1:9" ht="18.75" customHeight="1" x14ac:dyDescent="0.4">
      <c r="A3809" s="14" t="s">
        <v>6414</v>
      </c>
      <c r="B3809" s="16" t="str">
        <f>TRIM("諸口住宅")</f>
        <v>諸口住宅</v>
      </c>
      <c r="C3809" s="14" t="s">
        <v>1531</v>
      </c>
      <c r="D3809" s="14" t="s">
        <v>756</v>
      </c>
      <c r="E3809" s="1">
        <v>20870.21</v>
      </c>
      <c r="F3809" s="2"/>
      <c r="G3809" s="1">
        <v>18988.03</v>
      </c>
      <c r="H3809" s="3"/>
      <c r="I3809" s="14" t="s">
        <v>6177</v>
      </c>
    </row>
    <row r="3810" spans="1:9" ht="18.75" customHeight="1" x14ac:dyDescent="0.4">
      <c r="A3810" s="14" t="s">
        <v>5275</v>
      </c>
      <c r="B3810" s="16" t="str">
        <f>TRIM("鶴見消防署茨田出張所")</f>
        <v>鶴見消防署茨田出張所</v>
      </c>
      <c r="C3810" s="14" t="s">
        <v>1531</v>
      </c>
      <c r="D3810" s="14" t="s">
        <v>397</v>
      </c>
      <c r="E3810" s="1">
        <v>540.23</v>
      </c>
      <c r="F3810" s="2"/>
      <c r="G3810" s="1">
        <v>280.66000000000003</v>
      </c>
      <c r="H3810" s="3"/>
      <c r="I3810" s="14" t="s">
        <v>5219</v>
      </c>
    </row>
    <row r="3811" spans="1:9" ht="18.75" customHeight="1" x14ac:dyDescent="0.4">
      <c r="A3811" s="14" t="s">
        <v>5838</v>
      </c>
      <c r="B3811" s="16" t="str">
        <f>TRIM("茨田第1保育所")</f>
        <v>茨田第1保育所</v>
      </c>
      <c r="C3811" s="14" t="s">
        <v>1531</v>
      </c>
      <c r="D3811" s="14" t="s">
        <v>397</v>
      </c>
      <c r="E3811" s="1">
        <v>1222.6400000000001</v>
      </c>
      <c r="F3811" s="2"/>
      <c r="G3811" s="1">
        <v>597.4</v>
      </c>
      <c r="H3811" s="3"/>
      <c r="I3811" s="14" t="s">
        <v>5617</v>
      </c>
    </row>
    <row r="3812" spans="1:9" ht="18.75" customHeight="1" x14ac:dyDescent="0.4">
      <c r="A3812" s="14" t="s">
        <v>1905</v>
      </c>
      <c r="B3812" s="16" t="str">
        <f>TRIM("鶴見区在宅サービスセンター")</f>
        <v>鶴見区在宅サービスセンター</v>
      </c>
      <c r="C3812" s="14" t="s">
        <v>1531</v>
      </c>
      <c r="D3812" s="14" t="s">
        <v>397</v>
      </c>
      <c r="E3812" s="1">
        <v>819.8</v>
      </c>
      <c r="F3812" s="2"/>
      <c r="G3812" s="1"/>
      <c r="H3812" s="3"/>
      <c r="I3812" s="14" t="s">
        <v>1654</v>
      </c>
    </row>
    <row r="3813" spans="1:9" ht="18.75" customHeight="1" x14ac:dyDescent="0.4">
      <c r="A3813" s="14" t="s">
        <v>6064</v>
      </c>
      <c r="B3813" s="16" t="str">
        <f>TRIM("諸口詰所")</f>
        <v>諸口詰所</v>
      </c>
      <c r="C3813" s="14" t="s">
        <v>1531</v>
      </c>
      <c r="D3813" s="14" t="s">
        <v>680</v>
      </c>
      <c r="E3813" s="1">
        <v>743.15</v>
      </c>
      <c r="F3813" s="2"/>
      <c r="G3813" s="1">
        <v>186.02</v>
      </c>
      <c r="H3813" s="3"/>
      <c r="I3813" s="14" t="s">
        <v>5977</v>
      </c>
    </row>
    <row r="3814" spans="1:9" ht="18.75" customHeight="1" x14ac:dyDescent="0.4">
      <c r="A3814" s="14" t="s">
        <v>6416</v>
      </c>
      <c r="B3814" s="16" t="str">
        <f>TRIM("諸口北住宅")</f>
        <v>諸口北住宅</v>
      </c>
      <c r="C3814" s="14" t="s">
        <v>1531</v>
      </c>
      <c r="D3814" s="14" t="s">
        <v>680</v>
      </c>
      <c r="E3814" s="1">
        <v>28365.24</v>
      </c>
      <c r="F3814" s="2"/>
      <c r="G3814" s="1">
        <v>33673.64</v>
      </c>
      <c r="H3814" s="3"/>
      <c r="I3814" s="14" t="s">
        <v>6177</v>
      </c>
    </row>
    <row r="3815" spans="1:9" ht="18.75" customHeight="1" x14ac:dyDescent="0.4">
      <c r="A3815" s="14" t="s">
        <v>6730</v>
      </c>
      <c r="B3815" s="16" t="str">
        <f>TRIM("諸口第2住宅")</f>
        <v>諸口第2住宅</v>
      </c>
      <c r="C3815" s="14" t="s">
        <v>1531</v>
      </c>
      <c r="D3815" s="14" t="s">
        <v>680</v>
      </c>
      <c r="E3815" s="1">
        <v>4640.1899999999996</v>
      </c>
      <c r="F3815" s="2"/>
      <c r="G3815" s="1">
        <v>6364.16</v>
      </c>
      <c r="H3815" s="3"/>
      <c r="I3815" s="14" t="s">
        <v>6177</v>
      </c>
    </row>
    <row r="3816" spans="1:9" ht="18.75" customHeight="1" x14ac:dyDescent="0.4">
      <c r="A3816" s="14" t="s">
        <v>2267</v>
      </c>
      <c r="B3816" s="16" t="str">
        <f>TRIM("大阪生駒線（鶴見）（管財課）")</f>
        <v>大阪生駒線（鶴見）（管財課）</v>
      </c>
      <c r="C3816" s="14" t="s">
        <v>1531</v>
      </c>
      <c r="D3816" s="14" t="s">
        <v>680</v>
      </c>
      <c r="E3816" s="1">
        <v>1422.32</v>
      </c>
      <c r="F3816" s="2"/>
      <c r="G3816" s="1"/>
      <c r="H3816" s="3"/>
      <c r="I3816" s="14" t="s">
        <v>2177</v>
      </c>
    </row>
    <row r="3817" spans="1:9" ht="18.75" customHeight="1" x14ac:dyDescent="0.4">
      <c r="A3817" s="14" t="s">
        <v>6798</v>
      </c>
      <c r="B3817" s="16" t="str">
        <f>TRIM("公社賃貸住宅用地（コーシャハイツ諸口北）")</f>
        <v>公社賃貸住宅用地（コーシャハイツ諸口北）</v>
      </c>
      <c r="C3817" s="14" t="s">
        <v>1531</v>
      </c>
      <c r="D3817" s="14" t="s">
        <v>680</v>
      </c>
      <c r="E3817" s="1">
        <v>2551.15</v>
      </c>
      <c r="F3817" s="2"/>
      <c r="G3817" s="1"/>
      <c r="H3817" s="3"/>
      <c r="I3817" s="14" t="s">
        <v>6177</v>
      </c>
    </row>
    <row r="3818" spans="1:9" ht="18.75" customHeight="1" x14ac:dyDescent="0.4">
      <c r="A3818" s="14" t="s">
        <v>2048</v>
      </c>
      <c r="B3818" s="16" t="str">
        <f>TRIM("焼野地域集会所")</f>
        <v>焼野地域集会所</v>
      </c>
      <c r="C3818" s="14" t="s">
        <v>1531</v>
      </c>
      <c r="D3818" s="14" t="s">
        <v>355</v>
      </c>
      <c r="E3818" s="1">
        <v>165.09</v>
      </c>
      <c r="F3818" s="2"/>
      <c r="G3818" s="1">
        <v>197.8</v>
      </c>
      <c r="H3818" s="3"/>
      <c r="I3818" s="14" t="s">
        <v>1992</v>
      </c>
    </row>
    <row r="3819" spans="1:9" ht="18.75" customHeight="1" x14ac:dyDescent="0.4">
      <c r="A3819" s="14" t="s">
        <v>4863</v>
      </c>
      <c r="B3819" s="16" t="str">
        <f>TRIM("焼野小学校")</f>
        <v>焼野小学校</v>
      </c>
      <c r="C3819" s="14" t="s">
        <v>1531</v>
      </c>
      <c r="D3819" s="14" t="s">
        <v>355</v>
      </c>
      <c r="E3819" s="1">
        <v>8861.31</v>
      </c>
      <c r="F3819" s="2"/>
      <c r="G3819" s="1">
        <v>5754.18</v>
      </c>
      <c r="H3819" s="3"/>
      <c r="I3819" s="14" t="s">
        <v>4689</v>
      </c>
    </row>
    <row r="3820" spans="1:9" ht="18.75" customHeight="1" x14ac:dyDescent="0.4">
      <c r="A3820" s="14" t="s">
        <v>6733</v>
      </c>
      <c r="B3820" s="16" t="str">
        <f>TRIM("焼野住宅")</f>
        <v>焼野住宅</v>
      </c>
      <c r="C3820" s="14" t="s">
        <v>1531</v>
      </c>
      <c r="D3820" s="14" t="s">
        <v>355</v>
      </c>
      <c r="E3820" s="1">
        <v>24005.63</v>
      </c>
      <c r="F3820" s="2"/>
      <c r="G3820" s="1">
        <v>22456.83</v>
      </c>
      <c r="H3820" s="3"/>
      <c r="I3820" s="14" t="s">
        <v>6177</v>
      </c>
    </row>
    <row r="3821" spans="1:9" ht="18.75" customHeight="1" x14ac:dyDescent="0.4">
      <c r="A3821" s="14" t="s">
        <v>1732</v>
      </c>
      <c r="B3821" s="16" t="str">
        <f>TRIM("障がい福祉サービス事業所　鶴見希望の会")</f>
        <v>障がい福祉サービス事業所　鶴見希望の会</v>
      </c>
      <c r="C3821" s="14" t="s">
        <v>1531</v>
      </c>
      <c r="D3821" s="14" t="s">
        <v>355</v>
      </c>
      <c r="E3821" s="1">
        <v>195.01</v>
      </c>
      <c r="F3821" s="2"/>
      <c r="G3821" s="1"/>
      <c r="H3821" s="3"/>
      <c r="I3821" s="14" t="s">
        <v>1654</v>
      </c>
    </row>
    <row r="3822" spans="1:9" ht="18.75" customHeight="1" x14ac:dyDescent="0.4">
      <c r="A3822" s="14" t="s">
        <v>2815</v>
      </c>
      <c r="B3822" s="16" t="str">
        <f>TRIM("　焼野南さくら公園")</f>
        <v>焼野南さくら公園</v>
      </c>
      <c r="C3822" s="14" t="s">
        <v>1531</v>
      </c>
      <c r="D3822" s="14" t="s">
        <v>355</v>
      </c>
      <c r="E3822" s="1">
        <v>1600.28</v>
      </c>
      <c r="F3822" s="2"/>
      <c r="G3822" s="1"/>
      <c r="H3822" s="3"/>
      <c r="I3822" s="14" t="s">
        <v>2177</v>
      </c>
    </row>
    <row r="3823" spans="1:9" ht="18.75" customHeight="1" x14ac:dyDescent="0.4">
      <c r="A3823" s="14" t="s">
        <v>6088</v>
      </c>
      <c r="B3823" s="16" t="str">
        <f>TRIM("もと鶴見リサイクル選別センター")</f>
        <v>もと鶴見リサイクル選別センター</v>
      </c>
      <c r="C3823" s="14" t="s">
        <v>1531</v>
      </c>
      <c r="D3823" s="14" t="s">
        <v>355</v>
      </c>
      <c r="E3823" s="1"/>
      <c r="F3823" s="2"/>
      <c r="G3823" s="1">
        <v>56.71</v>
      </c>
      <c r="H3823" s="3"/>
      <c r="I3823" s="14" t="s">
        <v>5977</v>
      </c>
    </row>
    <row r="3824" spans="1:9" ht="18.75" customHeight="1" x14ac:dyDescent="0.4">
      <c r="A3824" s="14" t="s">
        <v>6039</v>
      </c>
      <c r="B3824" s="16" t="str">
        <f>TRIM("城北環境事業センター")</f>
        <v>城北環境事業センター</v>
      </c>
      <c r="C3824" s="14" t="s">
        <v>1531</v>
      </c>
      <c r="D3824" s="14" t="s">
        <v>673</v>
      </c>
      <c r="E3824" s="1">
        <v>9322.7800000000007</v>
      </c>
      <c r="F3824" s="2"/>
      <c r="G3824" s="1">
        <v>6086.42</v>
      </c>
      <c r="H3824" s="3"/>
      <c r="I3824" s="14" t="s">
        <v>5977</v>
      </c>
    </row>
    <row r="3825" spans="1:9" ht="18.75" customHeight="1" x14ac:dyDescent="0.4">
      <c r="A3825" s="14" t="s">
        <v>2307</v>
      </c>
      <c r="B3825" s="16" t="str">
        <f>TRIM("道路（鶴見）（管財課）")</f>
        <v>道路（鶴見）（管財課）</v>
      </c>
      <c r="C3825" s="14" t="s">
        <v>1531</v>
      </c>
      <c r="D3825" s="14" t="s">
        <v>673</v>
      </c>
      <c r="E3825" s="1">
        <v>636037.38</v>
      </c>
      <c r="F3825" s="2"/>
      <c r="G3825" s="1"/>
      <c r="H3825" s="3"/>
      <c r="I3825" s="14" t="s">
        <v>2177</v>
      </c>
    </row>
    <row r="3826" spans="1:9" ht="18.75" customHeight="1" x14ac:dyDescent="0.4">
      <c r="A3826" s="14" t="s">
        <v>2814</v>
      </c>
      <c r="B3826" s="16" t="str">
        <f>TRIM("　焼野公園")</f>
        <v>焼野公園</v>
      </c>
      <c r="C3826" s="14" t="s">
        <v>1531</v>
      </c>
      <c r="D3826" s="14" t="s">
        <v>673</v>
      </c>
      <c r="E3826" s="1">
        <v>711.98</v>
      </c>
      <c r="F3826" s="2"/>
      <c r="G3826" s="1"/>
      <c r="H3826" s="3"/>
      <c r="I3826" s="14" t="s">
        <v>2177</v>
      </c>
    </row>
    <row r="3827" spans="1:9" ht="18.75" customHeight="1" x14ac:dyDescent="0.4">
      <c r="A3827" s="14" t="s">
        <v>2816</v>
      </c>
      <c r="B3827" s="16" t="str">
        <f>TRIM("　焼野南公園")</f>
        <v>焼野南公園</v>
      </c>
      <c r="C3827" s="14" t="s">
        <v>1531</v>
      </c>
      <c r="D3827" s="14" t="s">
        <v>673</v>
      </c>
      <c r="E3827" s="1">
        <v>2000.36</v>
      </c>
      <c r="F3827" s="2"/>
      <c r="G3827" s="1"/>
      <c r="H3827" s="3"/>
      <c r="I3827" s="14" t="s">
        <v>2177</v>
      </c>
    </row>
    <row r="3828" spans="1:9" ht="18.75" customHeight="1" x14ac:dyDescent="0.4">
      <c r="A3828" s="14" t="s">
        <v>6071</v>
      </c>
      <c r="B3828" s="16" t="str">
        <f>TRIM("鶴見工場")</f>
        <v>鶴見工場</v>
      </c>
      <c r="C3828" s="14" t="s">
        <v>1531</v>
      </c>
      <c r="D3828" s="14" t="s">
        <v>673</v>
      </c>
      <c r="E3828" s="1">
        <v>24935.33</v>
      </c>
      <c r="F3828" s="2"/>
      <c r="G3828" s="1"/>
      <c r="H3828" s="3"/>
      <c r="I3828" s="14" t="s">
        <v>5977</v>
      </c>
    </row>
    <row r="3829" spans="1:9" ht="18.75" customHeight="1" x14ac:dyDescent="0.4">
      <c r="A3829" s="14" t="s">
        <v>6093</v>
      </c>
      <c r="B3829" s="16" t="str">
        <f>TRIM("鶴見工場（局管理分）")</f>
        <v>鶴見工場（局管理分）</v>
      </c>
      <c r="C3829" s="14" t="s">
        <v>1531</v>
      </c>
      <c r="D3829" s="14" t="s">
        <v>673</v>
      </c>
      <c r="E3829" s="1">
        <v>6597.21</v>
      </c>
      <c r="F3829" s="2"/>
      <c r="G3829" s="1"/>
      <c r="H3829" s="3"/>
      <c r="I3829" s="14" t="s">
        <v>5977</v>
      </c>
    </row>
    <row r="3830" spans="1:9" ht="18.75" customHeight="1" x14ac:dyDescent="0.4">
      <c r="A3830" s="14" t="s">
        <v>6051</v>
      </c>
      <c r="B3830" s="16" t="str">
        <f>TRIM("環境局鶴見容器包装プラスチック中継施設及び環境局鶴見資源ごみ中継地")</f>
        <v>環境局鶴見容器包装プラスチック中継施設及び環境局鶴見資源ごみ中継地</v>
      </c>
      <c r="C3830" s="14" t="s">
        <v>1531</v>
      </c>
      <c r="D3830" s="14" t="s">
        <v>1548</v>
      </c>
      <c r="E3830" s="1"/>
      <c r="F3830" s="2"/>
      <c r="G3830" s="1">
        <v>1176.53</v>
      </c>
      <c r="H3830" s="3"/>
      <c r="I3830" s="14" t="s">
        <v>5977</v>
      </c>
    </row>
    <row r="3831" spans="1:9" ht="18.75" customHeight="1" x14ac:dyDescent="0.4">
      <c r="A3831" s="14" t="s">
        <v>4720</v>
      </c>
      <c r="B3831" s="16" t="str">
        <f>TRIM("茨田小学校")</f>
        <v>茨田小学校</v>
      </c>
      <c r="C3831" s="14" t="s">
        <v>1531</v>
      </c>
      <c r="D3831" s="14" t="s">
        <v>416</v>
      </c>
      <c r="E3831" s="1">
        <v>11970.44</v>
      </c>
      <c r="F3831" s="2"/>
      <c r="G3831" s="1">
        <v>7837</v>
      </c>
      <c r="H3831" s="3"/>
      <c r="I3831" s="14" t="s">
        <v>4689</v>
      </c>
    </row>
    <row r="3832" spans="1:9" ht="18.75" customHeight="1" x14ac:dyDescent="0.4">
      <c r="A3832" s="14" t="s">
        <v>1936</v>
      </c>
      <c r="B3832" s="16" t="str">
        <f>TRIM("特別養護老人ホームファミリー・茨田北地域在宅サービスステーション")</f>
        <v>特別養護老人ホームファミリー・茨田北地域在宅サービスステーション</v>
      </c>
      <c r="C3832" s="14" t="s">
        <v>1531</v>
      </c>
      <c r="D3832" s="14" t="s">
        <v>416</v>
      </c>
      <c r="E3832" s="1">
        <v>3670</v>
      </c>
      <c r="F3832" s="2"/>
      <c r="G3832" s="1"/>
      <c r="H3832" s="3"/>
      <c r="I3832" s="14" t="s">
        <v>1654</v>
      </c>
    </row>
    <row r="3833" spans="1:9" ht="18.75" customHeight="1" x14ac:dyDescent="0.4">
      <c r="A3833" s="14" t="s">
        <v>3716</v>
      </c>
      <c r="B3833" s="16" t="str">
        <f>TRIM(" 安田自転車保管所管理事務所")</f>
        <v>安田自転車保管所管理事務所</v>
      </c>
      <c r="C3833" s="14" t="s">
        <v>1531</v>
      </c>
      <c r="D3833" s="14" t="s">
        <v>416</v>
      </c>
      <c r="E3833" s="1"/>
      <c r="F3833" s="2"/>
      <c r="G3833" s="1">
        <v>44.87</v>
      </c>
      <c r="H3833" s="3"/>
      <c r="I3833" s="14" t="s">
        <v>2177</v>
      </c>
    </row>
    <row r="3834" spans="1:9" ht="18.75" customHeight="1" x14ac:dyDescent="0.4">
      <c r="A3834" s="14" t="s">
        <v>3773</v>
      </c>
      <c r="B3834" s="16" t="str">
        <f>TRIM("安田自転車保管所")</f>
        <v>安田自転車保管所</v>
      </c>
      <c r="C3834" s="14" t="s">
        <v>1531</v>
      </c>
      <c r="D3834" s="14" t="s">
        <v>416</v>
      </c>
      <c r="E3834" s="1"/>
      <c r="F3834" s="2"/>
      <c r="G3834" s="1">
        <v>17.39</v>
      </c>
      <c r="H3834" s="3"/>
      <c r="I3834" s="14" t="s">
        <v>2177</v>
      </c>
    </row>
    <row r="3835" spans="1:9" ht="18.75" customHeight="1" x14ac:dyDescent="0.4">
      <c r="A3835" s="14" t="s">
        <v>2557</v>
      </c>
      <c r="B3835" s="16" t="str">
        <f>TRIM("　安田公園")</f>
        <v>安田公園</v>
      </c>
      <c r="C3835" s="14" t="s">
        <v>1531</v>
      </c>
      <c r="D3835" s="14" t="s">
        <v>692</v>
      </c>
      <c r="E3835" s="1">
        <v>1602.65</v>
      </c>
      <c r="F3835" s="2"/>
      <c r="G3835" s="1"/>
      <c r="H3835" s="3"/>
      <c r="I3835" s="14" t="s">
        <v>2177</v>
      </c>
    </row>
    <row r="3836" spans="1:9" ht="18.75" customHeight="1" x14ac:dyDescent="0.4">
      <c r="A3836" s="14" t="s">
        <v>4587</v>
      </c>
      <c r="B3836" s="16" t="str">
        <f>TRIM("茨田北地域集会所")</f>
        <v>茨田北地域集会所</v>
      </c>
      <c r="C3836" s="14" t="s">
        <v>1531</v>
      </c>
      <c r="D3836" s="14" t="s">
        <v>692</v>
      </c>
      <c r="E3836" s="1">
        <v>392.9</v>
      </c>
      <c r="F3836" s="2"/>
      <c r="G3836" s="1"/>
      <c r="H3836" s="3"/>
      <c r="I3836" s="14" t="s">
        <v>1992</v>
      </c>
    </row>
    <row r="3837" spans="1:9" ht="18.75" customHeight="1" x14ac:dyDescent="0.4">
      <c r="A3837" s="14" t="s">
        <v>6183</v>
      </c>
      <c r="B3837" s="16" t="str">
        <f>TRIM("茨田安田住宅用地")</f>
        <v>茨田安田住宅用地</v>
      </c>
      <c r="C3837" s="14" t="s">
        <v>1531</v>
      </c>
      <c r="D3837" s="14" t="s">
        <v>692</v>
      </c>
      <c r="E3837" s="1">
        <v>0.09</v>
      </c>
      <c r="F3837" s="2"/>
      <c r="G3837" s="1"/>
      <c r="H3837" s="3"/>
      <c r="I3837" s="14" t="s">
        <v>6177</v>
      </c>
    </row>
    <row r="3838" spans="1:9" ht="18.75" customHeight="1" x14ac:dyDescent="0.4">
      <c r="A3838" s="14" t="s">
        <v>4059</v>
      </c>
      <c r="B3838" s="16" t="str">
        <f>TRIM("西三荘抽水所")</f>
        <v>西三荘抽水所</v>
      </c>
      <c r="C3838" s="14" t="s">
        <v>1531</v>
      </c>
      <c r="D3838" s="14" t="s">
        <v>724</v>
      </c>
      <c r="E3838" s="1">
        <v>3217.48</v>
      </c>
      <c r="F3838" s="2"/>
      <c r="G3838" s="1">
        <v>1555.99</v>
      </c>
      <c r="H3838" s="3"/>
      <c r="I3838" s="14" t="s">
        <v>2177</v>
      </c>
    </row>
    <row r="3839" spans="1:9" ht="18.75" customHeight="1" x14ac:dyDescent="0.4">
      <c r="A3839" s="14" t="s">
        <v>4738</v>
      </c>
      <c r="B3839" s="16" t="str">
        <f>TRIM("横堤小学校")</f>
        <v>横堤小学校</v>
      </c>
      <c r="C3839" s="14" t="s">
        <v>1531</v>
      </c>
      <c r="D3839" s="14" t="s">
        <v>724</v>
      </c>
      <c r="E3839" s="1">
        <v>11593.81</v>
      </c>
      <c r="F3839" s="2"/>
      <c r="G3839" s="1">
        <v>8694.68</v>
      </c>
      <c r="H3839" s="3"/>
      <c r="I3839" s="14" t="s">
        <v>4689</v>
      </c>
    </row>
    <row r="3840" spans="1:9" ht="18.75" customHeight="1" x14ac:dyDescent="0.4">
      <c r="A3840" s="14" t="s">
        <v>4739</v>
      </c>
      <c r="B3840" s="16" t="str">
        <f>TRIM("横堤中学校")</f>
        <v>横堤中学校</v>
      </c>
      <c r="C3840" s="14" t="s">
        <v>1531</v>
      </c>
      <c r="D3840" s="14" t="s">
        <v>724</v>
      </c>
      <c r="E3840" s="1">
        <v>16047.67</v>
      </c>
      <c r="F3840" s="2"/>
      <c r="G3840" s="1">
        <v>5934.14</v>
      </c>
      <c r="H3840" s="3"/>
      <c r="I3840" s="14" t="s">
        <v>4689</v>
      </c>
    </row>
    <row r="3841" spans="1:9" ht="18.75" customHeight="1" x14ac:dyDescent="0.4">
      <c r="A3841" s="14" t="s">
        <v>6304</v>
      </c>
      <c r="B3841" s="16" t="str">
        <f>TRIM("横堤第2住宅")</f>
        <v>横堤第2住宅</v>
      </c>
      <c r="C3841" s="14" t="s">
        <v>1531</v>
      </c>
      <c r="D3841" s="14" t="s">
        <v>724</v>
      </c>
      <c r="E3841" s="1">
        <v>13857.16</v>
      </c>
      <c r="F3841" s="2"/>
      <c r="G3841" s="1">
        <v>14135.05</v>
      </c>
      <c r="H3841" s="3"/>
      <c r="I3841" s="14" t="s">
        <v>6177</v>
      </c>
    </row>
    <row r="3842" spans="1:9" ht="18.75" customHeight="1" x14ac:dyDescent="0.4">
      <c r="A3842" s="14" t="s">
        <v>3775</v>
      </c>
      <c r="B3842" s="16" t="str">
        <f>TRIM("横堤駅自転車駐車場－４（自転車施策担当）")</f>
        <v>横堤駅自転車駐車場－４（自転車施策担当）</v>
      </c>
      <c r="C3842" s="14" t="s">
        <v>1531</v>
      </c>
      <c r="D3842" s="14" t="s">
        <v>724</v>
      </c>
      <c r="E3842" s="1">
        <v>180.88</v>
      </c>
      <c r="F3842" s="2"/>
      <c r="G3842" s="1"/>
      <c r="H3842" s="3"/>
      <c r="I3842" s="14" t="s">
        <v>2177</v>
      </c>
    </row>
    <row r="3843" spans="1:9" ht="18.75" customHeight="1" x14ac:dyDescent="0.4">
      <c r="A3843" s="14" t="s">
        <v>3776</v>
      </c>
      <c r="B3843" s="16" t="str">
        <f>TRIM("横堤駅自転車駐車場管理ボックス")</f>
        <v>横堤駅自転車駐車場管理ボックス</v>
      </c>
      <c r="C3843" s="14" t="s">
        <v>1531</v>
      </c>
      <c r="D3843" s="14" t="s">
        <v>724</v>
      </c>
      <c r="E3843" s="1"/>
      <c r="F3843" s="2"/>
      <c r="G3843" s="1">
        <v>1.44</v>
      </c>
      <c r="H3843" s="3"/>
      <c r="I3843" s="14" t="s">
        <v>2177</v>
      </c>
    </row>
    <row r="3844" spans="1:9" ht="18.75" customHeight="1" x14ac:dyDescent="0.4">
      <c r="A3844" s="14" t="s">
        <v>4024</v>
      </c>
      <c r="B3844" s="16" t="str">
        <f>TRIM("下水道用地（鶴見）")</f>
        <v>下水道用地（鶴見）</v>
      </c>
      <c r="C3844" s="14" t="s">
        <v>1531</v>
      </c>
      <c r="D3844" s="14" t="s">
        <v>724</v>
      </c>
      <c r="E3844" s="1">
        <v>90648.13</v>
      </c>
      <c r="F3844" s="2"/>
      <c r="G3844" s="1"/>
      <c r="H3844" s="3"/>
      <c r="I3844" s="14" t="s">
        <v>2177</v>
      </c>
    </row>
    <row r="3845" spans="1:9" ht="18.75" customHeight="1" x14ac:dyDescent="0.4">
      <c r="A3845" s="14" t="s">
        <v>5311</v>
      </c>
      <c r="B3845" s="16" t="str">
        <f>TRIM("防火水槽用地（鶴見）")</f>
        <v>防火水槽用地（鶴見）</v>
      </c>
      <c r="C3845" s="14" t="s">
        <v>1531</v>
      </c>
      <c r="D3845" s="14" t="s">
        <v>724</v>
      </c>
      <c r="E3845" s="1">
        <v>54.59</v>
      </c>
      <c r="F3845" s="2"/>
      <c r="G3845" s="1"/>
      <c r="H3845" s="3"/>
      <c r="I3845" s="14" t="s">
        <v>5219</v>
      </c>
    </row>
    <row r="3846" spans="1:9" ht="18.75" customHeight="1" x14ac:dyDescent="0.4">
      <c r="A3846" s="14" t="s">
        <v>6718</v>
      </c>
      <c r="B3846" s="16" t="str">
        <f>TRIM("横堤住宅")</f>
        <v>横堤住宅</v>
      </c>
      <c r="C3846" s="14" t="s">
        <v>1531</v>
      </c>
      <c r="D3846" s="14" t="s">
        <v>853</v>
      </c>
      <c r="E3846" s="1">
        <v>10261.11</v>
      </c>
      <c r="F3846" s="2"/>
      <c r="G3846" s="1">
        <v>7187.77</v>
      </c>
      <c r="H3846" s="3"/>
      <c r="I3846" s="14" t="s">
        <v>6177</v>
      </c>
    </row>
    <row r="3847" spans="1:9" ht="18.75" customHeight="1" x14ac:dyDescent="0.4">
      <c r="A3847" s="14" t="s">
        <v>2589</v>
      </c>
      <c r="B3847" s="16" t="str">
        <f>TRIM("　横堤南公園")</f>
        <v>横堤南公園</v>
      </c>
      <c r="C3847" s="14" t="s">
        <v>1531</v>
      </c>
      <c r="D3847" s="14" t="s">
        <v>853</v>
      </c>
      <c r="E3847" s="1">
        <v>689.9</v>
      </c>
      <c r="F3847" s="2"/>
      <c r="G3847" s="1"/>
      <c r="H3847" s="3"/>
      <c r="I3847" s="14" t="s">
        <v>2177</v>
      </c>
    </row>
    <row r="3848" spans="1:9" ht="18.75" customHeight="1" x14ac:dyDescent="0.4">
      <c r="A3848" s="14" t="s">
        <v>6303</v>
      </c>
      <c r="B3848" s="16" t="str">
        <f>TRIM("横堤第1住宅")</f>
        <v>横堤第1住宅</v>
      </c>
      <c r="C3848" s="14" t="s">
        <v>1531</v>
      </c>
      <c r="D3848" s="14" t="s">
        <v>723</v>
      </c>
      <c r="E3848" s="1">
        <v>9814.17</v>
      </c>
      <c r="F3848" s="2"/>
      <c r="G3848" s="1">
        <v>12043.86</v>
      </c>
      <c r="H3848" s="3"/>
      <c r="I3848" s="14" t="s">
        <v>6177</v>
      </c>
    </row>
    <row r="3849" spans="1:9" ht="18.75" customHeight="1" x14ac:dyDescent="0.4">
      <c r="A3849" s="14" t="s">
        <v>1991</v>
      </c>
      <c r="B3849" s="16" t="str">
        <f>TRIM("横堤地域集会所")</f>
        <v>横堤地域集会所</v>
      </c>
      <c r="C3849" s="14" t="s">
        <v>1531</v>
      </c>
      <c r="D3849" s="14" t="s">
        <v>723</v>
      </c>
      <c r="E3849" s="1">
        <v>189.95</v>
      </c>
      <c r="F3849" s="2"/>
      <c r="G3849" s="1"/>
      <c r="H3849" s="3"/>
      <c r="I3849" s="14" t="s">
        <v>1992</v>
      </c>
    </row>
    <row r="3850" spans="1:9" ht="18.75" customHeight="1" x14ac:dyDescent="0.4">
      <c r="A3850" s="14" t="s">
        <v>2587</v>
      </c>
      <c r="B3850" s="16" t="str">
        <f>TRIM("　横堤中公園")</f>
        <v>横堤中公園</v>
      </c>
      <c r="C3850" s="14" t="s">
        <v>1531</v>
      </c>
      <c r="D3850" s="14" t="s">
        <v>723</v>
      </c>
      <c r="E3850" s="1">
        <v>1317.3</v>
      </c>
      <c r="F3850" s="2"/>
      <c r="G3850" s="1"/>
      <c r="H3850" s="3"/>
      <c r="I3850" s="14" t="s">
        <v>2177</v>
      </c>
    </row>
    <row r="3851" spans="1:9" ht="18.75" customHeight="1" x14ac:dyDescent="0.4">
      <c r="A3851" s="14" t="s">
        <v>2588</v>
      </c>
      <c r="B3851" s="16" t="str">
        <f>TRIM("　横堤東公園")</f>
        <v>横堤東公園</v>
      </c>
      <c r="C3851" s="14" t="s">
        <v>1531</v>
      </c>
      <c r="D3851" s="14" t="s">
        <v>723</v>
      </c>
      <c r="E3851" s="1">
        <v>1915.39</v>
      </c>
      <c r="F3851" s="2"/>
      <c r="G3851" s="1"/>
      <c r="H3851" s="3"/>
      <c r="I3851" s="14" t="s">
        <v>2177</v>
      </c>
    </row>
    <row r="3852" spans="1:9" ht="18.75" customHeight="1" x14ac:dyDescent="0.4">
      <c r="A3852" s="14" t="s">
        <v>6305</v>
      </c>
      <c r="B3852" s="16" t="str">
        <f>TRIM("横堤北住宅")</f>
        <v>横堤北住宅</v>
      </c>
      <c r="C3852" s="14" t="s">
        <v>1531</v>
      </c>
      <c r="D3852" s="14" t="s">
        <v>558</v>
      </c>
      <c r="E3852" s="1">
        <v>7658.37</v>
      </c>
      <c r="F3852" s="2"/>
      <c r="G3852" s="1">
        <v>15382.06</v>
      </c>
      <c r="H3852" s="3"/>
      <c r="I3852" s="14" t="s">
        <v>6177</v>
      </c>
    </row>
    <row r="3853" spans="1:9" ht="18.75" customHeight="1" x14ac:dyDescent="0.4">
      <c r="A3853" s="14" t="s">
        <v>4591</v>
      </c>
      <c r="B3853" s="16" t="str">
        <f>TRIM("廃道（鶴見）")</f>
        <v>廃道（鶴見）</v>
      </c>
      <c r="C3853" s="14" t="s">
        <v>1531</v>
      </c>
      <c r="D3853" s="14" t="s">
        <v>558</v>
      </c>
      <c r="E3853" s="1">
        <v>30.99</v>
      </c>
      <c r="F3853" s="2"/>
      <c r="G3853" s="1"/>
      <c r="H3853" s="3"/>
      <c r="I3853" s="14" t="s">
        <v>1992</v>
      </c>
    </row>
    <row r="3854" spans="1:9" ht="18.75" customHeight="1" x14ac:dyDescent="0.4">
      <c r="A3854" s="14" t="s">
        <v>5839</v>
      </c>
      <c r="B3854" s="16" t="str">
        <f>TRIM("茨田第2保育所")</f>
        <v>茨田第2保育所</v>
      </c>
      <c r="C3854" s="14" t="s">
        <v>1531</v>
      </c>
      <c r="D3854" s="14" t="s">
        <v>558</v>
      </c>
      <c r="E3854" s="1">
        <v>1244.92</v>
      </c>
      <c r="F3854" s="2"/>
      <c r="G3854" s="1"/>
      <c r="H3854" s="3"/>
      <c r="I3854" s="14" t="s">
        <v>5617</v>
      </c>
    </row>
    <row r="3855" spans="1:9" ht="18.75" customHeight="1" x14ac:dyDescent="0.4">
      <c r="A3855" s="14" t="s">
        <v>5944</v>
      </c>
      <c r="B3855" s="16" t="str">
        <f>TRIM(" 茨田第2保育所")</f>
        <v>茨田第2保育所</v>
      </c>
      <c r="C3855" s="14" t="s">
        <v>1531</v>
      </c>
      <c r="D3855" s="14" t="s">
        <v>558</v>
      </c>
      <c r="E3855" s="1"/>
      <c r="F3855" s="2"/>
      <c r="G3855" s="1">
        <v>713</v>
      </c>
      <c r="H3855" s="3"/>
      <c r="I3855" s="14" t="s">
        <v>5617</v>
      </c>
    </row>
    <row r="3856" spans="1:9" ht="18.75" customHeight="1" x14ac:dyDescent="0.4">
      <c r="A3856" s="14" t="s">
        <v>6285</v>
      </c>
      <c r="B3856" s="16" t="str">
        <f>TRIM("茨田横堤北住宅")</f>
        <v>茨田横堤北住宅</v>
      </c>
      <c r="C3856" s="14" t="s">
        <v>1531</v>
      </c>
      <c r="D3856" s="14" t="s">
        <v>558</v>
      </c>
      <c r="E3856" s="1">
        <v>144.51</v>
      </c>
      <c r="F3856" s="2"/>
      <c r="G3856" s="1"/>
      <c r="H3856" s="3"/>
      <c r="I3856" s="14" t="s">
        <v>6177</v>
      </c>
    </row>
    <row r="3857" spans="1:9" ht="18.75" customHeight="1" x14ac:dyDescent="0.4">
      <c r="A3857" s="14" t="s">
        <v>1819</v>
      </c>
      <c r="B3857" s="16" t="str">
        <f>TRIM("鶴見区老人福祉センター")</f>
        <v>鶴見区老人福祉センター</v>
      </c>
      <c r="C3857" s="14" t="s">
        <v>1531</v>
      </c>
      <c r="D3857" s="14" t="s">
        <v>308</v>
      </c>
      <c r="E3857" s="1">
        <v>820.78</v>
      </c>
      <c r="F3857" s="2"/>
      <c r="G3857" s="1">
        <v>1132.53</v>
      </c>
      <c r="H3857" s="3"/>
      <c r="I3857" s="14" t="s">
        <v>1654</v>
      </c>
    </row>
    <row r="3858" spans="1:9" ht="18.75" customHeight="1" x14ac:dyDescent="0.4">
      <c r="A3858" s="14" t="s">
        <v>4584</v>
      </c>
      <c r="B3858" s="16" t="str">
        <f>TRIM("鶴見区役所")</f>
        <v>鶴見区役所</v>
      </c>
      <c r="C3858" s="14" t="s">
        <v>1531</v>
      </c>
      <c r="D3858" s="14" t="s">
        <v>308</v>
      </c>
      <c r="E3858" s="1">
        <v>4091.07</v>
      </c>
      <c r="F3858" s="2"/>
      <c r="G3858" s="1">
        <v>6236.38</v>
      </c>
      <c r="H3858" s="3"/>
      <c r="I3858" s="14" t="s">
        <v>1992</v>
      </c>
    </row>
    <row r="3859" spans="1:9" ht="18.75" customHeight="1" x14ac:dyDescent="0.4">
      <c r="A3859" s="14" t="s">
        <v>4590</v>
      </c>
      <c r="B3859" s="16" t="str">
        <f>TRIM("鶴見区民センター")</f>
        <v>鶴見区民センター</v>
      </c>
      <c r="C3859" s="14" t="s">
        <v>1531</v>
      </c>
      <c r="D3859" s="14" t="s">
        <v>308</v>
      </c>
      <c r="E3859" s="1">
        <v>4468.6400000000003</v>
      </c>
      <c r="F3859" s="2"/>
      <c r="G3859" s="1">
        <v>5348.07</v>
      </c>
      <c r="H3859" s="3"/>
      <c r="I3859" s="14" t="s">
        <v>1992</v>
      </c>
    </row>
    <row r="3860" spans="1:9" ht="18.75" customHeight="1" x14ac:dyDescent="0.4">
      <c r="A3860" s="14" t="s">
        <v>4721</v>
      </c>
      <c r="B3860" s="16" t="str">
        <f>TRIM("茨田西小学校")</f>
        <v>茨田西小学校</v>
      </c>
      <c r="C3860" s="14" t="s">
        <v>1531</v>
      </c>
      <c r="D3860" s="14" t="s">
        <v>308</v>
      </c>
      <c r="E3860" s="1">
        <v>15079.28</v>
      </c>
      <c r="F3860" s="2"/>
      <c r="G3860" s="1">
        <v>6403.33</v>
      </c>
      <c r="H3860" s="3"/>
      <c r="I3860" s="14" t="s">
        <v>4689</v>
      </c>
    </row>
    <row r="3861" spans="1:9" ht="18.75" customHeight="1" x14ac:dyDescent="0.4">
      <c r="A3861" s="14" t="s">
        <v>5274</v>
      </c>
      <c r="B3861" s="16" t="str">
        <f>TRIM("鶴見消防署")</f>
        <v>鶴見消防署</v>
      </c>
      <c r="C3861" s="14" t="s">
        <v>1531</v>
      </c>
      <c r="D3861" s="14" t="s">
        <v>308</v>
      </c>
      <c r="E3861" s="1">
        <v>1625.83</v>
      </c>
      <c r="F3861" s="2"/>
      <c r="G3861" s="1">
        <v>3361.74</v>
      </c>
      <c r="H3861" s="3"/>
      <c r="I3861" s="14" t="s">
        <v>5219</v>
      </c>
    </row>
    <row r="3862" spans="1:9" ht="18.75" customHeight="1" x14ac:dyDescent="0.4">
      <c r="A3862" s="14" t="s">
        <v>5754</v>
      </c>
      <c r="B3862" s="16" t="str">
        <f>TRIM("鶴見はとぽっぽ保育園")</f>
        <v>鶴見はとぽっぽ保育園</v>
      </c>
      <c r="C3862" s="14" t="s">
        <v>1531</v>
      </c>
      <c r="D3862" s="14" t="s">
        <v>308</v>
      </c>
      <c r="E3862" s="1">
        <v>418.88</v>
      </c>
      <c r="F3862" s="2"/>
      <c r="G3862" s="1">
        <v>577.99</v>
      </c>
      <c r="H3862" s="3"/>
      <c r="I3862" s="14" t="s">
        <v>5617</v>
      </c>
    </row>
    <row r="3863" spans="1:9" ht="18.75" customHeight="1" x14ac:dyDescent="0.4">
      <c r="A3863" s="14" t="s">
        <v>2590</v>
      </c>
      <c r="B3863" s="16" t="str">
        <f>TRIM("　横堤北公園")</f>
        <v>横堤北公園</v>
      </c>
      <c r="C3863" s="14" t="s">
        <v>1531</v>
      </c>
      <c r="D3863" s="14" t="s">
        <v>308</v>
      </c>
      <c r="E3863" s="1">
        <v>266.97000000000003</v>
      </c>
      <c r="F3863" s="2"/>
      <c r="G3863" s="1"/>
      <c r="H3863" s="3"/>
      <c r="I3863" s="14" t="s">
        <v>2177</v>
      </c>
    </row>
    <row r="3864" spans="1:9" ht="18.75" customHeight="1" x14ac:dyDescent="0.4">
      <c r="A3864" s="14" t="s">
        <v>3744</v>
      </c>
      <c r="B3864" s="16" t="str">
        <f>TRIM("(地）横堤（1）駅自転車駐車場")</f>
        <v>(地）横堤（1）駅自転車駐車場</v>
      </c>
      <c r="C3864" s="14" t="s">
        <v>1531</v>
      </c>
      <c r="D3864" s="14" t="s">
        <v>308</v>
      </c>
      <c r="E3864" s="1"/>
      <c r="F3864" s="2"/>
      <c r="G3864" s="1">
        <v>819.5</v>
      </c>
      <c r="H3864" s="3"/>
      <c r="I3864" s="14" t="s">
        <v>2177</v>
      </c>
    </row>
    <row r="3865" spans="1:9" ht="18.75" customHeight="1" x14ac:dyDescent="0.4">
      <c r="A3865" s="14" t="s">
        <v>3745</v>
      </c>
      <c r="B3865" s="16" t="str">
        <f>TRIM("(地）横堤（2）駅自転車駐車場")</f>
        <v>(地）横堤（2）駅自転車駐車場</v>
      </c>
      <c r="C3865" s="14" t="s">
        <v>1531</v>
      </c>
      <c r="D3865" s="14" t="s">
        <v>308</v>
      </c>
      <c r="E3865" s="1"/>
      <c r="F3865" s="2"/>
      <c r="G3865" s="1">
        <v>603.96</v>
      </c>
      <c r="H3865" s="3"/>
      <c r="I3865" s="14" t="s">
        <v>2177</v>
      </c>
    </row>
    <row r="3866" spans="1:9" ht="18.75" customHeight="1" x14ac:dyDescent="0.4">
      <c r="A3866" s="14" t="s">
        <v>4582</v>
      </c>
      <c r="B3866" s="16" t="str">
        <f>TRIM("駐車場・駐輪場（鶴見区横堤）")</f>
        <v>駐車場・駐輪場（鶴見区横堤）</v>
      </c>
      <c r="C3866" s="14" t="s">
        <v>1531</v>
      </c>
      <c r="D3866" s="14" t="s">
        <v>308</v>
      </c>
      <c r="E3866" s="1">
        <v>271.13</v>
      </c>
      <c r="F3866" s="2"/>
      <c r="G3866" s="1"/>
      <c r="H3866" s="3"/>
      <c r="I3866" s="14" t="s">
        <v>1992</v>
      </c>
    </row>
    <row r="3867" spans="1:9" ht="18.75" customHeight="1" x14ac:dyDescent="0.4">
      <c r="A3867" s="14" t="s">
        <v>4583</v>
      </c>
      <c r="B3867" s="16" t="str">
        <f>TRIM("鶴見区保健福祉センター")</f>
        <v>鶴見区保健福祉センター</v>
      </c>
      <c r="C3867" s="14" t="s">
        <v>1531</v>
      </c>
      <c r="D3867" s="14" t="s">
        <v>308</v>
      </c>
      <c r="E3867" s="1"/>
      <c r="F3867" s="2"/>
      <c r="G3867" s="1">
        <v>1345.55</v>
      </c>
      <c r="H3867" s="3"/>
      <c r="I3867" s="14" t="s">
        <v>1992</v>
      </c>
    </row>
    <row r="3868" spans="1:9" ht="18.75" customHeight="1" x14ac:dyDescent="0.4">
      <c r="A3868" s="14" t="s">
        <v>4585</v>
      </c>
      <c r="B3868" s="16" t="str">
        <f>TRIM("茨田西地域集会所")</f>
        <v>茨田西地域集会所</v>
      </c>
      <c r="C3868" s="14" t="s">
        <v>1531</v>
      </c>
      <c r="D3868" s="14" t="s">
        <v>308</v>
      </c>
      <c r="E3868" s="1">
        <v>214.16</v>
      </c>
      <c r="F3868" s="2"/>
      <c r="G3868" s="1"/>
      <c r="H3868" s="3"/>
      <c r="I3868" s="14" t="s">
        <v>1992</v>
      </c>
    </row>
    <row r="3869" spans="1:9" ht="18.75" customHeight="1" x14ac:dyDescent="0.4">
      <c r="A3869" s="14" t="s">
        <v>5167</v>
      </c>
      <c r="B3869" s="16" t="str">
        <f>TRIM("茨田西校園営繕園芸事務所")</f>
        <v>茨田西校園営繕園芸事務所</v>
      </c>
      <c r="C3869" s="14" t="s">
        <v>1531</v>
      </c>
      <c r="D3869" s="14" t="s">
        <v>308</v>
      </c>
      <c r="E3869" s="1"/>
      <c r="F3869" s="2"/>
      <c r="G3869" s="1">
        <v>363</v>
      </c>
      <c r="H3869" s="3"/>
      <c r="I3869" s="14" t="s">
        <v>4689</v>
      </c>
    </row>
    <row r="3870" spans="1:9" ht="18.75" customHeight="1" x14ac:dyDescent="0.4">
      <c r="A3870" s="14" t="s">
        <v>5188</v>
      </c>
      <c r="B3870" s="16" t="str">
        <f>TRIM(" 鶴見図書館")</f>
        <v>鶴見図書館</v>
      </c>
      <c r="C3870" s="14" t="s">
        <v>1531</v>
      </c>
      <c r="D3870" s="14" t="s">
        <v>308</v>
      </c>
      <c r="E3870" s="1"/>
      <c r="F3870" s="2"/>
      <c r="G3870" s="1">
        <v>1472.57</v>
      </c>
      <c r="H3870" s="3"/>
      <c r="I3870" s="14" t="s">
        <v>4689</v>
      </c>
    </row>
    <row r="3871" spans="1:9" ht="18.75" customHeight="1" x14ac:dyDescent="0.4">
      <c r="A3871" s="14" t="s">
        <v>6794</v>
      </c>
      <c r="B3871" s="16" t="str">
        <f>TRIM("公社賃貸住宅用地（コーシャハイツ横堤）")</f>
        <v>公社賃貸住宅用地（コーシャハイツ横堤）</v>
      </c>
      <c r="C3871" s="14" t="s">
        <v>1531</v>
      </c>
      <c r="D3871" s="14" t="s">
        <v>308</v>
      </c>
      <c r="E3871" s="1">
        <v>332.98</v>
      </c>
      <c r="F3871" s="2"/>
      <c r="G3871" s="1"/>
      <c r="H3871" s="3"/>
      <c r="I3871" s="14" t="s">
        <v>6177</v>
      </c>
    </row>
    <row r="3872" spans="1:9" ht="18.75" customHeight="1" x14ac:dyDescent="0.4">
      <c r="A3872" s="14" t="s">
        <v>3092</v>
      </c>
      <c r="B3872" s="16" t="str">
        <f>TRIM("　鶴見緑地（市内）")</f>
        <v>鶴見緑地（市内）</v>
      </c>
      <c r="C3872" s="14" t="s">
        <v>1531</v>
      </c>
      <c r="D3872" s="14" t="s">
        <v>1170</v>
      </c>
      <c r="E3872" s="1">
        <v>712275.8</v>
      </c>
      <c r="F3872" s="2" t="s">
        <v>7335</v>
      </c>
      <c r="G3872" s="1"/>
      <c r="H3872" s="3"/>
      <c r="I3872" s="14" t="s">
        <v>2177</v>
      </c>
    </row>
    <row r="3873" spans="1:9" ht="18.75" customHeight="1" x14ac:dyDescent="0.4">
      <c r="A3873" s="14" t="s">
        <v>3631</v>
      </c>
      <c r="B3873" s="16" t="str">
        <f>TRIM("　鶴見緑地（市内）")</f>
        <v>鶴見緑地（市内）</v>
      </c>
      <c r="C3873" s="14" t="s">
        <v>1531</v>
      </c>
      <c r="D3873" s="14" t="s">
        <v>1170</v>
      </c>
      <c r="E3873" s="1"/>
      <c r="F3873" s="2"/>
      <c r="G3873" s="1">
        <v>45650.74</v>
      </c>
      <c r="H3873" s="3" t="s">
        <v>7353</v>
      </c>
      <c r="I3873" s="14" t="s">
        <v>2177</v>
      </c>
    </row>
    <row r="3874" spans="1:9" ht="18.75" customHeight="1" x14ac:dyDescent="0.4">
      <c r="A3874" s="14" t="s">
        <v>3905</v>
      </c>
      <c r="B3874" s="16" t="str">
        <f>TRIM("鶴見緑地駅自転車駐車場管理事務所")</f>
        <v>鶴見緑地駅自転車駐車場管理事務所</v>
      </c>
      <c r="C3874" s="14" t="s">
        <v>1531</v>
      </c>
      <c r="D3874" s="14" t="s">
        <v>1170</v>
      </c>
      <c r="E3874" s="1"/>
      <c r="F3874" s="2"/>
      <c r="G3874" s="1">
        <v>9.94</v>
      </c>
      <c r="H3874" s="3"/>
      <c r="I3874" s="14" t="s">
        <v>2177</v>
      </c>
    </row>
    <row r="3875" spans="1:9" ht="18.75" customHeight="1" x14ac:dyDescent="0.4">
      <c r="A3875" s="14" t="s">
        <v>6174</v>
      </c>
      <c r="B3875" s="16" t="str">
        <f>TRIM("ＵＮＥＰ国際環境技術センター")</f>
        <v>ＵＮＥＰ国際環境技術センター</v>
      </c>
      <c r="C3875" s="14" t="s">
        <v>1531</v>
      </c>
      <c r="D3875" s="14" t="s">
        <v>1170</v>
      </c>
      <c r="E3875" s="1"/>
      <c r="F3875" s="2"/>
      <c r="G3875" s="1">
        <v>2799.57</v>
      </c>
      <c r="H3875" s="3"/>
      <c r="I3875" s="14" t="s">
        <v>5977</v>
      </c>
    </row>
    <row r="3876" spans="1:9" ht="18.75" customHeight="1" x14ac:dyDescent="0.4">
      <c r="A3876" s="14" t="s">
        <v>6175</v>
      </c>
      <c r="B3876" s="16" t="str">
        <f>TRIM("環境活動推進施設 ")</f>
        <v>環境活動推進施設</v>
      </c>
      <c r="C3876" s="14" t="s">
        <v>1531</v>
      </c>
      <c r="D3876" s="14" t="s">
        <v>1170</v>
      </c>
      <c r="E3876" s="1"/>
      <c r="F3876" s="2"/>
      <c r="G3876" s="1">
        <v>946.01</v>
      </c>
      <c r="H3876" s="3"/>
      <c r="I3876" s="14" t="s">
        <v>5977</v>
      </c>
    </row>
    <row r="3877" spans="1:9" ht="18.75" customHeight="1" x14ac:dyDescent="0.4">
      <c r="A3877" s="14" t="s">
        <v>7148</v>
      </c>
      <c r="B3877" s="16" t="str">
        <f>TRIM("鶴見スポーツセンター")</f>
        <v>鶴見スポーツセンター</v>
      </c>
      <c r="C3877" s="14" t="s">
        <v>1531</v>
      </c>
      <c r="D3877" s="14" t="s">
        <v>1170</v>
      </c>
      <c r="E3877" s="1"/>
      <c r="F3877" s="2"/>
      <c r="G3877" s="1">
        <v>7499.95</v>
      </c>
      <c r="H3877" s="3"/>
      <c r="I3877" s="14" t="s">
        <v>4115</v>
      </c>
    </row>
    <row r="3878" spans="1:9" ht="18.75" customHeight="1" x14ac:dyDescent="0.4">
      <c r="A3878" s="14" t="s">
        <v>7149</v>
      </c>
      <c r="B3878" s="16" t="str">
        <f>TRIM("鶴見緑地プール")</f>
        <v>鶴見緑地プール</v>
      </c>
      <c r="C3878" s="14" t="s">
        <v>1531</v>
      </c>
      <c r="D3878" s="14" t="s">
        <v>1170</v>
      </c>
      <c r="E3878" s="1"/>
      <c r="F3878" s="2"/>
      <c r="G3878" s="1">
        <v>4449.32</v>
      </c>
      <c r="H3878" s="3"/>
      <c r="I3878" s="14" t="s">
        <v>4115</v>
      </c>
    </row>
    <row r="3879" spans="1:9" ht="18.75" customHeight="1" x14ac:dyDescent="0.4">
      <c r="A3879" s="14" t="s">
        <v>7150</v>
      </c>
      <c r="B3879" s="16" t="str">
        <f>TRIM("鶴見緑地球技場")</f>
        <v>鶴見緑地球技場</v>
      </c>
      <c r="C3879" s="14" t="s">
        <v>1531</v>
      </c>
      <c r="D3879" s="14" t="s">
        <v>1170</v>
      </c>
      <c r="E3879" s="1"/>
      <c r="F3879" s="2"/>
      <c r="G3879" s="1">
        <v>2919.24</v>
      </c>
      <c r="H3879" s="3"/>
      <c r="I3879" s="14" t="s">
        <v>4115</v>
      </c>
    </row>
    <row r="3880" spans="1:9" ht="18.75" customHeight="1" x14ac:dyDescent="0.4">
      <c r="A3880" s="14" t="s">
        <v>7151</v>
      </c>
      <c r="B3880" s="16" t="str">
        <f>TRIM("鶴見緑地庭球場")</f>
        <v>鶴見緑地庭球場</v>
      </c>
      <c r="C3880" s="14" t="s">
        <v>1531</v>
      </c>
      <c r="D3880" s="14" t="s">
        <v>1170</v>
      </c>
      <c r="E3880" s="1"/>
      <c r="F3880" s="2"/>
      <c r="G3880" s="1">
        <v>318.06</v>
      </c>
      <c r="H3880" s="3"/>
      <c r="I3880" s="14" t="s">
        <v>4115</v>
      </c>
    </row>
    <row r="3881" spans="1:9" ht="18.75" customHeight="1" x14ac:dyDescent="0.4">
      <c r="A3881" s="14" t="s">
        <v>2891</v>
      </c>
      <c r="B3881" s="16" t="str">
        <f>TRIM("　晴明丘相生公園")</f>
        <v>晴明丘相生公園</v>
      </c>
      <c r="C3881" s="14" t="s">
        <v>1510</v>
      </c>
      <c r="D3881" s="14" t="s">
        <v>1104</v>
      </c>
      <c r="E3881" s="1">
        <v>3107.85</v>
      </c>
      <c r="F3881" s="2"/>
      <c r="G3881" s="1"/>
      <c r="H3881" s="3"/>
      <c r="I3881" s="14" t="s">
        <v>2177</v>
      </c>
    </row>
    <row r="3882" spans="1:9" ht="18.75" customHeight="1" x14ac:dyDescent="0.4">
      <c r="A3882" s="14" t="s">
        <v>1627</v>
      </c>
      <c r="B3882" s="16" t="str">
        <f>TRIM(" 市税事務所（あべの）")</f>
        <v>市税事務所（あべの）</v>
      </c>
      <c r="C3882" s="14" t="s">
        <v>1510</v>
      </c>
      <c r="D3882" s="14" t="s">
        <v>114</v>
      </c>
      <c r="E3882" s="1">
        <v>232.75</v>
      </c>
      <c r="F3882" s="2"/>
      <c r="G3882" s="1">
        <v>1279.95</v>
      </c>
      <c r="H3882" s="3"/>
      <c r="I3882" s="14" t="s">
        <v>1628</v>
      </c>
    </row>
    <row r="3883" spans="1:9" ht="18.75" customHeight="1" x14ac:dyDescent="0.4">
      <c r="A3883" s="14" t="s">
        <v>6267</v>
      </c>
      <c r="B3883" s="16" t="str">
        <f>TRIM("阿倍野住宅管理センター")</f>
        <v>阿倍野住宅管理センター</v>
      </c>
      <c r="C3883" s="14" t="s">
        <v>1510</v>
      </c>
      <c r="D3883" s="14" t="s">
        <v>114</v>
      </c>
      <c r="E3883" s="1">
        <v>53.99</v>
      </c>
      <c r="F3883" s="2"/>
      <c r="G3883" s="1">
        <v>296.91000000000003</v>
      </c>
      <c r="H3883" s="3"/>
      <c r="I3883" s="14" t="s">
        <v>6177</v>
      </c>
    </row>
    <row r="3884" spans="1:9" ht="18.75" customHeight="1" x14ac:dyDescent="0.4">
      <c r="A3884" s="14" t="s">
        <v>6275</v>
      </c>
      <c r="B3884" s="16" t="str">
        <f>TRIM("阿倍野第1住宅")</f>
        <v>阿倍野第1住宅</v>
      </c>
      <c r="C3884" s="14" t="s">
        <v>1510</v>
      </c>
      <c r="D3884" s="14" t="s">
        <v>114</v>
      </c>
      <c r="E3884" s="1">
        <v>3610.15</v>
      </c>
      <c r="F3884" s="2"/>
      <c r="G3884" s="1">
        <v>9688.15</v>
      </c>
      <c r="H3884" s="3"/>
      <c r="I3884" s="14" t="s">
        <v>6177</v>
      </c>
    </row>
    <row r="3885" spans="1:9" ht="18.75" customHeight="1" x14ac:dyDescent="0.4">
      <c r="A3885" s="14" t="s">
        <v>6915</v>
      </c>
      <c r="B3885" s="16" t="str">
        <f>TRIM("あべのメディックス")</f>
        <v>あべのメディックス</v>
      </c>
      <c r="C3885" s="14" t="s">
        <v>1510</v>
      </c>
      <c r="D3885" s="14" t="s">
        <v>114</v>
      </c>
      <c r="E3885" s="1">
        <v>273.33</v>
      </c>
      <c r="F3885" s="2"/>
      <c r="G3885" s="1">
        <v>1449.78</v>
      </c>
      <c r="H3885" s="3"/>
      <c r="I3885" s="14" t="s">
        <v>6177</v>
      </c>
    </row>
    <row r="3886" spans="1:9" ht="18.75" customHeight="1" x14ac:dyDescent="0.4">
      <c r="A3886" s="14" t="s">
        <v>2191</v>
      </c>
      <c r="B3886" s="16" t="str">
        <f>TRIM("天王寺大和川線（基金）")</f>
        <v>天王寺大和川線（基金）</v>
      </c>
      <c r="C3886" s="14" t="s">
        <v>1510</v>
      </c>
      <c r="D3886" s="14" t="s">
        <v>114</v>
      </c>
      <c r="E3886" s="1">
        <v>6243.94</v>
      </c>
      <c r="F3886" s="2"/>
      <c r="G3886" s="1"/>
      <c r="H3886" s="3"/>
      <c r="I3886" s="14" t="s">
        <v>2177</v>
      </c>
    </row>
    <row r="3887" spans="1:9" ht="18.75" customHeight="1" x14ac:dyDescent="0.4">
      <c r="A3887" s="14" t="s">
        <v>2192</v>
      </c>
      <c r="B3887" s="16" t="str">
        <f>TRIM("長柄堺線（基金）")</f>
        <v>長柄堺線（基金）</v>
      </c>
      <c r="C3887" s="14" t="s">
        <v>1510</v>
      </c>
      <c r="D3887" s="14" t="s">
        <v>114</v>
      </c>
      <c r="E3887" s="1">
        <v>89.92</v>
      </c>
      <c r="F3887" s="2"/>
      <c r="G3887" s="1"/>
      <c r="H3887" s="3"/>
      <c r="I3887" s="14" t="s">
        <v>2177</v>
      </c>
    </row>
    <row r="3888" spans="1:9" ht="18.75" customHeight="1" x14ac:dyDescent="0.4">
      <c r="A3888" s="14" t="s">
        <v>2293</v>
      </c>
      <c r="B3888" s="16" t="str">
        <f>TRIM("道路（阿倍野）（管財課）")</f>
        <v>道路（阿倍野）（管財課）</v>
      </c>
      <c r="C3888" s="14" t="s">
        <v>1510</v>
      </c>
      <c r="D3888" s="14" t="s">
        <v>114</v>
      </c>
      <c r="E3888" s="1">
        <v>288800.03999999998</v>
      </c>
      <c r="F3888" s="2"/>
      <c r="G3888" s="1"/>
      <c r="H3888" s="3"/>
      <c r="I3888" s="14" t="s">
        <v>2177</v>
      </c>
    </row>
    <row r="3889" spans="1:9" ht="18.75" customHeight="1" x14ac:dyDescent="0.4">
      <c r="A3889" s="14" t="s">
        <v>2547</v>
      </c>
      <c r="B3889" s="16" t="str">
        <f>TRIM("　阿倍野旭公園")</f>
        <v>阿倍野旭公園</v>
      </c>
      <c r="C3889" s="14" t="s">
        <v>1510</v>
      </c>
      <c r="D3889" s="14" t="s">
        <v>114</v>
      </c>
      <c r="E3889" s="1">
        <v>1000.02</v>
      </c>
      <c r="F3889" s="2"/>
      <c r="G3889" s="1"/>
      <c r="H3889" s="3"/>
      <c r="I3889" s="14" t="s">
        <v>2177</v>
      </c>
    </row>
    <row r="3890" spans="1:9" ht="18.75" customHeight="1" x14ac:dyDescent="0.4">
      <c r="A3890" s="14" t="s">
        <v>6277</v>
      </c>
      <c r="B3890" s="16" t="str">
        <f>TRIM("阿倍野第3住宅")</f>
        <v>阿倍野第3住宅</v>
      </c>
      <c r="C3890" s="14" t="s">
        <v>1510</v>
      </c>
      <c r="D3890" s="14" t="s">
        <v>713</v>
      </c>
      <c r="E3890" s="1">
        <v>2144.7199999999998</v>
      </c>
      <c r="F3890" s="2"/>
      <c r="G3890" s="1">
        <v>6538.77</v>
      </c>
      <c r="H3890" s="3"/>
      <c r="I3890" s="14" t="s">
        <v>6177</v>
      </c>
    </row>
    <row r="3891" spans="1:9" ht="18.75" customHeight="1" x14ac:dyDescent="0.4">
      <c r="A3891" s="14" t="s">
        <v>4786</v>
      </c>
      <c r="B3891" s="16" t="str">
        <f>TRIM("金塚小学校")</f>
        <v>金塚小学校</v>
      </c>
      <c r="C3891" s="14" t="s">
        <v>1510</v>
      </c>
      <c r="D3891" s="14" t="s">
        <v>712</v>
      </c>
      <c r="E3891" s="1">
        <v>10507.84</v>
      </c>
      <c r="F3891" s="2"/>
      <c r="G3891" s="1">
        <v>8308.2099999999991</v>
      </c>
      <c r="H3891" s="3"/>
      <c r="I3891" s="14" t="s">
        <v>4689</v>
      </c>
    </row>
    <row r="3892" spans="1:9" ht="18.75" customHeight="1" x14ac:dyDescent="0.4">
      <c r="A3892" s="14" t="s">
        <v>5247</v>
      </c>
      <c r="B3892" s="16" t="str">
        <f>TRIM("旭町災害待機宿舎")</f>
        <v>旭町災害待機宿舎</v>
      </c>
      <c r="C3892" s="14" t="s">
        <v>1510</v>
      </c>
      <c r="D3892" s="14" t="s">
        <v>712</v>
      </c>
      <c r="E3892" s="1">
        <v>81.849999999999994</v>
      </c>
      <c r="F3892" s="2"/>
      <c r="G3892" s="1">
        <v>225.66</v>
      </c>
      <c r="H3892" s="3"/>
      <c r="I3892" s="14" t="s">
        <v>5219</v>
      </c>
    </row>
    <row r="3893" spans="1:9" ht="18.75" customHeight="1" x14ac:dyDescent="0.4">
      <c r="A3893" s="14" t="s">
        <v>6276</v>
      </c>
      <c r="B3893" s="16" t="str">
        <f>TRIM("阿倍野第2住宅")</f>
        <v>阿倍野第2住宅</v>
      </c>
      <c r="C3893" s="14" t="s">
        <v>1510</v>
      </c>
      <c r="D3893" s="14" t="s">
        <v>712</v>
      </c>
      <c r="E3893" s="1">
        <v>3363.76</v>
      </c>
      <c r="F3893" s="2"/>
      <c r="G3893" s="1">
        <v>11990.37</v>
      </c>
      <c r="H3893" s="3"/>
      <c r="I3893" s="14" t="s">
        <v>6177</v>
      </c>
    </row>
    <row r="3894" spans="1:9" ht="18.75" customHeight="1" x14ac:dyDescent="0.4">
      <c r="A3894" s="14" t="s">
        <v>6278</v>
      </c>
      <c r="B3894" s="16" t="str">
        <f>TRIM("阿倍野第4住宅")</f>
        <v>阿倍野第4住宅</v>
      </c>
      <c r="C3894" s="14" t="s">
        <v>1510</v>
      </c>
      <c r="D3894" s="14" t="s">
        <v>712</v>
      </c>
      <c r="E3894" s="1">
        <v>3394.8</v>
      </c>
      <c r="F3894" s="2"/>
      <c r="G3894" s="1">
        <v>10757.02</v>
      </c>
      <c r="H3894" s="3"/>
      <c r="I3894" s="14" t="s">
        <v>6177</v>
      </c>
    </row>
    <row r="3895" spans="1:9" ht="18.75" customHeight="1" x14ac:dyDescent="0.4">
      <c r="A3895" s="14" t="s">
        <v>3418</v>
      </c>
      <c r="B3895" s="16" t="str">
        <f>TRIM("金塚ふれあい西公園")</f>
        <v>金塚ふれあい西公園</v>
      </c>
      <c r="C3895" s="14" t="s">
        <v>1510</v>
      </c>
      <c r="D3895" s="14" t="s">
        <v>712</v>
      </c>
      <c r="E3895" s="1">
        <v>10168.33</v>
      </c>
      <c r="F3895" s="2"/>
      <c r="G3895" s="1"/>
      <c r="H3895" s="3"/>
      <c r="I3895" s="14" t="s">
        <v>2177</v>
      </c>
    </row>
    <row r="3896" spans="1:9" ht="18.75" customHeight="1" x14ac:dyDescent="0.4">
      <c r="A3896" s="14" t="s">
        <v>6913</v>
      </c>
      <c r="B3896" s="16" t="str">
        <f>TRIM("あべのキューズタウン")</f>
        <v>あべのキューズタウン</v>
      </c>
      <c r="C3896" s="14" t="s">
        <v>1510</v>
      </c>
      <c r="D3896" s="14" t="s">
        <v>896</v>
      </c>
      <c r="E3896" s="1">
        <v>26673.7</v>
      </c>
      <c r="F3896" s="2"/>
      <c r="G3896" s="1">
        <v>98853.55</v>
      </c>
      <c r="H3896" s="3"/>
      <c r="I3896" s="14" t="s">
        <v>6177</v>
      </c>
    </row>
    <row r="3897" spans="1:9" ht="18.75" customHeight="1" x14ac:dyDescent="0.4">
      <c r="A3897" s="14" t="s">
        <v>6916</v>
      </c>
      <c r="B3897" s="16" t="str">
        <f>TRIM("あべのルシアス")</f>
        <v>あべのルシアス</v>
      </c>
      <c r="C3897" s="14" t="s">
        <v>1510</v>
      </c>
      <c r="D3897" s="14" t="s">
        <v>896</v>
      </c>
      <c r="E3897" s="1">
        <v>5954.88</v>
      </c>
      <c r="F3897" s="2"/>
      <c r="G3897" s="1">
        <v>27411.599999999999</v>
      </c>
      <c r="H3897" s="3"/>
      <c r="I3897" s="14" t="s">
        <v>6177</v>
      </c>
    </row>
    <row r="3898" spans="1:9" ht="18.75" customHeight="1" x14ac:dyDescent="0.4">
      <c r="A3898" s="14" t="s">
        <v>3971</v>
      </c>
      <c r="B3898" s="16" t="str">
        <f>TRIM("天王寺駅自転車駐車場")</f>
        <v>天王寺駅自転車駐車場</v>
      </c>
      <c r="C3898" s="14" t="s">
        <v>1510</v>
      </c>
      <c r="D3898" s="14" t="s">
        <v>896</v>
      </c>
      <c r="E3898" s="1"/>
      <c r="F3898" s="2"/>
      <c r="G3898" s="1">
        <v>589.72</v>
      </c>
      <c r="H3898" s="3"/>
      <c r="I3898" s="14" t="s">
        <v>2177</v>
      </c>
    </row>
    <row r="3899" spans="1:9" ht="18.75" customHeight="1" x14ac:dyDescent="0.4">
      <c r="A3899" s="14" t="s">
        <v>5179</v>
      </c>
      <c r="B3899" s="16" t="str">
        <f>TRIM("阿倍野市民学習センター")</f>
        <v>阿倍野市民学習センター</v>
      </c>
      <c r="C3899" s="14" t="s">
        <v>1510</v>
      </c>
      <c r="D3899" s="14" t="s">
        <v>1</v>
      </c>
      <c r="E3899" s="1">
        <v>507.63</v>
      </c>
      <c r="F3899" s="2"/>
      <c r="G3899" s="1">
        <v>1891.97</v>
      </c>
      <c r="H3899" s="3"/>
      <c r="I3899" s="14" t="s">
        <v>4689</v>
      </c>
    </row>
    <row r="3900" spans="1:9" ht="18.75" customHeight="1" x14ac:dyDescent="0.4">
      <c r="A3900" s="14" t="s">
        <v>5343</v>
      </c>
      <c r="B3900" s="16" t="str">
        <f>TRIM("阿倍野防災拠点")</f>
        <v>阿倍野防災拠点</v>
      </c>
      <c r="C3900" s="14" t="s">
        <v>1510</v>
      </c>
      <c r="D3900" s="14" t="s">
        <v>1</v>
      </c>
      <c r="E3900" s="1">
        <v>5001.24</v>
      </c>
      <c r="F3900" s="2"/>
      <c r="G3900" s="1">
        <v>1918.16</v>
      </c>
      <c r="H3900" s="3"/>
      <c r="I3900" s="14" t="s">
        <v>5344</v>
      </c>
    </row>
    <row r="3901" spans="1:9" ht="18.75" customHeight="1" x14ac:dyDescent="0.4">
      <c r="A3901" s="14" t="s">
        <v>6914</v>
      </c>
      <c r="B3901" s="16" t="str">
        <f>TRIM("あべのベルタ")</f>
        <v>あべのベルタ</v>
      </c>
      <c r="C3901" s="14" t="s">
        <v>1510</v>
      </c>
      <c r="D3901" s="14" t="s">
        <v>1</v>
      </c>
      <c r="E3901" s="1">
        <v>169.19</v>
      </c>
      <c r="F3901" s="2"/>
      <c r="G3901" s="1">
        <v>781.97</v>
      </c>
      <c r="H3901" s="3"/>
      <c r="I3901" s="14" t="s">
        <v>6177</v>
      </c>
    </row>
    <row r="3902" spans="1:9" ht="18.75" customHeight="1" x14ac:dyDescent="0.4">
      <c r="A3902" s="14" t="s">
        <v>7093</v>
      </c>
      <c r="B3902" s="16" t="str">
        <f>TRIM("阿倍野スポーツセンター")</f>
        <v>阿倍野スポーツセンター</v>
      </c>
      <c r="C3902" s="14" t="s">
        <v>1510</v>
      </c>
      <c r="D3902" s="14" t="s">
        <v>1</v>
      </c>
      <c r="E3902" s="1">
        <v>1150.82</v>
      </c>
      <c r="F3902" s="2"/>
      <c r="G3902" s="1">
        <v>4809.12</v>
      </c>
      <c r="H3902" s="3"/>
      <c r="I3902" s="14" t="s">
        <v>4115</v>
      </c>
    </row>
    <row r="3903" spans="1:9" ht="18.75" customHeight="1" x14ac:dyDescent="0.4">
      <c r="A3903" s="14" t="s">
        <v>2281</v>
      </c>
      <c r="B3903" s="16" t="str">
        <f>TRIM("大阪和泉泉南線（阿倍野）（管財課）")</f>
        <v>大阪和泉泉南線（阿倍野）（管財課）</v>
      </c>
      <c r="C3903" s="14" t="s">
        <v>1510</v>
      </c>
      <c r="D3903" s="14" t="s">
        <v>1</v>
      </c>
      <c r="E3903" s="1">
        <v>162.33000000000001</v>
      </c>
      <c r="F3903" s="2"/>
      <c r="G3903" s="1"/>
      <c r="H3903" s="3"/>
      <c r="I3903" s="14" t="s">
        <v>2177</v>
      </c>
    </row>
    <row r="3904" spans="1:9" ht="18.75" customHeight="1" x14ac:dyDescent="0.4">
      <c r="A3904" s="14" t="s">
        <v>2432</v>
      </c>
      <c r="B3904" s="16" t="str">
        <f>TRIM("長柄堺線")</f>
        <v>長柄堺線</v>
      </c>
      <c r="C3904" s="14" t="s">
        <v>1510</v>
      </c>
      <c r="D3904" s="14" t="s">
        <v>1</v>
      </c>
      <c r="E3904" s="1">
        <v>5133.3599999999997</v>
      </c>
      <c r="F3904" s="2"/>
      <c r="G3904" s="1"/>
      <c r="H3904" s="3"/>
      <c r="I3904" s="14" t="s">
        <v>2177</v>
      </c>
    </row>
    <row r="3905" spans="1:9" ht="18.75" customHeight="1" x14ac:dyDescent="0.4">
      <c r="A3905" s="14" t="s">
        <v>3962</v>
      </c>
      <c r="B3905" s="16" t="str">
        <f>TRIM("阿倍野駅自転車駐車場")</f>
        <v>阿倍野駅自転車駐車場</v>
      </c>
      <c r="C3905" s="14" t="s">
        <v>1510</v>
      </c>
      <c r="D3905" s="14" t="s">
        <v>1</v>
      </c>
      <c r="E3905" s="1"/>
      <c r="F3905" s="2"/>
      <c r="G3905" s="1">
        <v>576.05999999999995</v>
      </c>
      <c r="H3905" s="3"/>
      <c r="I3905" s="14" t="s">
        <v>2177</v>
      </c>
    </row>
    <row r="3906" spans="1:9" ht="18.75" customHeight="1" x14ac:dyDescent="0.4">
      <c r="A3906" s="14" t="s">
        <v>5227</v>
      </c>
      <c r="B3906" s="16" t="str">
        <f>TRIM("阿倍野防災センター")</f>
        <v>阿倍野防災センター</v>
      </c>
      <c r="C3906" s="14" t="s">
        <v>1510</v>
      </c>
      <c r="D3906" s="14" t="s">
        <v>1</v>
      </c>
      <c r="E3906" s="1"/>
      <c r="F3906" s="2"/>
      <c r="G3906" s="1">
        <v>3451.22</v>
      </c>
      <c r="H3906" s="3"/>
      <c r="I3906" s="14" t="s">
        <v>5219</v>
      </c>
    </row>
    <row r="3907" spans="1:9" ht="18.75" customHeight="1" x14ac:dyDescent="0.4">
      <c r="A3907" s="14" t="s">
        <v>7003</v>
      </c>
      <c r="B3907" s="16" t="str">
        <f>TRIM("総務事務センター")</f>
        <v>総務事務センター</v>
      </c>
      <c r="C3907" s="14" t="s">
        <v>1510</v>
      </c>
      <c r="D3907" s="14" t="s">
        <v>1</v>
      </c>
      <c r="E3907" s="1"/>
      <c r="F3907" s="2"/>
      <c r="G3907" s="1">
        <v>1060.3</v>
      </c>
      <c r="H3907" s="3"/>
      <c r="I3907" s="14" t="s">
        <v>7001</v>
      </c>
    </row>
    <row r="3908" spans="1:9" ht="18.75" customHeight="1" x14ac:dyDescent="0.4">
      <c r="A3908" s="14" t="s">
        <v>7004</v>
      </c>
      <c r="B3908" s="16" t="str">
        <f>TRIM(" 職員人材開発センター")</f>
        <v>職員人材開発センター</v>
      </c>
      <c r="C3908" s="14" t="s">
        <v>1510</v>
      </c>
      <c r="D3908" s="14" t="s">
        <v>1</v>
      </c>
      <c r="E3908" s="1"/>
      <c r="F3908" s="2"/>
      <c r="G3908" s="1">
        <v>4470.4399999999996</v>
      </c>
      <c r="H3908" s="3"/>
      <c r="I3908" s="14" t="s">
        <v>7001</v>
      </c>
    </row>
    <row r="3909" spans="1:9" ht="18.75" customHeight="1" x14ac:dyDescent="0.4">
      <c r="A3909" s="14" t="s">
        <v>7094</v>
      </c>
      <c r="B3909" s="16" t="str">
        <f>TRIM("阿倍野屋内プール")</f>
        <v>阿倍野屋内プール</v>
      </c>
      <c r="C3909" s="14" t="s">
        <v>1510</v>
      </c>
      <c r="D3909" s="14" t="s">
        <v>1</v>
      </c>
      <c r="E3909" s="1"/>
      <c r="F3909" s="2"/>
      <c r="G3909" s="1">
        <v>2900.4</v>
      </c>
      <c r="H3909" s="3"/>
      <c r="I3909" s="14" t="s">
        <v>4115</v>
      </c>
    </row>
    <row r="3910" spans="1:9" ht="18.75" customHeight="1" x14ac:dyDescent="0.4">
      <c r="A3910" s="14" t="s">
        <v>6141</v>
      </c>
      <c r="B3910" s="16" t="str">
        <f>TRIM("葬祭場")</f>
        <v>葬祭場</v>
      </c>
      <c r="C3910" s="14" t="s">
        <v>1510</v>
      </c>
      <c r="D3910" s="14" t="s">
        <v>654</v>
      </c>
      <c r="E3910" s="1">
        <v>9275.77</v>
      </c>
      <c r="F3910" s="2"/>
      <c r="G3910" s="1">
        <v>7070.58</v>
      </c>
      <c r="H3910" s="3"/>
      <c r="I3910" s="14" t="s">
        <v>5977</v>
      </c>
    </row>
    <row r="3911" spans="1:9" ht="18.75" customHeight="1" x14ac:dyDescent="0.4">
      <c r="A3911" s="14" t="s">
        <v>6156</v>
      </c>
      <c r="B3911" s="16" t="str">
        <f>TRIM("南霊園")</f>
        <v>南霊園</v>
      </c>
      <c r="C3911" s="14" t="s">
        <v>1510</v>
      </c>
      <c r="D3911" s="14" t="s">
        <v>654</v>
      </c>
      <c r="E3911" s="1">
        <v>61319.15</v>
      </c>
      <c r="F3911" s="2"/>
      <c r="G3911" s="1">
        <v>226.8</v>
      </c>
      <c r="H3911" s="3"/>
      <c r="I3911" s="14" t="s">
        <v>5977</v>
      </c>
    </row>
    <row r="3912" spans="1:9" ht="18.75" customHeight="1" x14ac:dyDescent="0.4">
      <c r="A3912" s="14" t="s">
        <v>3743</v>
      </c>
      <c r="B3912" s="16" t="str">
        <f>TRIM("（地）阿倍野駅自転車駐車場")</f>
        <v>（地）阿倍野駅自転車駐車場</v>
      </c>
      <c r="C3912" s="14" t="s">
        <v>1510</v>
      </c>
      <c r="D3912" s="14" t="s">
        <v>654</v>
      </c>
      <c r="E3912" s="1"/>
      <c r="F3912" s="2"/>
      <c r="G3912" s="1">
        <v>668.45</v>
      </c>
      <c r="H3912" s="3"/>
      <c r="I3912" s="14" t="s">
        <v>2177</v>
      </c>
    </row>
    <row r="3913" spans="1:9" ht="18.75" customHeight="1" x14ac:dyDescent="0.4">
      <c r="A3913" s="14" t="s">
        <v>4594</v>
      </c>
      <c r="B3913" s="16" t="str">
        <f>TRIM("阿倍野区民センター")</f>
        <v>阿倍野区民センター</v>
      </c>
      <c r="C3913" s="14" t="s">
        <v>1510</v>
      </c>
      <c r="D3913" s="14" t="s">
        <v>654</v>
      </c>
      <c r="E3913" s="1"/>
      <c r="F3913" s="2"/>
      <c r="G3913" s="1">
        <v>5425.82</v>
      </c>
      <c r="H3913" s="3"/>
      <c r="I3913" s="14" t="s">
        <v>1986</v>
      </c>
    </row>
    <row r="3914" spans="1:9" ht="18.75" customHeight="1" x14ac:dyDescent="0.4">
      <c r="A3914" s="14" t="s">
        <v>4595</v>
      </c>
      <c r="B3914" s="16" t="str">
        <f>TRIM("王子福祉会館")</f>
        <v>王子福祉会館</v>
      </c>
      <c r="C3914" s="14" t="s">
        <v>1510</v>
      </c>
      <c r="D3914" s="14" t="s">
        <v>654</v>
      </c>
      <c r="E3914" s="1"/>
      <c r="F3914" s="2"/>
      <c r="G3914" s="1">
        <v>227.16</v>
      </c>
      <c r="H3914" s="3"/>
      <c r="I3914" s="14" t="s">
        <v>1986</v>
      </c>
    </row>
    <row r="3915" spans="1:9" ht="18.75" customHeight="1" x14ac:dyDescent="0.4">
      <c r="A3915" s="14" t="s">
        <v>4596</v>
      </c>
      <c r="B3915" s="16" t="str">
        <f>TRIM("丸山文化センター")</f>
        <v>丸山文化センター</v>
      </c>
      <c r="C3915" s="14" t="s">
        <v>1510</v>
      </c>
      <c r="D3915" s="14" t="s">
        <v>654</v>
      </c>
      <c r="E3915" s="1"/>
      <c r="F3915" s="2"/>
      <c r="G3915" s="1">
        <v>224.03</v>
      </c>
      <c r="H3915" s="3"/>
      <c r="I3915" s="14" t="s">
        <v>1986</v>
      </c>
    </row>
    <row r="3916" spans="1:9" ht="18.75" customHeight="1" x14ac:dyDescent="0.4">
      <c r="A3916" s="14" t="s">
        <v>5208</v>
      </c>
      <c r="B3916" s="16" t="str">
        <f>TRIM("阿倍野図書館")</f>
        <v>阿倍野図書館</v>
      </c>
      <c r="C3916" s="14" t="s">
        <v>1510</v>
      </c>
      <c r="D3916" s="14" t="s">
        <v>654</v>
      </c>
      <c r="E3916" s="1"/>
      <c r="F3916" s="2"/>
      <c r="G3916" s="1">
        <v>1466.83</v>
      </c>
      <c r="H3916" s="3"/>
      <c r="I3916" s="14" t="s">
        <v>4689</v>
      </c>
    </row>
    <row r="3917" spans="1:9" ht="18.75" customHeight="1" x14ac:dyDescent="0.4">
      <c r="A3917" s="14" t="s">
        <v>6793</v>
      </c>
      <c r="B3917" s="16" t="str">
        <f>TRIM("公社賃貸住宅用地（コーシャハイツ阿倍野筋）")</f>
        <v>公社賃貸住宅用地（コーシャハイツ阿倍野筋）</v>
      </c>
      <c r="C3917" s="14" t="s">
        <v>1510</v>
      </c>
      <c r="D3917" s="14" t="s">
        <v>654</v>
      </c>
      <c r="E3917" s="1">
        <v>668.32</v>
      </c>
      <c r="F3917" s="2"/>
      <c r="G3917" s="1"/>
      <c r="H3917" s="3"/>
      <c r="I3917" s="14" t="s">
        <v>6177</v>
      </c>
    </row>
    <row r="3918" spans="1:9" ht="18.75" customHeight="1" x14ac:dyDescent="0.4">
      <c r="A3918" s="14" t="s">
        <v>5446</v>
      </c>
      <c r="B3918" s="16" t="str">
        <f>TRIM("阿倍野警察署")</f>
        <v>阿倍野警察署</v>
      </c>
      <c r="C3918" s="14" t="s">
        <v>1510</v>
      </c>
      <c r="D3918" s="14" t="s">
        <v>192</v>
      </c>
      <c r="E3918" s="1">
        <v>2195.0300000000002</v>
      </c>
      <c r="F3918" s="2"/>
      <c r="G3918" s="1"/>
      <c r="H3918" s="3"/>
      <c r="I3918" s="14" t="s">
        <v>5349</v>
      </c>
    </row>
    <row r="3919" spans="1:9" ht="18.75" customHeight="1" x14ac:dyDescent="0.4">
      <c r="A3919" s="14" t="s">
        <v>2889</v>
      </c>
      <c r="B3919" s="16" t="str">
        <f>TRIM("　晴明丘公園")</f>
        <v>晴明丘公園</v>
      </c>
      <c r="C3919" s="14" t="s">
        <v>1510</v>
      </c>
      <c r="D3919" s="14" t="s">
        <v>668</v>
      </c>
      <c r="E3919" s="1">
        <v>1116.4000000000001</v>
      </c>
      <c r="F3919" s="2"/>
      <c r="G3919" s="1"/>
      <c r="H3919" s="3"/>
      <c r="I3919" s="14" t="s">
        <v>2177</v>
      </c>
    </row>
    <row r="3920" spans="1:9" ht="18.75" customHeight="1" x14ac:dyDescent="0.4">
      <c r="A3920" s="14" t="s">
        <v>6167</v>
      </c>
      <c r="B3920" s="16" t="str">
        <f>TRIM("北畠霊園")</f>
        <v>北畠霊園</v>
      </c>
      <c r="C3920" s="14" t="s">
        <v>1510</v>
      </c>
      <c r="D3920" s="14" t="s">
        <v>668</v>
      </c>
      <c r="E3920" s="1">
        <v>314.04000000000002</v>
      </c>
      <c r="F3920" s="2"/>
      <c r="G3920" s="1"/>
      <c r="H3920" s="3"/>
      <c r="I3920" s="14" t="s">
        <v>5977</v>
      </c>
    </row>
    <row r="3921" spans="1:9" ht="18.75" customHeight="1" x14ac:dyDescent="0.4">
      <c r="A3921" s="14" t="s">
        <v>3319</v>
      </c>
      <c r="B3921" s="16" t="str">
        <f>TRIM("　北畠公園")</f>
        <v>北畠公園</v>
      </c>
      <c r="C3921" s="14" t="s">
        <v>1510</v>
      </c>
      <c r="D3921" s="14" t="s">
        <v>55</v>
      </c>
      <c r="E3921" s="1">
        <v>1897.28</v>
      </c>
      <c r="F3921" s="2"/>
      <c r="G3921" s="1"/>
      <c r="H3921" s="3"/>
      <c r="I3921" s="14" t="s">
        <v>2177</v>
      </c>
    </row>
    <row r="3922" spans="1:9" ht="18.75" customHeight="1" x14ac:dyDescent="0.4">
      <c r="A3922" s="14" t="s">
        <v>7074</v>
      </c>
      <c r="B3922" s="16" t="str">
        <f>TRIM("阿倍野小売市場民営活性化事業施設")</f>
        <v>阿倍野小売市場民営活性化事業施設</v>
      </c>
      <c r="C3922" s="14" t="s">
        <v>1510</v>
      </c>
      <c r="D3922" s="14" t="s">
        <v>55</v>
      </c>
      <c r="E3922" s="1">
        <v>1632.86</v>
      </c>
      <c r="F3922" s="2"/>
      <c r="G3922" s="1"/>
      <c r="H3922" s="3"/>
      <c r="I3922" s="14" t="s">
        <v>4115</v>
      </c>
    </row>
    <row r="3923" spans="1:9" ht="18.75" customHeight="1" x14ac:dyDescent="0.4">
      <c r="A3923" s="14" t="s">
        <v>2736</v>
      </c>
      <c r="B3923" s="16" t="str">
        <f>TRIM("　阪南公園")</f>
        <v>阪南公園</v>
      </c>
      <c r="C3923" s="14" t="s">
        <v>1510</v>
      </c>
      <c r="D3923" s="14" t="s">
        <v>1055</v>
      </c>
      <c r="E3923" s="1">
        <v>2216.7600000000002</v>
      </c>
      <c r="F3923" s="2"/>
      <c r="G3923" s="1"/>
      <c r="H3923" s="3"/>
      <c r="I3923" s="14" t="s">
        <v>2177</v>
      </c>
    </row>
    <row r="3924" spans="1:9" ht="18.75" customHeight="1" x14ac:dyDescent="0.4">
      <c r="A3924" s="14" t="s">
        <v>4822</v>
      </c>
      <c r="B3924" s="16" t="str">
        <f>TRIM("阪南中学校")</f>
        <v>阪南中学校</v>
      </c>
      <c r="C3924" s="14" t="s">
        <v>1510</v>
      </c>
      <c r="D3924" s="14" t="s">
        <v>1105</v>
      </c>
      <c r="E3924" s="1">
        <v>14067.05</v>
      </c>
      <c r="F3924" s="2"/>
      <c r="G3924" s="1">
        <v>9716.1299999999992</v>
      </c>
      <c r="H3924" s="3"/>
      <c r="I3924" s="14" t="s">
        <v>4689</v>
      </c>
    </row>
    <row r="3925" spans="1:9" ht="18.75" customHeight="1" x14ac:dyDescent="0.4">
      <c r="A3925" s="14" t="s">
        <v>2892</v>
      </c>
      <c r="B3925" s="16" t="str">
        <f>TRIM("　晴明丘中央公園")</f>
        <v>晴明丘中央公園</v>
      </c>
      <c r="C3925" s="14" t="s">
        <v>1510</v>
      </c>
      <c r="D3925" s="14" t="s">
        <v>1105</v>
      </c>
      <c r="E3925" s="1">
        <v>12114.97</v>
      </c>
      <c r="F3925" s="2"/>
      <c r="G3925" s="1"/>
      <c r="H3925" s="3"/>
      <c r="I3925" s="14" t="s">
        <v>2177</v>
      </c>
    </row>
    <row r="3926" spans="1:9" ht="18.75" customHeight="1" x14ac:dyDescent="0.4">
      <c r="A3926" s="14" t="s">
        <v>5155</v>
      </c>
      <c r="B3926" s="16" t="str">
        <f>TRIM("もと阪南中学校")</f>
        <v>もと阪南中学校</v>
      </c>
      <c r="C3926" s="14" t="s">
        <v>1510</v>
      </c>
      <c r="D3926" s="14" t="s">
        <v>1105</v>
      </c>
      <c r="E3926" s="1"/>
      <c r="F3926" s="2"/>
      <c r="G3926" s="1">
        <v>859.58</v>
      </c>
      <c r="H3926" s="3"/>
      <c r="I3926" s="14" t="s">
        <v>4689</v>
      </c>
    </row>
    <row r="3927" spans="1:9" ht="18.75" customHeight="1" x14ac:dyDescent="0.4">
      <c r="A3927" s="14" t="s">
        <v>3318</v>
      </c>
      <c r="B3927" s="16" t="str">
        <f>TRIM("　北畠2公園")</f>
        <v>北畠2公園</v>
      </c>
      <c r="C3927" s="14" t="s">
        <v>1510</v>
      </c>
      <c r="D3927" s="14" t="s">
        <v>254</v>
      </c>
      <c r="E3927" s="1">
        <v>1331.93</v>
      </c>
      <c r="F3927" s="2">
        <v>493</v>
      </c>
      <c r="G3927" s="1"/>
      <c r="H3927" s="3"/>
      <c r="I3927" s="14" t="s">
        <v>2177</v>
      </c>
    </row>
    <row r="3928" spans="1:9" ht="18.75" customHeight="1" x14ac:dyDescent="0.4">
      <c r="A3928" s="14" t="s">
        <v>2060</v>
      </c>
      <c r="B3928" s="16" t="str">
        <f>TRIM("晴明丘南会館")</f>
        <v>晴明丘南会館</v>
      </c>
      <c r="C3928" s="14" t="s">
        <v>1510</v>
      </c>
      <c r="D3928" s="14" t="s">
        <v>254</v>
      </c>
      <c r="E3928" s="1">
        <v>180.47</v>
      </c>
      <c r="F3928" s="2"/>
      <c r="G3928" s="1"/>
      <c r="H3928" s="3"/>
      <c r="I3928" s="14" t="s">
        <v>1986</v>
      </c>
    </row>
    <row r="3929" spans="1:9" ht="18.75" customHeight="1" x14ac:dyDescent="0.4">
      <c r="A3929" s="14" t="s">
        <v>5533</v>
      </c>
      <c r="B3929" s="16" t="str">
        <f>TRIM("廃道（阿倍野）")</f>
        <v>廃道（阿倍野）</v>
      </c>
      <c r="C3929" s="14" t="s">
        <v>1510</v>
      </c>
      <c r="D3929" s="14" t="s">
        <v>254</v>
      </c>
      <c r="E3929" s="1">
        <v>469.53</v>
      </c>
      <c r="F3929" s="2"/>
      <c r="G3929" s="1"/>
      <c r="H3929" s="3"/>
      <c r="I3929" s="14" t="s">
        <v>5349</v>
      </c>
    </row>
    <row r="3930" spans="1:9" ht="18.75" customHeight="1" x14ac:dyDescent="0.4">
      <c r="A3930" s="14" t="s">
        <v>6661</v>
      </c>
      <c r="B3930" s="16" t="str">
        <f>TRIM("北畠第1住宅")</f>
        <v>北畠第1住宅</v>
      </c>
      <c r="C3930" s="14" t="s">
        <v>1510</v>
      </c>
      <c r="D3930" s="14" t="s">
        <v>840</v>
      </c>
      <c r="E3930" s="1">
        <v>3534.69</v>
      </c>
      <c r="F3930" s="2"/>
      <c r="G3930" s="1">
        <v>3052.19</v>
      </c>
      <c r="H3930" s="3"/>
      <c r="I3930" s="14" t="s">
        <v>6177</v>
      </c>
    </row>
    <row r="3931" spans="1:9" ht="18.75" customHeight="1" x14ac:dyDescent="0.4">
      <c r="A3931" s="14" t="s">
        <v>6662</v>
      </c>
      <c r="B3931" s="16" t="str">
        <f>TRIM("北畠第2住宅")</f>
        <v>北畠第2住宅</v>
      </c>
      <c r="C3931" s="14" t="s">
        <v>1510</v>
      </c>
      <c r="D3931" s="14" t="s">
        <v>840</v>
      </c>
      <c r="E3931" s="1">
        <v>2644.62</v>
      </c>
      <c r="F3931" s="2"/>
      <c r="G3931" s="1">
        <v>1963.48</v>
      </c>
      <c r="H3931" s="3"/>
      <c r="I3931" s="14" t="s">
        <v>6177</v>
      </c>
    </row>
    <row r="3932" spans="1:9" ht="18.75" customHeight="1" x14ac:dyDescent="0.4">
      <c r="A3932" s="14" t="s">
        <v>6761</v>
      </c>
      <c r="B3932" s="16" t="str">
        <f>TRIM("北畠住宅")</f>
        <v>北畠住宅</v>
      </c>
      <c r="C3932" s="14" t="s">
        <v>1510</v>
      </c>
      <c r="D3932" s="14" t="s">
        <v>840</v>
      </c>
      <c r="E3932" s="1">
        <v>7784.28</v>
      </c>
      <c r="F3932" s="2"/>
      <c r="G3932" s="1">
        <v>4654.8999999999996</v>
      </c>
      <c r="H3932" s="3"/>
      <c r="I3932" s="14" t="s">
        <v>6177</v>
      </c>
    </row>
    <row r="3933" spans="1:9" ht="18.75" customHeight="1" x14ac:dyDescent="0.4">
      <c r="A3933" s="14" t="s">
        <v>2890</v>
      </c>
      <c r="B3933" s="16" t="str">
        <f>TRIM("　晴明丘西公園")</f>
        <v>晴明丘西公園</v>
      </c>
      <c r="C3933" s="14" t="s">
        <v>1510</v>
      </c>
      <c r="D3933" s="14" t="s">
        <v>840</v>
      </c>
      <c r="E3933" s="1">
        <v>1182.44</v>
      </c>
      <c r="F3933" s="2"/>
      <c r="G3933" s="1"/>
      <c r="H3933" s="3"/>
      <c r="I3933" s="14" t="s">
        <v>2177</v>
      </c>
    </row>
    <row r="3934" spans="1:9" ht="18.75" customHeight="1" x14ac:dyDescent="0.4">
      <c r="A3934" s="14" t="s">
        <v>5362</v>
      </c>
      <c r="B3934" s="16" t="str">
        <f>TRIM("もと阿倍野警察署共立寮（児童遊園）")</f>
        <v>もと阿倍野警察署共立寮（児童遊園）</v>
      </c>
      <c r="C3934" s="14" t="s">
        <v>1510</v>
      </c>
      <c r="D3934" s="14" t="s">
        <v>127</v>
      </c>
      <c r="E3934" s="1">
        <v>578.51</v>
      </c>
      <c r="F3934" s="2"/>
      <c r="G3934" s="1"/>
      <c r="H3934" s="3"/>
      <c r="I3934" s="14" t="s">
        <v>5349</v>
      </c>
    </row>
    <row r="3935" spans="1:9" ht="18.75" customHeight="1" x14ac:dyDescent="0.4">
      <c r="A3935" s="14" t="s">
        <v>6387</v>
      </c>
      <c r="B3935" s="16" t="str">
        <f>TRIM("三明住宅")</f>
        <v>三明住宅</v>
      </c>
      <c r="C3935" s="14" t="s">
        <v>1510</v>
      </c>
      <c r="D3935" s="14" t="s">
        <v>346</v>
      </c>
      <c r="E3935" s="1">
        <v>1035.58</v>
      </c>
      <c r="F3935" s="2"/>
      <c r="G3935" s="1">
        <v>4201.33</v>
      </c>
      <c r="H3935" s="3"/>
      <c r="I3935" s="14" t="s">
        <v>6177</v>
      </c>
    </row>
    <row r="3936" spans="1:9" ht="18.75" customHeight="1" x14ac:dyDescent="0.4">
      <c r="A3936" s="14" t="s">
        <v>1711</v>
      </c>
      <c r="B3936" s="16" t="str">
        <f>TRIM("重症心身障がい者通所施設四天王寺さんめい苑")</f>
        <v>重症心身障がい者通所施設四天王寺さんめい苑</v>
      </c>
      <c r="C3936" s="14" t="s">
        <v>1510</v>
      </c>
      <c r="D3936" s="14" t="s">
        <v>346</v>
      </c>
      <c r="E3936" s="1">
        <v>1019.55</v>
      </c>
      <c r="F3936" s="2"/>
      <c r="G3936" s="1"/>
      <c r="H3936" s="3"/>
      <c r="I3936" s="14" t="s">
        <v>1654</v>
      </c>
    </row>
    <row r="3937" spans="1:9" ht="18.75" customHeight="1" x14ac:dyDescent="0.4">
      <c r="A3937" s="14" t="s">
        <v>2757</v>
      </c>
      <c r="B3937" s="16" t="str">
        <f>TRIM("　三明町北公園")</f>
        <v>三明町北公園</v>
      </c>
      <c r="C3937" s="14" t="s">
        <v>1510</v>
      </c>
      <c r="D3937" s="14" t="s">
        <v>346</v>
      </c>
      <c r="E3937" s="1">
        <v>1163.6300000000001</v>
      </c>
      <c r="F3937" s="2"/>
      <c r="G3937" s="1"/>
      <c r="H3937" s="3"/>
      <c r="I3937" s="14" t="s">
        <v>2177</v>
      </c>
    </row>
    <row r="3938" spans="1:9" ht="18.75" customHeight="1" x14ac:dyDescent="0.4">
      <c r="A3938" s="14" t="s">
        <v>5960</v>
      </c>
      <c r="B3938" s="16" t="str">
        <f>TRIM("三明保育園")</f>
        <v>三明保育園</v>
      </c>
      <c r="C3938" s="14" t="s">
        <v>1510</v>
      </c>
      <c r="D3938" s="14" t="s">
        <v>346</v>
      </c>
      <c r="E3938" s="1">
        <v>689.84</v>
      </c>
      <c r="F3938" s="2"/>
      <c r="G3938" s="1"/>
      <c r="H3938" s="3"/>
      <c r="I3938" s="14" t="s">
        <v>5617</v>
      </c>
    </row>
    <row r="3939" spans="1:9" ht="18.75" customHeight="1" x14ac:dyDescent="0.4">
      <c r="A3939" s="14" t="s">
        <v>6060</v>
      </c>
      <c r="B3939" s="16" t="str">
        <f>TRIM("阿倍野第2合同庁舎")</f>
        <v>阿倍野第2合同庁舎</v>
      </c>
      <c r="C3939" s="14" t="s">
        <v>1510</v>
      </c>
      <c r="D3939" s="14" t="s">
        <v>679</v>
      </c>
      <c r="E3939" s="1">
        <v>1888.52</v>
      </c>
      <c r="F3939" s="2"/>
      <c r="G3939" s="1">
        <v>866.61</v>
      </c>
      <c r="H3939" s="3"/>
      <c r="I3939" s="14" t="s">
        <v>5977</v>
      </c>
    </row>
    <row r="3940" spans="1:9" ht="18.75" customHeight="1" x14ac:dyDescent="0.4">
      <c r="A3940" s="14" t="s">
        <v>2756</v>
      </c>
      <c r="B3940" s="16" t="str">
        <f>TRIM("　三明町公園")</f>
        <v>三明町公園</v>
      </c>
      <c r="C3940" s="14" t="s">
        <v>1510</v>
      </c>
      <c r="D3940" s="14" t="s">
        <v>679</v>
      </c>
      <c r="E3940" s="1">
        <v>1481.45</v>
      </c>
      <c r="F3940" s="2"/>
      <c r="G3940" s="1"/>
      <c r="H3940" s="3"/>
      <c r="I3940" s="14" t="s">
        <v>2177</v>
      </c>
    </row>
    <row r="3941" spans="1:9" ht="18.75" customHeight="1" x14ac:dyDescent="0.4">
      <c r="A3941" s="14" t="s">
        <v>3840</v>
      </c>
      <c r="B3941" s="16" t="str">
        <f>TRIM("昭和町駅自転車駐車場管理ボックス")</f>
        <v>昭和町駅自転車駐車場管理ボックス</v>
      </c>
      <c r="C3941" s="14" t="s">
        <v>1510</v>
      </c>
      <c r="D3941" s="14" t="s">
        <v>1489</v>
      </c>
      <c r="E3941" s="1"/>
      <c r="F3941" s="2"/>
      <c r="G3941" s="1">
        <v>3.89</v>
      </c>
      <c r="H3941" s="3"/>
      <c r="I3941" s="14" t="s">
        <v>2177</v>
      </c>
    </row>
    <row r="3942" spans="1:9" ht="18.75" customHeight="1" x14ac:dyDescent="0.4">
      <c r="A3942" s="14" t="s">
        <v>3934</v>
      </c>
      <c r="B3942" s="16" t="str">
        <f>TRIM("文の里駅自転車駐車場管理員詰所")</f>
        <v>文の里駅自転車駐車場管理員詰所</v>
      </c>
      <c r="C3942" s="14" t="s">
        <v>1510</v>
      </c>
      <c r="D3942" s="14" t="s">
        <v>1489</v>
      </c>
      <c r="E3942" s="1"/>
      <c r="F3942" s="2"/>
      <c r="G3942" s="1">
        <v>14.15</v>
      </c>
      <c r="H3942" s="3"/>
      <c r="I3942" s="14" t="s">
        <v>2177</v>
      </c>
    </row>
    <row r="3943" spans="1:9" ht="18.75" customHeight="1" x14ac:dyDescent="0.4">
      <c r="A3943" s="14" t="s">
        <v>3935</v>
      </c>
      <c r="B3943" s="16" t="str">
        <f>TRIM("文の里駅自転車駐車場管理事務所")</f>
        <v>文の里駅自転車駐車場管理事務所</v>
      </c>
      <c r="C3943" s="14" t="s">
        <v>1510</v>
      </c>
      <c r="D3943" s="14" t="s">
        <v>1489</v>
      </c>
      <c r="E3943" s="1"/>
      <c r="F3943" s="2"/>
      <c r="G3943" s="1">
        <v>12.96</v>
      </c>
      <c r="H3943" s="3"/>
      <c r="I3943" s="14" t="s">
        <v>2177</v>
      </c>
    </row>
    <row r="3944" spans="1:9" ht="18.75" customHeight="1" x14ac:dyDescent="0.4">
      <c r="A3944" s="14" t="s">
        <v>4599</v>
      </c>
      <c r="B3944" s="16" t="str">
        <f>TRIM("文の里会館")</f>
        <v>文の里会館</v>
      </c>
      <c r="C3944" s="14" t="s">
        <v>1510</v>
      </c>
      <c r="D3944" s="14" t="s">
        <v>1489</v>
      </c>
      <c r="E3944" s="1"/>
      <c r="F3944" s="2"/>
      <c r="G3944" s="1">
        <v>198.1</v>
      </c>
      <c r="H3944" s="3"/>
      <c r="I3944" s="14" t="s">
        <v>1986</v>
      </c>
    </row>
    <row r="3945" spans="1:9" ht="18.75" customHeight="1" x14ac:dyDescent="0.4">
      <c r="A3945" s="14" t="s">
        <v>4709</v>
      </c>
      <c r="B3945" s="16" t="str">
        <f>TRIM("阿倍野中学校")</f>
        <v>阿倍野中学校</v>
      </c>
      <c r="C3945" s="14" t="s">
        <v>1510</v>
      </c>
      <c r="D3945" s="14" t="s">
        <v>1380</v>
      </c>
      <c r="E3945" s="1">
        <v>12592.98</v>
      </c>
      <c r="F3945" s="2"/>
      <c r="G3945" s="1">
        <v>6655.22</v>
      </c>
      <c r="H3945" s="3"/>
      <c r="I3945" s="14" t="s">
        <v>4689</v>
      </c>
    </row>
    <row r="3946" spans="1:9" ht="18.75" customHeight="1" x14ac:dyDescent="0.4">
      <c r="A3946" s="14" t="s">
        <v>4986</v>
      </c>
      <c r="B3946" s="16" t="str">
        <f>TRIM("長池小学校")</f>
        <v>長池小学校</v>
      </c>
      <c r="C3946" s="14" t="s">
        <v>1510</v>
      </c>
      <c r="D3946" s="14" t="s">
        <v>1417</v>
      </c>
      <c r="E3946" s="1">
        <v>10170.56</v>
      </c>
      <c r="F3946" s="2"/>
      <c r="G3946" s="1">
        <v>7090.75</v>
      </c>
      <c r="H3946" s="3"/>
      <c r="I3946" s="14" t="s">
        <v>4689</v>
      </c>
    </row>
    <row r="3947" spans="1:9" ht="18.75" customHeight="1" x14ac:dyDescent="0.4">
      <c r="A3947" s="14" t="s">
        <v>3869</v>
      </c>
      <c r="B3947" s="16" t="str">
        <f>TRIM("西田辺駅自転車駐車場管理ボックス")</f>
        <v>西田辺駅自転車駐車場管理ボックス</v>
      </c>
      <c r="C3947" s="14" t="s">
        <v>1510</v>
      </c>
      <c r="D3947" s="14" t="s">
        <v>1417</v>
      </c>
      <c r="E3947" s="1"/>
      <c r="F3947" s="2"/>
      <c r="G3947" s="1">
        <v>1.44</v>
      </c>
      <c r="H3947" s="3"/>
      <c r="I3947" s="14" t="s">
        <v>2177</v>
      </c>
    </row>
    <row r="3948" spans="1:9" ht="18.75" customHeight="1" x14ac:dyDescent="0.4">
      <c r="A3948" s="14" t="s">
        <v>4898</v>
      </c>
      <c r="B3948" s="16" t="str">
        <f>TRIM("晴明丘小学校")</f>
        <v>晴明丘小学校</v>
      </c>
      <c r="C3948" s="14" t="s">
        <v>1510</v>
      </c>
      <c r="D3948" s="14" t="s">
        <v>1359</v>
      </c>
      <c r="E3948" s="1">
        <v>12654.34</v>
      </c>
      <c r="F3948" s="2"/>
      <c r="G3948" s="1">
        <v>6773.65</v>
      </c>
      <c r="H3948" s="3"/>
      <c r="I3948" s="14" t="s">
        <v>4689</v>
      </c>
    </row>
    <row r="3949" spans="1:9" ht="18.75" customHeight="1" x14ac:dyDescent="0.4">
      <c r="A3949" s="14" t="s">
        <v>5226</v>
      </c>
      <c r="B3949" s="16" t="str">
        <f>TRIM("阿倍野消防署晴明通出張所")</f>
        <v>阿倍野消防署晴明通出張所</v>
      </c>
      <c r="C3949" s="14" t="s">
        <v>1510</v>
      </c>
      <c r="D3949" s="14" t="s">
        <v>1359</v>
      </c>
      <c r="E3949" s="1">
        <v>330.57</v>
      </c>
      <c r="F3949" s="2"/>
      <c r="G3949" s="1">
        <v>382.78</v>
      </c>
      <c r="H3949" s="3"/>
      <c r="I3949" s="14" t="s">
        <v>5219</v>
      </c>
    </row>
    <row r="3950" spans="1:9" ht="18.75" customHeight="1" x14ac:dyDescent="0.4">
      <c r="A3950" s="14" t="s">
        <v>4601</v>
      </c>
      <c r="B3950" s="16" t="str">
        <f>TRIM("晴明通児童遊園")</f>
        <v>晴明通児童遊園</v>
      </c>
      <c r="C3950" s="14" t="s">
        <v>1510</v>
      </c>
      <c r="D3950" s="14" t="s">
        <v>1359</v>
      </c>
      <c r="E3950" s="1">
        <v>440.02</v>
      </c>
      <c r="F3950" s="2"/>
      <c r="G3950" s="1"/>
      <c r="H3950" s="3"/>
      <c r="I3950" s="14" t="s">
        <v>1986</v>
      </c>
    </row>
    <row r="3951" spans="1:9" ht="18.75" customHeight="1" x14ac:dyDescent="0.4">
      <c r="A3951" s="14" t="s">
        <v>4899</v>
      </c>
      <c r="B3951" s="16" t="str">
        <f>TRIM("晴明丘南小学校")</f>
        <v>晴明丘南小学校</v>
      </c>
      <c r="C3951" s="14" t="s">
        <v>1510</v>
      </c>
      <c r="D3951" s="14" t="s">
        <v>365</v>
      </c>
      <c r="E3951" s="1">
        <v>10013.790000000001</v>
      </c>
      <c r="F3951" s="2"/>
      <c r="G3951" s="1">
        <v>5018.5600000000004</v>
      </c>
      <c r="H3951" s="3"/>
      <c r="I3951" s="14" t="s">
        <v>4689</v>
      </c>
    </row>
    <row r="3952" spans="1:9" ht="18.75" customHeight="1" x14ac:dyDescent="0.4">
      <c r="A3952" s="14" t="s">
        <v>6751</v>
      </c>
      <c r="B3952" s="16" t="str">
        <f>TRIM("帝塚山住宅")</f>
        <v>帝塚山住宅</v>
      </c>
      <c r="C3952" s="14" t="s">
        <v>1510</v>
      </c>
      <c r="D3952" s="14" t="s">
        <v>365</v>
      </c>
      <c r="E3952" s="1">
        <v>2877.54</v>
      </c>
      <c r="F3952" s="2"/>
      <c r="G3952" s="1">
        <v>3761.74</v>
      </c>
      <c r="H3952" s="3"/>
      <c r="I3952" s="14" t="s">
        <v>6177</v>
      </c>
    </row>
    <row r="3953" spans="1:9" ht="18.75" customHeight="1" x14ac:dyDescent="0.4">
      <c r="A3953" s="14" t="s">
        <v>1850</v>
      </c>
      <c r="B3953" s="16" t="str">
        <f>TRIM("阿倍野区在宅サービスセンター")</f>
        <v>阿倍野区在宅サービスセンター</v>
      </c>
      <c r="C3953" s="14" t="s">
        <v>1510</v>
      </c>
      <c r="D3953" s="14" t="s">
        <v>365</v>
      </c>
      <c r="E3953" s="1">
        <v>665.86</v>
      </c>
      <c r="F3953" s="2"/>
      <c r="G3953" s="1"/>
      <c r="H3953" s="3"/>
      <c r="I3953" s="14" t="s">
        <v>1654</v>
      </c>
    </row>
    <row r="3954" spans="1:9" ht="18.75" customHeight="1" x14ac:dyDescent="0.4">
      <c r="A3954" s="14" t="s">
        <v>6105</v>
      </c>
      <c r="B3954" s="16" t="str">
        <f>TRIM("奥大原霊園")</f>
        <v>奥大原霊園</v>
      </c>
      <c r="C3954" s="14" t="s">
        <v>1510</v>
      </c>
      <c r="D3954" s="14" t="s">
        <v>365</v>
      </c>
      <c r="E3954" s="1">
        <v>1127.27</v>
      </c>
      <c r="F3954" s="2"/>
      <c r="G3954" s="1"/>
      <c r="H3954" s="3"/>
      <c r="I3954" s="14" t="s">
        <v>5977</v>
      </c>
    </row>
    <row r="3955" spans="1:9" ht="18.75" customHeight="1" x14ac:dyDescent="0.4">
      <c r="A3955" s="14" t="s">
        <v>2024</v>
      </c>
      <c r="B3955" s="16" t="str">
        <f>TRIM("高松会館")</f>
        <v>高松会館</v>
      </c>
      <c r="C3955" s="14" t="s">
        <v>1510</v>
      </c>
      <c r="D3955" s="14" t="s">
        <v>482</v>
      </c>
      <c r="E3955" s="1">
        <v>495.86</v>
      </c>
      <c r="F3955" s="2"/>
      <c r="G3955" s="1"/>
      <c r="H3955" s="3"/>
      <c r="I3955" s="14" t="s">
        <v>1986</v>
      </c>
    </row>
    <row r="3956" spans="1:9" ht="18.75" customHeight="1" x14ac:dyDescent="0.4">
      <c r="A3956" s="14" t="s">
        <v>2180</v>
      </c>
      <c r="B3956" s="16" t="str">
        <f>TRIM("曙児童遊園")</f>
        <v>曙児童遊園</v>
      </c>
      <c r="C3956" s="14" t="s">
        <v>1510</v>
      </c>
      <c r="D3956" s="14" t="s">
        <v>482</v>
      </c>
      <c r="E3956" s="1">
        <v>289.64999999999998</v>
      </c>
      <c r="F3956" s="2"/>
      <c r="G3956" s="1"/>
      <c r="H3956" s="3"/>
      <c r="I3956" s="14" t="s">
        <v>1986</v>
      </c>
    </row>
    <row r="3957" spans="1:9" ht="18.75" customHeight="1" x14ac:dyDescent="0.4">
      <c r="A3957" s="14" t="s">
        <v>3820</v>
      </c>
      <c r="B3957" s="16" t="str">
        <f>TRIM("寺田町駅自転車駐車場")</f>
        <v>寺田町駅自転車駐車場</v>
      </c>
      <c r="C3957" s="14" t="s">
        <v>1510</v>
      </c>
      <c r="D3957" s="14" t="s">
        <v>482</v>
      </c>
      <c r="E3957" s="1"/>
      <c r="F3957" s="2"/>
      <c r="G3957" s="1">
        <v>563.6</v>
      </c>
      <c r="H3957" s="3"/>
      <c r="I3957" s="14" t="s">
        <v>2177</v>
      </c>
    </row>
    <row r="3958" spans="1:9" ht="18.75" customHeight="1" x14ac:dyDescent="0.4">
      <c r="A3958" s="14" t="s">
        <v>3822</v>
      </c>
      <c r="B3958" s="16" t="str">
        <f>TRIM("寺田町駅南自転車駐車場")</f>
        <v>寺田町駅南自転車駐車場</v>
      </c>
      <c r="C3958" s="14" t="s">
        <v>1510</v>
      </c>
      <c r="D3958" s="14" t="s">
        <v>482</v>
      </c>
      <c r="E3958" s="1">
        <v>560.87</v>
      </c>
      <c r="F3958" s="2"/>
      <c r="G3958" s="1"/>
      <c r="H3958" s="3"/>
      <c r="I3958" s="14" t="s">
        <v>2177</v>
      </c>
    </row>
    <row r="3959" spans="1:9" ht="18.75" customHeight="1" x14ac:dyDescent="0.4">
      <c r="A3959" s="14" t="s">
        <v>5641</v>
      </c>
      <c r="B3959" s="16" t="str">
        <f>TRIM("阿倍野児童遊園")</f>
        <v>阿倍野児童遊園</v>
      </c>
      <c r="C3959" s="14" t="s">
        <v>1510</v>
      </c>
      <c r="D3959" s="14" t="s">
        <v>482</v>
      </c>
      <c r="E3959" s="1">
        <v>437.78</v>
      </c>
      <c r="F3959" s="2"/>
      <c r="G3959" s="1"/>
      <c r="H3959" s="3"/>
      <c r="I3959" s="14" t="s">
        <v>5617</v>
      </c>
    </row>
    <row r="3960" spans="1:9" ht="18.75" customHeight="1" x14ac:dyDescent="0.4">
      <c r="A3960" s="14" t="s">
        <v>4805</v>
      </c>
      <c r="B3960" s="16" t="str">
        <f>TRIM("高松小学校")</f>
        <v>高松小学校</v>
      </c>
      <c r="C3960" s="14" t="s">
        <v>1510</v>
      </c>
      <c r="D3960" s="14" t="s">
        <v>405</v>
      </c>
      <c r="E3960" s="1">
        <v>8897.2800000000007</v>
      </c>
      <c r="F3960" s="2"/>
      <c r="G3960" s="1">
        <v>6515.33</v>
      </c>
      <c r="H3960" s="3"/>
      <c r="I3960" s="14" t="s">
        <v>4689</v>
      </c>
    </row>
    <row r="3961" spans="1:9" ht="18.75" customHeight="1" x14ac:dyDescent="0.4">
      <c r="A3961" s="14" t="s">
        <v>6368</v>
      </c>
      <c r="B3961" s="16" t="str">
        <f>TRIM("高松住宅")</f>
        <v>高松住宅</v>
      </c>
      <c r="C3961" s="14" t="s">
        <v>1510</v>
      </c>
      <c r="D3961" s="14" t="s">
        <v>405</v>
      </c>
      <c r="E3961" s="1">
        <v>11267.58</v>
      </c>
      <c r="F3961" s="2"/>
      <c r="G3961" s="1">
        <v>18803.73</v>
      </c>
      <c r="H3961" s="3"/>
      <c r="I3961" s="14" t="s">
        <v>6177</v>
      </c>
    </row>
    <row r="3962" spans="1:9" ht="18.75" customHeight="1" x14ac:dyDescent="0.4">
      <c r="A3962" s="14" t="s">
        <v>1917</v>
      </c>
      <c r="B3962" s="16" t="str">
        <f>TRIM("特別養護老人ホームいくとく・文の里地域在宅サービスステーション")</f>
        <v>特別養護老人ホームいくとく・文の里地域在宅サービスステーション</v>
      </c>
      <c r="C3962" s="14" t="s">
        <v>1510</v>
      </c>
      <c r="D3962" s="14" t="s">
        <v>405</v>
      </c>
      <c r="E3962" s="1">
        <v>1800.01</v>
      </c>
      <c r="F3962" s="2"/>
      <c r="G3962" s="1"/>
      <c r="H3962" s="3"/>
      <c r="I3962" s="14" t="s">
        <v>1654</v>
      </c>
    </row>
    <row r="3963" spans="1:9" ht="18.75" customHeight="1" x14ac:dyDescent="0.4">
      <c r="A3963" s="14" t="s">
        <v>2708</v>
      </c>
      <c r="B3963" s="16" t="str">
        <f>TRIM("　高松公園")</f>
        <v>高松公園</v>
      </c>
      <c r="C3963" s="14" t="s">
        <v>1510</v>
      </c>
      <c r="D3963" s="14" t="s">
        <v>405</v>
      </c>
      <c r="E3963" s="1">
        <v>2287.75</v>
      </c>
      <c r="F3963" s="2"/>
      <c r="G3963" s="1"/>
      <c r="H3963" s="3"/>
      <c r="I3963" s="14" t="s">
        <v>2177</v>
      </c>
    </row>
    <row r="3964" spans="1:9" ht="18.75" customHeight="1" x14ac:dyDescent="0.4">
      <c r="A3964" s="14" t="s">
        <v>5966</v>
      </c>
      <c r="B3964" s="16" t="str">
        <f>TRIM("民間移管保育所建設用地（高松保育所）")</f>
        <v>民間移管保育所建設用地（高松保育所）</v>
      </c>
      <c r="C3964" s="14" t="s">
        <v>1510</v>
      </c>
      <c r="D3964" s="14" t="s">
        <v>405</v>
      </c>
      <c r="E3964" s="1">
        <v>783.18</v>
      </c>
      <c r="F3964" s="2"/>
      <c r="G3964" s="1"/>
      <c r="H3964" s="3"/>
      <c r="I3964" s="14" t="s">
        <v>5617</v>
      </c>
    </row>
    <row r="3965" spans="1:9" ht="18.75" customHeight="1" x14ac:dyDescent="0.4">
      <c r="A3965" s="14" t="s">
        <v>1640</v>
      </c>
      <c r="B3965" s="16" t="str">
        <f>TRIM("公共施設先行取得事業用地（阿倍野区天王寺町南）")</f>
        <v>公共施設先行取得事業用地（阿倍野区天王寺町南）</v>
      </c>
      <c r="C3965" s="14" t="s">
        <v>1510</v>
      </c>
      <c r="D3965" s="14" t="s">
        <v>314</v>
      </c>
      <c r="E3965" s="1">
        <v>101.5</v>
      </c>
      <c r="F3965" s="2"/>
      <c r="G3965" s="1"/>
      <c r="H3965" s="3"/>
      <c r="I3965" s="14" t="s">
        <v>1633</v>
      </c>
    </row>
    <row r="3966" spans="1:9" ht="18.75" customHeight="1" x14ac:dyDescent="0.4">
      <c r="A3966" s="14" t="s">
        <v>4010</v>
      </c>
      <c r="B3966" s="16" t="str">
        <f>TRIM("下水道用地（阿倍野）")</f>
        <v>下水道用地（阿倍野）</v>
      </c>
      <c r="C3966" s="14" t="s">
        <v>1510</v>
      </c>
      <c r="D3966" s="14" t="s">
        <v>1316</v>
      </c>
      <c r="E3966" s="1">
        <v>3344.17</v>
      </c>
      <c r="F3966" s="2"/>
      <c r="G3966" s="1"/>
      <c r="H3966" s="3"/>
      <c r="I3966" s="14" t="s">
        <v>2177</v>
      </c>
    </row>
    <row r="3967" spans="1:9" ht="18.75" customHeight="1" x14ac:dyDescent="0.4">
      <c r="A3967" s="14" t="s">
        <v>2189</v>
      </c>
      <c r="B3967" s="16" t="str">
        <f>TRIM("廃道（阿倍野）")</f>
        <v>廃道（阿倍野）</v>
      </c>
      <c r="C3967" s="14" t="s">
        <v>1510</v>
      </c>
      <c r="D3967" s="14" t="s">
        <v>904</v>
      </c>
      <c r="E3967" s="1">
        <v>39.67</v>
      </c>
      <c r="F3967" s="2"/>
      <c r="G3967" s="1"/>
      <c r="H3967" s="3"/>
      <c r="I3967" s="14" t="s">
        <v>2177</v>
      </c>
    </row>
    <row r="3968" spans="1:9" ht="18.75" customHeight="1" x14ac:dyDescent="0.4">
      <c r="A3968" s="14" t="s">
        <v>2709</v>
      </c>
      <c r="B3968" s="16" t="str">
        <f>TRIM("　高松南公園")</f>
        <v>高松南公園</v>
      </c>
      <c r="C3968" s="14" t="s">
        <v>1510</v>
      </c>
      <c r="D3968" s="14" t="s">
        <v>904</v>
      </c>
      <c r="E3968" s="1">
        <v>667.76</v>
      </c>
      <c r="F3968" s="2"/>
      <c r="G3968" s="1"/>
      <c r="H3968" s="3"/>
      <c r="I3968" s="14" t="s">
        <v>2177</v>
      </c>
    </row>
    <row r="3969" spans="1:9" ht="18.75" customHeight="1" x14ac:dyDescent="0.4">
      <c r="A3969" s="14" t="s">
        <v>1880</v>
      </c>
      <c r="B3969" s="16" t="str">
        <f>TRIM("昭和地域在宅サービスステーション")</f>
        <v>昭和地域在宅サービスステーション</v>
      </c>
      <c r="C3969" s="14" t="s">
        <v>1510</v>
      </c>
      <c r="D3969" s="14" t="s">
        <v>383</v>
      </c>
      <c r="E3969" s="1">
        <v>392.53</v>
      </c>
      <c r="F3969" s="2"/>
      <c r="G3969" s="1"/>
      <c r="H3969" s="3"/>
      <c r="I3969" s="14" t="s">
        <v>1654</v>
      </c>
    </row>
    <row r="3970" spans="1:9" ht="18.75" customHeight="1" x14ac:dyDescent="0.4">
      <c r="A3970" s="14" t="s">
        <v>2254</v>
      </c>
      <c r="B3970" s="16" t="str">
        <f>TRIM("大阪港八尾線（阿倍野）（管財課）")</f>
        <v>大阪港八尾線（阿倍野）（管財課）</v>
      </c>
      <c r="C3970" s="14" t="s">
        <v>1510</v>
      </c>
      <c r="D3970" s="14" t="s">
        <v>383</v>
      </c>
      <c r="E3970" s="1">
        <v>16623.669999999998</v>
      </c>
      <c r="F3970" s="2"/>
      <c r="G3970" s="1"/>
      <c r="H3970" s="3"/>
      <c r="I3970" s="14" t="s">
        <v>2177</v>
      </c>
    </row>
    <row r="3971" spans="1:9" ht="18.75" customHeight="1" x14ac:dyDescent="0.4">
      <c r="A3971" s="14" t="s">
        <v>3070</v>
      </c>
      <c r="B3971" s="16" t="str">
        <f>TRIM("　長池公園")</f>
        <v>長池公園</v>
      </c>
      <c r="C3971" s="14" t="s">
        <v>1510</v>
      </c>
      <c r="D3971" s="14" t="s">
        <v>383</v>
      </c>
      <c r="E3971" s="1">
        <v>46880.46</v>
      </c>
      <c r="F3971" s="2"/>
      <c r="G3971" s="1"/>
      <c r="H3971" s="3"/>
      <c r="I3971" s="14" t="s">
        <v>2177</v>
      </c>
    </row>
    <row r="3972" spans="1:9" ht="18.75" customHeight="1" x14ac:dyDescent="0.4">
      <c r="A3972" s="14" t="s">
        <v>3625</v>
      </c>
      <c r="B3972" s="16" t="str">
        <f>TRIM("　長池公園")</f>
        <v>長池公園</v>
      </c>
      <c r="C3972" s="14" t="s">
        <v>1510</v>
      </c>
      <c r="D3972" s="14" t="s">
        <v>383</v>
      </c>
      <c r="E3972" s="1"/>
      <c r="F3972" s="2"/>
      <c r="G3972" s="1">
        <v>10.8</v>
      </c>
      <c r="H3972" s="3"/>
      <c r="I3972" s="14" t="s">
        <v>2177</v>
      </c>
    </row>
    <row r="3973" spans="1:9" ht="18.75" customHeight="1" x14ac:dyDescent="0.4">
      <c r="A3973" s="14" t="s">
        <v>3870</v>
      </c>
      <c r="B3973" s="16" t="str">
        <f>TRIM("西田辺駅自転車駐車場管理事務所")</f>
        <v>西田辺駅自転車駐車場管理事務所</v>
      </c>
      <c r="C3973" s="14" t="s">
        <v>1510</v>
      </c>
      <c r="D3973" s="14" t="s">
        <v>1494</v>
      </c>
      <c r="E3973" s="1"/>
      <c r="F3973" s="2"/>
      <c r="G3973" s="1">
        <v>12.56</v>
      </c>
      <c r="H3973" s="3"/>
      <c r="I3973" s="14" t="s">
        <v>2177</v>
      </c>
    </row>
    <row r="3974" spans="1:9" ht="18.75" customHeight="1" x14ac:dyDescent="0.4">
      <c r="A3974" s="14" t="s">
        <v>2168</v>
      </c>
      <c r="B3974" s="16" t="str">
        <f>TRIM("西田辺会館")</f>
        <v>西田辺会館</v>
      </c>
      <c r="C3974" s="14" t="s">
        <v>1510</v>
      </c>
      <c r="D3974" s="14" t="s">
        <v>936</v>
      </c>
      <c r="E3974" s="1">
        <v>230.49</v>
      </c>
      <c r="F3974" s="2"/>
      <c r="G3974" s="1"/>
      <c r="H3974" s="3"/>
      <c r="I3974" s="14" t="s">
        <v>1986</v>
      </c>
    </row>
    <row r="3975" spans="1:9" ht="18.75" customHeight="1" x14ac:dyDescent="0.4">
      <c r="A3975" s="14" t="s">
        <v>2260</v>
      </c>
      <c r="B3975" s="16" t="str">
        <f>TRIM("大阪高石線（阿倍野）（管財課）")</f>
        <v>大阪高石線（阿倍野）（管財課）</v>
      </c>
      <c r="C3975" s="14" t="s">
        <v>1510</v>
      </c>
      <c r="D3975" s="14" t="s">
        <v>936</v>
      </c>
      <c r="E3975" s="1">
        <v>30928.07</v>
      </c>
      <c r="F3975" s="2"/>
      <c r="G3975" s="1"/>
      <c r="H3975" s="3"/>
      <c r="I3975" s="14" t="s">
        <v>2177</v>
      </c>
    </row>
    <row r="3976" spans="1:9" ht="18.75" customHeight="1" x14ac:dyDescent="0.4">
      <c r="A3976" s="14" t="s">
        <v>2444</v>
      </c>
      <c r="B3976" s="16" t="str">
        <f>TRIM("天王寺大和川線（阿倍野）")</f>
        <v>天王寺大和川線（阿倍野）</v>
      </c>
      <c r="C3976" s="14" t="s">
        <v>1510</v>
      </c>
      <c r="D3976" s="14" t="s">
        <v>936</v>
      </c>
      <c r="E3976" s="1">
        <v>2842.81</v>
      </c>
      <c r="F3976" s="2"/>
      <c r="G3976" s="1"/>
      <c r="H3976" s="3"/>
      <c r="I3976" s="14" t="s">
        <v>2177</v>
      </c>
    </row>
    <row r="3977" spans="1:9" ht="18.75" customHeight="1" x14ac:dyDescent="0.4">
      <c r="A3977" s="14" t="s">
        <v>5224</v>
      </c>
      <c r="B3977" s="16" t="str">
        <f>TRIM("阿倍野消防署阪南出張所")</f>
        <v>阿倍野消防署阪南出張所</v>
      </c>
      <c r="C3977" s="14" t="s">
        <v>1510</v>
      </c>
      <c r="D3977" s="14" t="s">
        <v>1358</v>
      </c>
      <c r="E3977" s="1">
        <v>284.29000000000002</v>
      </c>
      <c r="F3977" s="2"/>
      <c r="G3977" s="1">
        <v>768.04</v>
      </c>
      <c r="H3977" s="3"/>
      <c r="I3977" s="14" t="s">
        <v>5219</v>
      </c>
    </row>
    <row r="3978" spans="1:9" ht="18.75" customHeight="1" x14ac:dyDescent="0.4">
      <c r="A3978" s="14" t="s">
        <v>3224</v>
      </c>
      <c r="B3978" s="16" t="str">
        <f>TRIM("　播磨大領公園")</f>
        <v>播磨大領公園</v>
      </c>
      <c r="C3978" s="14" t="s">
        <v>1510</v>
      </c>
      <c r="D3978" s="14" t="s">
        <v>1215</v>
      </c>
      <c r="E3978" s="1">
        <v>3122.19</v>
      </c>
      <c r="F3978" s="2"/>
      <c r="G3978" s="1"/>
      <c r="H3978" s="3"/>
      <c r="I3978" s="14" t="s">
        <v>2177</v>
      </c>
    </row>
    <row r="3979" spans="1:9" ht="18.75" customHeight="1" x14ac:dyDescent="0.4">
      <c r="A3979" s="14" t="s">
        <v>5073</v>
      </c>
      <c r="B3979" s="16" t="str">
        <f>TRIM("苗代小学校")</f>
        <v>苗代小学校</v>
      </c>
      <c r="C3979" s="14" t="s">
        <v>1510</v>
      </c>
      <c r="D3979" s="14" t="s">
        <v>172</v>
      </c>
      <c r="E3979" s="1">
        <v>8571.8700000000008</v>
      </c>
      <c r="F3979" s="2"/>
      <c r="G3979" s="1">
        <v>6276.9</v>
      </c>
      <c r="H3979" s="3"/>
      <c r="I3979" s="14" t="s">
        <v>4689</v>
      </c>
    </row>
    <row r="3980" spans="1:9" ht="18.75" customHeight="1" x14ac:dyDescent="0.4">
      <c r="A3980" s="14" t="s">
        <v>2737</v>
      </c>
      <c r="B3980" s="16" t="str">
        <f>TRIM("　阪南西公園")</f>
        <v>阪南西公園</v>
      </c>
      <c r="C3980" s="14" t="s">
        <v>1510</v>
      </c>
      <c r="D3980" s="14" t="s">
        <v>172</v>
      </c>
      <c r="E3980" s="1">
        <v>80.05</v>
      </c>
      <c r="F3980" s="2"/>
      <c r="G3980" s="1"/>
      <c r="H3980" s="3"/>
      <c r="I3980" s="14" t="s">
        <v>2177</v>
      </c>
    </row>
    <row r="3981" spans="1:9" ht="18.75" customHeight="1" x14ac:dyDescent="0.4">
      <c r="A3981" s="14" t="s">
        <v>2738</v>
      </c>
      <c r="B3981" s="16" t="str">
        <f>TRIM("　阪南中公園")</f>
        <v>阪南中公園</v>
      </c>
      <c r="C3981" s="14" t="s">
        <v>1510</v>
      </c>
      <c r="D3981" s="14" t="s">
        <v>172</v>
      </c>
      <c r="E3981" s="1">
        <v>2224.2800000000002</v>
      </c>
      <c r="F3981" s="2"/>
      <c r="G3981" s="1"/>
      <c r="H3981" s="3"/>
      <c r="I3981" s="14" t="s">
        <v>2177</v>
      </c>
    </row>
    <row r="3982" spans="1:9" ht="18.75" customHeight="1" x14ac:dyDescent="0.4">
      <c r="A3982" s="14" t="s">
        <v>2739</v>
      </c>
      <c r="B3982" s="16" t="str">
        <f>TRIM("　阪南北公園")</f>
        <v>阪南北公園</v>
      </c>
      <c r="C3982" s="14" t="s">
        <v>1510</v>
      </c>
      <c r="D3982" s="14" t="s">
        <v>172</v>
      </c>
      <c r="E3982" s="1">
        <v>793.38</v>
      </c>
      <c r="F3982" s="2"/>
      <c r="G3982" s="1"/>
      <c r="H3982" s="3"/>
      <c r="I3982" s="14" t="s">
        <v>2177</v>
      </c>
    </row>
    <row r="3983" spans="1:9" ht="18.75" customHeight="1" x14ac:dyDescent="0.4">
      <c r="A3983" s="14" t="s">
        <v>3933</v>
      </c>
      <c r="B3983" s="16" t="str">
        <f>TRIM("文の里駅自転車駐車場管理ボックス")</f>
        <v>文の里駅自転車駐車場管理ボックス</v>
      </c>
      <c r="C3983" s="14" t="s">
        <v>1510</v>
      </c>
      <c r="D3983" s="14" t="s">
        <v>172</v>
      </c>
      <c r="E3983" s="1"/>
      <c r="F3983" s="2"/>
      <c r="G3983" s="1">
        <v>1.44</v>
      </c>
      <c r="H3983" s="3"/>
      <c r="I3983" s="14" t="s">
        <v>2177</v>
      </c>
    </row>
    <row r="3984" spans="1:9" ht="18.75" customHeight="1" x14ac:dyDescent="0.4">
      <c r="A3984" s="14" t="s">
        <v>4598</v>
      </c>
      <c r="B3984" s="16" t="str">
        <f>TRIM("常盤文化会館")</f>
        <v>常盤文化会館</v>
      </c>
      <c r="C3984" s="14" t="s">
        <v>1510</v>
      </c>
      <c r="D3984" s="14" t="s">
        <v>172</v>
      </c>
      <c r="E3984" s="1"/>
      <c r="F3984" s="2"/>
      <c r="G3984" s="1">
        <v>198.64</v>
      </c>
      <c r="H3984" s="3"/>
      <c r="I3984" s="14" t="s">
        <v>1986</v>
      </c>
    </row>
    <row r="3985" spans="1:9" ht="18.75" customHeight="1" x14ac:dyDescent="0.4">
      <c r="A3985" s="14" t="s">
        <v>5418</v>
      </c>
      <c r="B3985" s="16" t="str">
        <f>TRIM("もと町会財産")</f>
        <v>もと町会財産</v>
      </c>
      <c r="C3985" s="14" t="s">
        <v>1510</v>
      </c>
      <c r="D3985" s="14" t="s">
        <v>172</v>
      </c>
      <c r="E3985" s="1">
        <v>148.09</v>
      </c>
      <c r="F3985" s="2"/>
      <c r="G3985" s="1"/>
      <c r="H3985" s="3"/>
      <c r="I3985" s="14" t="s">
        <v>5349</v>
      </c>
    </row>
    <row r="3986" spans="1:9" ht="18.75" customHeight="1" x14ac:dyDescent="0.4">
      <c r="A3986" s="14" t="s">
        <v>5465</v>
      </c>
      <c r="B3986" s="16" t="str">
        <f>TRIM("契約管財局賃貸地（阿倍野）")</f>
        <v>契約管財局賃貸地（阿倍野）</v>
      </c>
      <c r="C3986" s="14" t="s">
        <v>1510</v>
      </c>
      <c r="D3986" s="14" t="s">
        <v>172</v>
      </c>
      <c r="E3986" s="1">
        <v>66.84</v>
      </c>
      <c r="F3986" s="2"/>
      <c r="G3986" s="1"/>
      <c r="H3986" s="3"/>
      <c r="I3986" s="14" t="s">
        <v>5349</v>
      </c>
    </row>
    <row r="3987" spans="1:9" ht="18.75" customHeight="1" x14ac:dyDescent="0.4">
      <c r="A3987" s="14" t="s">
        <v>1678</v>
      </c>
      <c r="B3987" s="16" t="str">
        <f>TRIM("障がい福祉サービス事業所みどり教室")</f>
        <v>障がい福祉サービス事業所みどり教室</v>
      </c>
      <c r="C3987" s="14" t="s">
        <v>1510</v>
      </c>
      <c r="D3987" s="14" t="s">
        <v>478</v>
      </c>
      <c r="E3987" s="1">
        <v>123.04</v>
      </c>
      <c r="F3987" s="2"/>
      <c r="G3987" s="1">
        <v>320.39999999999998</v>
      </c>
      <c r="H3987" s="3"/>
      <c r="I3987" s="14" t="s">
        <v>1654</v>
      </c>
    </row>
    <row r="3988" spans="1:9" ht="18.75" customHeight="1" x14ac:dyDescent="0.4">
      <c r="A3988" s="14" t="s">
        <v>4708</v>
      </c>
      <c r="B3988" s="16" t="str">
        <f>TRIM("阿倍野小学校")</f>
        <v>阿倍野小学校</v>
      </c>
      <c r="C3988" s="14" t="s">
        <v>1510</v>
      </c>
      <c r="D3988" s="14" t="s">
        <v>478</v>
      </c>
      <c r="E3988" s="1">
        <v>12343.91</v>
      </c>
      <c r="F3988" s="2"/>
      <c r="G3988" s="1">
        <v>7421.63</v>
      </c>
      <c r="H3988" s="3"/>
      <c r="I3988" s="14" t="s">
        <v>4689</v>
      </c>
    </row>
    <row r="3989" spans="1:9" ht="18.75" customHeight="1" x14ac:dyDescent="0.4">
      <c r="A3989" s="14" t="s">
        <v>1985</v>
      </c>
      <c r="B3989" s="16" t="str">
        <f>TRIM("阿倍野連合会館")</f>
        <v>阿倍野連合会館</v>
      </c>
      <c r="C3989" s="14" t="s">
        <v>1510</v>
      </c>
      <c r="D3989" s="14" t="s">
        <v>478</v>
      </c>
      <c r="E3989" s="1">
        <v>301.64</v>
      </c>
      <c r="F3989" s="2"/>
      <c r="G3989" s="1"/>
      <c r="H3989" s="3"/>
      <c r="I3989" s="14" t="s">
        <v>1986</v>
      </c>
    </row>
    <row r="3990" spans="1:9" ht="18.75" customHeight="1" x14ac:dyDescent="0.4">
      <c r="A3990" s="14" t="s">
        <v>3841</v>
      </c>
      <c r="B3990" s="16" t="str">
        <f>TRIM("昭和町駅自転車駐車場管理事務所")</f>
        <v>昭和町駅自転車駐車場管理事務所</v>
      </c>
      <c r="C3990" s="14" t="s">
        <v>1510</v>
      </c>
      <c r="D3990" s="14" t="s">
        <v>478</v>
      </c>
      <c r="E3990" s="1"/>
      <c r="F3990" s="2"/>
      <c r="G3990" s="1">
        <v>3.89</v>
      </c>
      <c r="H3990" s="3"/>
      <c r="I3990" s="14" t="s">
        <v>2177</v>
      </c>
    </row>
    <row r="3991" spans="1:9" ht="18.75" customHeight="1" x14ac:dyDescent="0.4">
      <c r="A3991" s="14" t="s">
        <v>5630</v>
      </c>
      <c r="B3991" s="16" t="str">
        <f>TRIM("もと阪南第2保育所")</f>
        <v>もと阪南第2保育所</v>
      </c>
      <c r="C3991" s="14" t="s">
        <v>1510</v>
      </c>
      <c r="D3991" s="14" t="s">
        <v>478</v>
      </c>
      <c r="E3991" s="1">
        <v>630.63</v>
      </c>
      <c r="F3991" s="2"/>
      <c r="G3991" s="1"/>
      <c r="H3991" s="3"/>
      <c r="I3991" s="14" t="s">
        <v>5617</v>
      </c>
    </row>
    <row r="3992" spans="1:9" ht="18.75" customHeight="1" x14ac:dyDescent="0.4">
      <c r="A3992" s="14" t="s">
        <v>5660</v>
      </c>
      <c r="B3992" s="16" t="str">
        <f>TRIM("もと阿倍野児童館")</f>
        <v>もと阿倍野児童館</v>
      </c>
      <c r="C3992" s="14" t="s">
        <v>1510</v>
      </c>
      <c r="D3992" s="14" t="s">
        <v>478</v>
      </c>
      <c r="E3992" s="1"/>
      <c r="F3992" s="2"/>
      <c r="G3992" s="1">
        <v>355</v>
      </c>
      <c r="H3992" s="3" t="s">
        <v>7353</v>
      </c>
      <c r="I3992" s="14" t="s">
        <v>5617</v>
      </c>
    </row>
    <row r="3993" spans="1:9" ht="18.75" customHeight="1" x14ac:dyDescent="0.4">
      <c r="A3993" s="14" t="s">
        <v>5859</v>
      </c>
      <c r="B3993" s="16" t="str">
        <f>TRIM("阪南保育所")</f>
        <v>阪南保育所</v>
      </c>
      <c r="C3993" s="14" t="s">
        <v>1510</v>
      </c>
      <c r="D3993" s="14" t="s">
        <v>572</v>
      </c>
      <c r="E3993" s="1">
        <v>821.48</v>
      </c>
      <c r="F3993" s="2"/>
      <c r="G3993" s="1">
        <v>633.67999999999995</v>
      </c>
      <c r="H3993" s="3"/>
      <c r="I3993" s="14" t="s">
        <v>5617</v>
      </c>
    </row>
    <row r="3994" spans="1:9" ht="18.75" customHeight="1" x14ac:dyDescent="0.4">
      <c r="A3994" s="14" t="s">
        <v>2847</v>
      </c>
      <c r="B3994" s="16" t="str">
        <f>TRIM("　新阪南公園")</f>
        <v>新阪南公園</v>
      </c>
      <c r="C3994" s="14" t="s">
        <v>1510</v>
      </c>
      <c r="D3994" s="14" t="s">
        <v>572</v>
      </c>
      <c r="E3994" s="1">
        <v>1347.24</v>
      </c>
      <c r="F3994" s="2"/>
      <c r="G3994" s="1"/>
      <c r="H3994" s="3"/>
      <c r="I3994" s="14" t="s">
        <v>2177</v>
      </c>
    </row>
    <row r="3995" spans="1:9" ht="18.75" customHeight="1" x14ac:dyDescent="0.4">
      <c r="A3995" s="14" t="s">
        <v>1777</v>
      </c>
      <c r="B3995" s="16" t="str">
        <f>TRIM("阿倍野区老人福祉センター")</f>
        <v>阿倍野区老人福祉センター</v>
      </c>
      <c r="C3995" s="14" t="s">
        <v>1510</v>
      </c>
      <c r="D3995" s="14" t="s">
        <v>438</v>
      </c>
      <c r="E3995" s="1">
        <v>1189.28</v>
      </c>
      <c r="F3995" s="2"/>
      <c r="G3995" s="1">
        <v>471</v>
      </c>
      <c r="H3995" s="3"/>
      <c r="I3995" s="14" t="s">
        <v>1654</v>
      </c>
    </row>
    <row r="3996" spans="1:9" ht="18.75" customHeight="1" x14ac:dyDescent="0.4">
      <c r="A3996" s="14" t="s">
        <v>4821</v>
      </c>
      <c r="B3996" s="16" t="str">
        <f>TRIM("阪南小学校")</f>
        <v>阪南小学校</v>
      </c>
      <c r="C3996" s="14" t="s">
        <v>1510</v>
      </c>
      <c r="D3996" s="14" t="s">
        <v>438</v>
      </c>
      <c r="E3996" s="1">
        <v>12036.82</v>
      </c>
      <c r="F3996" s="2"/>
      <c r="G3996" s="1">
        <v>7801.42</v>
      </c>
      <c r="H3996" s="3"/>
      <c r="I3996" s="14" t="s">
        <v>4689</v>
      </c>
    </row>
    <row r="3997" spans="1:9" ht="18.75" customHeight="1" x14ac:dyDescent="0.4">
      <c r="A3997" s="14" t="s">
        <v>2028</v>
      </c>
      <c r="B3997" s="16" t="str">
        <f>TRIM("阪南連合会館")</f>
        <v>阪南連合会館</v>
      </c>
      <c r="C3997" s="14" t="s">
        <v>1510</v>
      </c>
      <c r="D3997" s="14" t="s">
        <v>438</v>
      </c>
      <c r="E3997" s="1"/>
      <c r="F3997" s="2"/>
      <c r="G3997" s="1">
        <v>101.81</v>
      </c>
      <c r="H3997" s="3"/>
      <c r="I3997" s="14" t="s">
        <v>1986</v>
      </c>
    </row>
    <row r="3998" spans="1:9" ht="18.75" customHeight="1" x14ac:dyDescent="0.4">
      <c r="A3998" s="14" t="s">
        <v>4597</v>
      </c>
      <c r="B3998" s="16" t="str">
        <f>TRIM("阪南連合会館")</f>
        <v>阪南連合会館</v>
      </c>
      <c r="C3998" s="14" t="s">
        <v>1510</v>
      </c>
      <c r="D3998" s="14" t="s">
        <v>438</v>
      </c>
      <c r="E3998" s="1"/>
      <c r="F3998" s="2"/>
      <c r="G3998" s="1">
        <v>50.38</v>
      </c>
      <c r="H3998" s="3"/>
      <c r="I3998" s="14" t="s">
        <v>1986</v>
      </c>
    </row>
    <row r="3999" spans="1:9" ht="18.75" customHeight="1" x14ac:dyDescent="0.4">
      <c r="A3999" s="14" t="s">
        <v>5702</v>
      </c>
      <c r="B3999" s="16" t="str">
        <f>TRIM("南さくら園")</f>
        <v>南さくら園</v>
      </c>
      <c r="C3999" s="14" t="s">
        <v>1510</v>
      </c>
      <c r="D3999" s="14" t="s">
        <v>438</v>
      </c>
      <c r="E3999" s="1"/>
      <c r="F3999" s="2"/>
      <c r="G3999" s="1">
        <v>1832.43</v>
      </c>
      <c r="H3999" s="3"/>
      <c r="I3999" s="14" t="s">
        <v>5617</v>
      </c>
    </row>
    <row r="4000" spans="1:9" ht="18.75" customHeight="1" x14ac:dyDescent="0.4">
      <c r="A4000" s="14" t="s">
        <v>5725</v>
      </c>
      <c r="B4000" s="16" t="str">
        <f>TRIM("育徳園保育所")</f>
        <v>育徳園保育所</v>
      </c>
      <c r="C4000" s="14" t="s">
        <v>1510</v>
      </c>
      <c r="D4000" s="14" t="s">
        <v>438</v>
      </c>
      <c r="E4000" s="1">
        <v>992.53</v>
      </c>
      <c r="F4000" s="2"/>
      <c r="G4000" s="1"/>
      <c r="H4000" s="3"/>
      <c r="I4000" s="14" t="s">
        <v>5617</v>
      </c>
    </row>
    <row r="4001" spans="1:9" ht="18.75" customHeight="1" x14ac:dyDescent="0.4">
      <c r="A4001" s="14" t="s">
        <v>4600</v>
      </c>
      <c r="B4001" s="16" t="str">
        <f>TRIM("阪南播磨公園")</f>
        <v>阪南播磨公園</v>
      </c>
      <c r="C4001" s="14" t="s">
        <v>1510</v>
      </c>
      <c r="D4001" s="14" t="s">
        <v>1465</v>
      </c>
      <c r="E4001" s="1">
        <v>1067.81</v>
      </c>
      <c r="F4001" s="2"/>
      <c r="G4001" s="1"/>
      <c r="H4001" s="3"/>
      <c r="I4001" s="14" t="s">
        <v>1986</v>
      </c>
    </row>
    <row r="4002" spans="1:9" ht="18.75" customHeight="1" x14ac:dyDescent="0.4">
      <c r="A4002" s="14" t="s">
        <v>5080</v>
      </c>
      <c r="B4002" s="16" t="str">
        <f>TRIM("文の里中学校")</f>
        <v>文の里中学校</v>
      </c>
      <c r="C4002" s="14" t="s">
        <v>1510</v>
      </c>
      <c r="D4002" s="14" t="s">
        <v>1434</v>
      </c>
      <c r="E4002" s="1">
        <v>18614.41</v>
      </c>
      <c r="F4002" s="2"/>
      <c r="G4002" s="1">
        <v>11690.43</v>
      </c>
      <c r="H4002" s="3"/>
      <c r="I4002" s="14" t="s">
        <v>4689</v>
      </c>
    </row>
    <row r="4003" spans="1:9" ht="18.75" customHeight="1" x14ac:dyDescent="0.4">
      <c r="A4003" s="14" t="s">
        <v>3239</v>
      </c>
      <c r="B4003" s="16" t="str">
        <f>TRIM("　美章園公園")</f>
        <v>美章園公園</v>
      </c>
      <c r="C4003" s="14" t="s">
        <v>1510</v>
      </c>
      <c r="D4003" s="14" t="s">
        <v>1220</v>
      </c>
      <c r="E4003" s="1">
        <v>1488.03</v>
      </c>
      <c r="F4003" s="2"/>
      <c r="G4003" s="1"/>
      <c r="H4003" s="3"/>
      <c r="I4003" s="14" t="s">
        <v>2177</v>
      </c>
    </row>
    <row r="4004" spans="1:9" ht="18.75" customHeight="1" x14ac:dyDescent="0.4">
      <c r="A4004" s="14" t="s">
        <v>1715</v>
      </c>
      <c r="B4004" s="16" t="str">
        <f>TRIM("障がい福祉サービス事業所　アテナ平和")</f>
        <v>障がい福祉サービス事業所　アテナ平和</v>
      </c>
      <c r="C4004" s="14" t="s">
        <v>1510</v>
      </c>
      <c r="D4004" s="14" t="s">
        <v>348</v>
      </c>
      <c r="E4004" s="1">
        <v>1436.55</v>
      </c>
      <c r="F4004" s="2"/>
      <c r="G4004" s="1"/>
      <c r="H4004" s="3"/>
      <c r="I4004" s="14" t="s">
        <v>1654</v>
      </c>
    </row>
    <row r="4005" spans="1:9" ht="18.75" customHeight="1" x14ac:dyDescent="0.4">
      <c r="A4005" s="14" t="s">
        <v>4593</v>
      </c>
      <c r="B4005" s="16" t="str">
        <f>TRIM("阿倍野区役所")</f>
        <v>阿倍野区役所</v>
      </c>
      <c r="C4005" s="14" t="s">
        <v>1510</v>
      </c>
      <c r="D4005" s="14" t="s">
        <v>678</v>
      </c>
      <c r="E4005" s="1">
        <v>3305.78</v>
      </c>
      <c r="F4005" s="2"/>
      <c r="G4005" s="1">
        <v>5619.79</v>
      </c>
      <c r="H4005" s="3"/>
      <c r="I4005" s="14" t="s">
        <v>1986</v>
      </c>
    </row>
    <row r="4006" spans="1:9" ht="18.75" customHeight="1" x14ac:dyDescent="0.4">
      <c r="A4006" s="14" t="s">
        <v>4602</v>
      </c>
      <c r="B4006" s="16" t="str">
        <f>TRIM("阿倍野区保健福祉センター")</f>
        <v>阿倍野区保健福祉センター</v>
      </c>
      <c r="C4006" s="14" t="s">
        <v>1510</v>
      </c>
      <c r="D4006" s="14" t="s">
        <v>678</v>
      </c>
      <c r="E4006" s="1">
        <v>1652.89</v>
      </c>
      <c r="F4006" s="2"/>
      <c r="G4006" s="1">
        <v>962.43</v>
      </c>
      <c r="H4006" s="3"/>
      <c r="I4006" s="14" t="s">
        <v>1986</v>
      </c>
    </row>
    <row r="4007" spans="1:9" ht="18.75" customHeight="1" x14ac:dyDescent="0.4">
      <c r="A4007" s="14" t="s">
        <v>5184</v>
      </c>
      <c r="B4007" s="16" t="str">
        <f>TRIM("デザイン教育研究所")</f>
        <v>デザイン教育研究所</v>
      </c>
      <c r="C4007" s="14" t="s">
        <v>1510</v>
      </c>
      <c r="D4007" s="14" t="s">
        <v>678</v>
      </c>
      <c r="E4007" s="1">
        <v>1061.8699999999999</v>
      </c>
      <c r="F4007" s="2"/>
      <c r="G4007" s="1">
        <v>1487.74</v>
      </c>
      <c r="H4007" s="3"/>
      <c r="I4007" s="14" t="s">
        <v>4689</v>
      </c>
    </row>
    <row r="4008" spans="1:9" ht="18.75" customHeight="1" x14ac:dyDescent="0.4">
      <c r="A4008" s="14" t="s">
        <v>4797</v>
      </c>
      <c r="B4008" s="16" t="str">
        <f>TRIM("もと工芸高等学校")</f>
        <v>もと工芸高等学校</v>
      </c>
      <c r="C4008" s="14" t="s">
        <v>1510</v>
      </c>
      <c r="D4008" s="14" t="s">
        <v>678</v>
      </c>
      <c r="E4008" s="1">
        <v>293.81</v>
      </c>
      <c r="F4008" s="2"/>
      <c r="G4008" s="1"/>
      <c r="H4008" s="3"/>
      <c r="I4008" s="14" t="s">
        <v>4689</v>
      </c>
    </row>
    <row r="4009" spans="1:9" ht="18.75" customHeight="1" x14ac:dyDescent="0.4">
      <c r="A4009" s="14" t="s">
        <v>6058</v>
      </c>
      <c r="B4009" s="16" t="str">
        <f>TRIM("もと文の里詰所")</f>
        <v>もと文の里詰所</v>
      </c>
      <c r="C4009" s="14" t="s">
        <v>1510</v>
      </c>
      <c r="D4009" s="14" t="s">
        <v>678</v>
      </c>
      <c r="E4009" s="1">
        <v>33.22</v>
      </c>
      <c r="F4009" s="2"/>
      <c r="G4009" s="1"/>
      <c r="H4009" s="3"/>
      <c r="I4009" s="14" t="s">
        <v>5977</v>
      </c>
    </row>
    <row r="4010" spans="1:9" ht="18.75" customHeight="1" x14ac:dyDescent="0.4">
      <c r="A4010" s="14" t="s">
        <v>3263</v>
      </c>
      <c r="B4010" s="16" t="str">
        <f>TRIM("　文の里公園")</f>
        <v>文の里公園</v>
      </c>
      <c r="C4010" s="14" t="s">
        <v>1510</v>
      </c>
      <c r="D4010" s="14" t="s">
        <v>366</v>
      </c>
      <c r="E4010" s="1">
        <v>2482.64</v>
      </c>
      <c r="F4010" s="2"/>
      <c r="G4010" s="1"/>
      <c r="H4010" s="3"/>
      <c r="I4010" s="14" t="s">
        <v>2177</v>
      </c>
    </row>
    <row r="4011" spans="1:9" ht="18.75" customHeight="1" x14ac:dyDescent="0.4">
      <c r="A4011" s="14" t="s">
        <v>5722</v>
      </c>
      <c r="B4011" s="16" t="str">
        <f>TRIM("阿倍野保育園")</f>
        <v>阿倍野保育園</v>
      </c>
      <c r="C4011" s="14" t="s">
        <v>1510</v>
      </c>
      <c r="D4011" s="14" t="s">
        <v>366</v>
      </c>
      <c r="E4011" s="1">
        <v>810.23</v>
      </c>
      <c r="F4011" s="2"/>
      <c r="G4011" s="1"/>
      <c r="H4011" s="3"/>
      <c r="I4011" s="14" t="s">
        <v>5617</v>
      </c>
    </row>
    <row r="4012" spans="1:9" ht="31.5" x14ac:dyDescent="0.4">
      <c r="A4012" s="14" t="s">
        <v>2991</v>
      </c>
      <c r="B4012" s="16" t="str">
        <f>TRIM("　大阪泉北線関連緑地")</f>
        <v>大阪泉北線関連緑地</v>
      </c>
      <c r="C4012" s="14" t="s">
        <v>1510</v>
      </c>
      <c r="D4012" s="14" t="s">
        <v>1132</v>
      </c>
      <c r="E4012" s="1">
        <v>7460.62</v>
      </c>
      <c r="F4012" s="15" t="s">
        <v>7334</v>
      </c>
      <c r="G4012" s="1"/>
      <c r="H4012" s="3"/>
      <c r="I4012" s="14" t="s">
        <v>2177</v>
      </c>
    </row>
    <row r="4013" spans="1:9" ht="18.75" customHeight="1" x14ac:dyDescent="0.4">
      <c r="A4013" s="14" t="s">
        <v>3708</v>
      </c>
      <c r="B4013" s="16" t="str">
        <f>TRIM("天王寺大和川線（基金）")</f>
        <v>天王寺大和川線（基金）</v>
      </c>
      <c r="C4013" s="14" t="s">
        <v>1510</v>
      </c>
      <c r="D4013" s="14" t="s">
        <v>1132</v>
      </c>
      <c r="E4013" s="1">
        <v>96.77</v>
      </c>
      <c r="F4013" s="2"/>
      <c r="G4013" s="1"/>
      <c r="H4013" s="3"/>
      <c r="I4013" s="14" t="s">
        <v>2177</v>
      </c>
    </row>
    <row r="4014" spans="1:9" ht="18.75" customHeight="1" x14ac:dyDescent="0.4">
      <c r="A4014" s="14" t="s">
        <v>3907</v>
      </c>
      <c r="B4014" s="16" t="str">
        <f>TRIM("天王寺駅自転車駐車場管理ボックス")</f>
        <v>天王寺駅自転車駐車場管理ボックス</v>
      </c>
      <c r="C4014" s="14" t="s">
        <v>1510</v>
      </c>
      <c r="D4014" s="14" t="s">
        <v>1501</v>
      </c>
      <c r="E4014" s="1"/>
      <c r="F4014" s="2"/>
      <c r="G4014" s="1">
        <v>1.44</v>
      </c>
      <c r="H4014" s="3"/>
      <c r="I4014" s="14" t="s">
        <v>2177</v>
      </c>
    </row>
    <row r="4015" spans="1:9" ht="18.75" customHeight="1" x14ac:dyDescent="0.4">
      <c r="A4015" s="14" t="s">
        <v>3961</v>
      </c>
      <c r="B4015" s="16" t="str">
        <f>TRIM("天王寺駅自転車駐車場管理事務所")</f>
        <v>天王寺駅自転車駐車場管理事務所</v>
      </c>
      <c r="C4015" s="14" t="s">
        <v>1510</v>
      </c>
      <c r="D4015" s="14" t="s">
        <v>1501</v>
      </c>
      <c r="E4015" s="1"/>
      <c r="F4015" s="2"/>
      <c r="G4015" s="1">
        <v>12.86</v>
      </c>
      <c r="H4015" s="3"/>
      <c r="I4015" s="14" t="s">
        <v>2177</v>
      </c>
    </row>
    <row r="4016" spans="1:9" ht="18.75" customHeight="1" x14ac:dyDescent="0.4">
      <c r="A4016" s="14" t="s">
        <v>6420</v>
      </c>
      <c r="B4016" s="16" t="str">
        <f>TRIM("松崎第1住宅")</f>
        <v>松崎第1住宅</v>
      </c>
      <c r="C4016" s="14" t="s">
        <v>1510</v>
      </c>
      <c r="D4016" s="14" t="s">
        <v>760</v>
      </c>
      <c r="E4016" s="1">
        <v>7544.45</v>
      </c>
      <c r="F4016" s="2"/>
      <c r="G4016" s="1">
        <v>13920</v>
      </c>
      <c r="H4016" s="3"/>
      <c r="I4016" s="14" t="s">
        <v>6177</v>
      </c>
    </row>
    <row r="4017" spans="1:9" ht="18.75" customHeight="1" x14ac:dyDescent="0.4">
      <c r="A4017" s="14" t="s">
        <v>4871</v>
      </c>
      <c r="B4017" s="16" t="str">
        <f>TRIM("常盤小学校")</f>
        <v>常盤小学校</v>
      </c>
      <c r="C4017" s="14" t="s">
        <v>1510</v>
      </c>
      <c r="D4017" s="14" t="s">
        <v>505</v>
      </c>
      <c r="E4017" s="1">
        <v>9253.9500000000007</v>
      </c>
      <c r="F4017" s="2"/>
      <c r="G4017" s="1">
        <v>7859.21</v>
      </c>
      <c r="H4017" s="3"/>
      <c r="I4017" s="14" t="s">
        <v>4689</v>
      </c>
    </row>
    <row r="4018" spans="1:9" ht="18.75" customHeight="1" x14ac:dyDescent="0.4">
      <c r="A4018" s="14" t="s">
        <v>4872</v>
      </c>
      <c r="B4018" s="16" t="str">
        <f>TRIM("常盤小学校分校")</f>
        <v>常盤小学校分校</v>
      </c>
      <c r="C4018" s="14" t="s">
        <v>1510</v>
      </c>
      <c r="D4018" s="14" t="s">
        <v>505</v>
      </c>
      <c r="E4018" s="1">
        <v>1317.84</v>
      </c>
      <c r="F4018" s="2"/>
      <c r="G4018" s="1">
        <v>2257</v>
      </c>
      <c r="H4018" s="3"/>
      <c r="I4018" s="14" t="s">
        <v>4689</v>
      </c>
    </row>
    <row r="4019" spans="1:9" ht="18.75" customHeight="1" x14ac:dyDescent="0.4">
      <c r="A4019" s="14" t="s">
        <v>5792</v>
      </c>
      <c r="B4019" s="16" t="str">
        <f>TRIM("常盤幼稚園")</f>
        <v>常盤幼稚園</v>
      </c>
      <c r="C4019" s="14" t="s">
        <v>1510</v>
      </c>
      <c r="D4019" s="14" t="s">
        <v>505</v>
      </c>
      <c r="E4019" s="1">
        <v>2399.9899999999998</v>
      </c>
      <c r="F4019" s="2"/>
      <c r="G4019" s="1">
        <v>1288.74</v>
      </c>
      <c r="H4019" s="3"/>
      <c r="I4019" s="14" t="s">
        <v>5617</v>
      </c>
    </row>
    <row r="4020" spans="1:9" ht="18.75" customHeight="1" x14ac:dyDescent="0.4">
      <c r="A4020" s="14" t="s">
        <v>6421</v>
      </c>
      <c r="B4020" s="16" t="str">
        <f>TRIM("松崎第2住宅")</f>
        <v>松崎第2住宅</v>
      </c>
      <c r="C4020" s="14" t="s">
        <v>1510</v>
      </c>
      <c r="D4020" s="14" t="s">
        <v>505</v>
      </c>
      <c r="E4020" s="1">
        <v>6543.31</v>
      </c>
      <c r="F4020" s="2"/>
      <c r="G4020" s="1">
        <v>18871.61</v>
      </c>
      <c r="H4020" s="3"/>
      <c r="I4020" s="14" t="s">
        <v>6177</v>
      </c>
    </row>
    <row r="4021" spans="1:9" ht="18.75" customHeight="1" x14ac:dyDescent="0.4">
      <c r="A4021" s="14" t="s">
        <v>2807</v>
      </c>
      <c r="B4021" s="16" t="str">
        <f>TRIM("　松崎公園")</f>
        <v>松崎公園</v>
      </c>
      <c r="C4021" s="14" t="s">
        <v>1510</v>
      </c>
      <c r="D4021" s="14" t="s">
        <v>505</v>
      </c>
      <c r="E4021" s="1">
        <v>573.44000000000005</v>
      </c>
      <c r="F4021" s="2"/>
      <c r="G4021" s="1"/>
      <c r="H4021" s="3"/>
      <c r="I4021" s="14" t="s">
        <v>2177</v>
      </c>
    </row>
    <row r="4022" spans="1:9" ht="18.75" customHeight="1" x14ac:dyDescent="0.4">
      <c r="A4022" s="14" t="s">
        <v>2832</v>
      </c>
      <c r="B4022" s="16" t="str">
        <f>TRIM("　常盤公園")</f>
        <v>常盤公園</v>
      </c>
      <c r="C4022" s="14" t="s">
        <v>1510</v>
      </c>
      <c r="D4022" s="14" t="s">
        <v>505</v>
      </c>
      <c r="E4022" s="1">
        <v>2003.65</v>
      </c>
      <c r="F4022" s="2"/>
      <c r="G4022" s="1"/>
      <c r="H4022" s="3"/>
      <c r="I4022" s="14" t="s">
        <v>2177</v>
      </c>
    </row>
    <row r="4023" spans="1:9" ht="18.75" customHeight="1" x14ac:dyDescent="0.4">
      <c r="A4023" s="14" t="s">
        <v>5223</v>
      </c>
      <c r="B4023" s="16" t="str">
        <f>TRIM("阿倍野消防署")</f>
        <v>阿倍野消防署</v>
      </c>
      <c r="C4023" s="14" t="s">
        <v>1510</v>
      </c>
      <c r="D4023" s="14" t="s">
        <v>1357</v>
      </c>
      <c r="E4023" s="1">
        <v>3777.63</v>
      </c>
      <c r="F4023" s="2"/>
      <c r="G4023" s="1">
        <v>2234.29</v>
      </c>
      <c r="H4023" s="3"/>
      <c r="I4023" s="14" t="s">
        <v>5219</v>
      </c>
    </row>
    <row r="4024" spans="1:9" ht="18.75" customHeight="1" x14ac:dyDescent="0.4">
      <c r="A4024" s="14" t="s">
        <v>5225</v>
      </c>
      <c r="B4024" s="16" t="str">
        <f>TRIM("阿倍野災害待機宿舎")</f>
        <v>阿倍野災害待機宿舎</v>
      </c>
      <c r="C4024" s="14" t="s">
        <v>1510</v>
      </c>
      <c r="D4024" s="14" t="s">
        <v>1357</v>
      </c>
      <c r="E4024" s="1"/>
      <c r="F4024" s="2"/>
      <c r="G4024" s="1">
        <v>101.12</v>
      </c>
      <c r="H4024" s="3"/>
      <c r="I4024" s="14" t="s">
        <v>5219</v>
      </c>
    </row>
    <row r="4025" spans="1:9" ht="18.75" customHeight="1" x14ac:dyDescent="0.4">
      <c r="A4025" s="14" t="s">
        <v>4861</v>
      </c>
      <c r="B4025" s="16" t="str">
        <f>TRIM("松虫中学校")</f>
        <v>松虫中学校</v>
      </c>
      <c r="C4025" s="14" t="s">
        <v>1510</v>
      </c>
      <c r="D4025" s="14" t="s">
        <v>1109</v>
      </c>
      <c r="E4025" s="1">
        <v>11078.47</v>
      </c>
      <c r="F4025" s="2"/>
      <c r="G4025" s="1">
        <v>6544.6</v>
      </c>
      <c r="H4025" s="3"/>
      <c r="I4025" s="14" t="s">
        <v>4689</v>
      </c>
    </row>
    <row r="4026" spans="1:9" ht="18.75" customHeight="1" x14ac:dyDescent="0.4">
      <c r="A4026" s="14" t="s">
        <v>2910</v>
      </c>
      <c r="B4026" s="16" t="str">
        <f>TRIM("　聖天山公園")</f>
        <v>聖天山公園</v>
      </c>
      <c r="C4026" s="14" t="s">
        <v>1510</v>
      </c>
      <c r="D4026" s="14" t="s">
        <v>1109</v>
      </c>
      <c r="E4026" s="1">
        <v>16408.63</v>
      </c>
      <c r="F4026" s="2"/>
      <c r="G4026" s="1"/>
      <c r="H4026" s="3"/>
      <c r="I4026" s="14" t="s">
        <v>2177</v>
      </c>
    </row>
    <row r="4027" spans="1:9" ht="18.75" customHeight="1" x14ac:dyDescent="0.4">
      <c r="A4027" s="14" t="s">
        <v>3593</v>
      </c>
      <c r="B4027" s="16" t="str">
        <f>TRIM("　聖天山公園")</f>
        <v>聖天山公園</v>
      </c>
      <c r="C4027" s="14" t="s">
        <v>1510</v>
      </c>
      <c r="D4027" s="14" t="s">
        <v>1109</v>
      </c>
      <c r="E4027" s="1"/>
      <c r="F4027" s="2"/>
      <c r="G4027" s="1">
        <v>19.2</v>
      </c>
      <c r="H4027" s="3"/>
      <c r="I4027" s="14" t="s">
        <v>2177</v>
      </c>
    </row>
    <row r="4028" spans="1:9" ht="18.75" customHeight="1" x14ac:dyDescent="0.4">
      <c r="A4028" s="14" t="s">
        <v>6902</v>
      </c>
      <c r="B4028" s="16" t="str">
        <f>TRIM("まつむし広場（まちかど広場）")</f>
        <v>まつむし広場（まちかど広場）</v>
      </c>
      <c r="C4028" s="14" t="s">
        <v>1510</v>
      </c>
      <c r="D4028" s="14" t="s">
        <v>895</v>
      </c>
      <c r="E4028" s="1">
        <v>365.47</v>
      </c>
      <c r="F4028" s="2"/>
      <c r="G4028" s="1"/>
      <c r="H4028" s="3"/>
      <c r="I4028" s="14" t="s">
        <v>6177</v>
      </c>
    </row>
    <row r="4029" spans="1:9" ht="18.75" customHeight="1" x14ac:dyDescent="0.4">
      <c r="A4029" s="14" t="s">
        <v>4766</v>
      </c>
      <c r="B4029" s="16" t="str">
        <f>TRIM("丸山小学校")</f>
        <v>丸山小学校</v>
      </c>
      <c r="C4029" s="14" t="s">
        <v>1510</v>
      </c>
      <c r="D4029" s="14" t="s">
        <v>417</v>
      </c>
      <c r="E4029" s="1">
        <v>10449.86</v>
      </c>
      <c r="F4029" s="2"/>
      <c r="G4029" s="1">
        <v>4864.8500000000004</v>
      </c>
      <c r="H4029" s="3"/>
      <c r="I4029" s="14" t="s">
        <v>4689</v>
      </c>
    </row>
    <row r="4030" spans="1:9" ht="18.75" customHeight="1" x14ac:dyDescent="0.4">
      <c r="A4030" s="14" t="s">
        <v>1937</v>
      </c>
      <c r="B4030" s="16" t="str">
        <f>TRIM("特別養護老人ホームふれ愛丸山荘・松虫地域在宅サービスステーション")</f>
        <v>特別養護老人ホームふれ愛丸山荘・松虫地域在宅サービスステーション</v>
      </c>
      <c r="C4030" s="14" t="s">
        <v>1510</v>
      </c>
      <c r="D4030" s="14" t="s">
        <v>417</v>
      </c>
      <c r="E4030" s="1">
        <v>1968.2</v>
      </c>
      <c r="F4030" s="2"/>
      <c r="G4030" s="1"/>
      <c r="H4030" s="3"/>
      <c r="I4030" s="14" t="s">
        <v>1654</v>
      </c>
    </row>
    <row r="4031" spans="1:9" ht="18.75" customHeight="1" x14ac:dyDescent="0.4">
      <c r="A4031" s="14" t="s">
        <v>3162</v>
      </c>
      <c r="B4031" s="16" t="str">
        <f>TRIM("　桃ヶ池公園")</f>
        <v>桃ヶ池公園</v>
      </c>
      <c r="C4031" s="14" t="s">
        <v>1510</v>
      </c>
      <c r="D4031" s="14" t="s">
        <v>1197</v>
      </c>
      <c r="E4031" s="1">
        <v>71448.19</v>
      </c>
      <c r="F4031" s="2"/>
      <c r="G4031" s="1"/>
      <c r="H4031" s="3"/>
      <c r="I4031" s="14" t="s">
        <v>2177</v>
      </c>
    </row>
    <row r="4032" spans="1:9" ht="18.75" customHeight="1" x14ac:dyDescent="0.4">
      <c r="A4032" s="14" t="s">
        <v>3649</v>
      </c>
      <c r="B4032" s="16" t="str">
        <f>TRIM("　桃ヶ池公園")</f>
        <v>桃ヶ池公園</v>
      </c>
      <c r="C4032" s="14" t="s">
        <v>1510</v>
      </c>
      <c r="D4032" s="14" t="s">
        <v>1197</v>
      </c>
      <c r="E4032" s="1"/>
      <c r="F4032" s="2"/>
      <c r="G4032" s="1">
        <v>233.18</v>
      </c>
      <c r="H4032" s="3"/>
      <c r="I4032" s="14" t="s">
        <v>2177</v>
      </c>
    </row>
    <row r="4033" spans="1:9" ht="18.75" customHeight="1" x14ac:dyDescent="0.4">
      <c r="A4033" s="14" t="s">
        <v>5620</v>
      </c>
      <c r="B4033" s="16" t="str">
        <f>TRIM("もと阿倍野青年センター")</f>
        <v>もと阿倍野青年センター</v>
      </c>
      <c r="C4033" s="14" t="s">
        <v>1510</v>
      </c>
      <c r="D4033" s="14" t="s">
        <v>1197</v>
      </c>
      <c r="E4033" s="1"/>
      <c r="F4033" s="2"/>
      <c r="G4033" s="1">
        <v>591.94000000000005</v>
      </c>
      <c r="H4033" s="3" t="s">
        <v>7353</v>
      </c>
      <c r="I4033" s="14" t="s">
        <v>5617</v>
      </c>
    </row>
    <row r="4034" spans="1:9" ht="18.75" customHeight="1" x14ac:dyDescent="0.4">
      <c r="A4034" s="14" t="s">
        <v>4860</v>
      </c>
      <c r="B4034" s="16" t="str">
        <f>TRIM("昭和中学校")</f>
        <v>昭和中学校</v>
      </c>
      <c r="C4034" s="14" t="s">
        <v>1510</v>
      </c>
      <c r="D4034" s="14" t="s">
        <v>1401</v>
      </c>
      <c r="E4034" s="1">
        <v>8363.99</v>
      </c>
      <c r="F4034" s="2"/>
      <c r="G4034" s="1">
        <v>6453.51</v>
      </c>
      <c r="H4034" s="3"/>
      <c r="I4034" s="14" t="s">
        <v>4689</v>
      </c>
    </row>
    <row r="4035" spans="1:9" ht="18.75" customHeight="1" x14ac:dyDescent="0.4">
      <c r="A4035" s="14" t="s">
        <v>2559</v>
      </c>
      <c r="B4035" s="16" t="str">
        <f>TRIM("　安立北公園")</f>
        <v>安立北公園</v>
      </c>
      <c r="C4035" s="14" t="s">
        <v>1520</v>
      </c>
      <c r="D4035" s="14" t="s">
        <v>626</v>
      </c>
      <c r="E4035" s="1">
        <v>523.83000000000004</v>
      </c>
      <c r="F4035" s="2"/>
      <c r="G4035" s="1"/>
      <c r="H4035" s="3"/>
      <c r="I4035" s="14" t="s">
        <v>2177</v>
      </c>
    </row>
    <row r="4036" spans="1:9" ht="18.75" customHeight="1" x14ac:dyDescent="0.4">
      <c r="A4036" s="14" t="s">
        <v>6100</v>
      </c>
      <c r="B4036" s="16" t="str">
        <f>TRIM("安立霊園")</f>
        <v>安立霊園</v>
      </c>
      <c r="C4036" s="14" t="s">
        <v>1520</v>
      </c>
      <c r="D4036" s="14" t="s">
        <v>626</v>
      </c>
      <c r="E4036" s="1">
        <v>891.7</v>
      </c>
      <c r="F4036" s="2"/>
      <c r="G4036" s="1"/>
      <c r="H4036" s="3"/>
      <c r="I4036" s="14" t="s">
        <v>5977</v>
      </c>
    </row>
    <row r="4037" spans="1:9" ht="18.75" customHeight="1" x14ac:dyDescent="0.4">
      <c r="A4037" s="14" t="s">
        <v>3392</v>
      </c>
      <c r="B4037" s="16" t="str">
        <f>TRIM("　霰松原公園")</f>
        <v>霰松原公園</v>
      </c>
      <c r="C4037" s="14" t="s">
        <v>1520</v>
      </c>
      <c r="D4037" s="14" t="s">
        <v>257</v>
      </c>
      <c r="E4037" s="1">
        <v>741.12</v>
      </c>
      <c r="F4037" s="2"/>
      <c r="G4037" s="1"/>
      <c r="H4037" s="3"/>
      <c r="I4037" s="14" t="s">
        <v>2177</v>
      </c>
    </row>
    <row r="4038" spans="1:9" ht="18.75" customHeight="1" x14ac:dyDescent="0.4">
      <c r="A4038" s="14" t="s">
        <v>5536</v>
      </c>
      <c r="B4038" s="16" t="str">
        <f>TRIM("廃道（住之江）")</f>
        <v>廃道（住之江）</v>
      </c>
      <c r="C4038" s="14" t="s">
        <v>1520</v>
      </c>
      <c r="D4038" s="14" t="s">
        <v>257</v>
      </c>
      <c r="E4038" s="1">
        <v>69.03</v>
      </c>
      <c r="F4038" s="2"/>
      <c r="G4038" s="1"/>
      <c r="H4038" s="3"/>
      <c r="I4038" s="14" t="s">
        <v>5349</v>
      </c>
    </row>
    <row r="4039" spans="1:9" ht="18.75" customHeight="1" x14ac:dyDescent="0.4">
      <c r="A4039" s="14" t="s">
        <v>7044</v>
      </c>
      <c r="B4039" s="16" t="str">
        <f>TRIM("安立小売市場民営活性化事業施設")</f>
        <v>安立小売市場民営活性化事業施設</v>
      </c>
      <c r="C4039" s="14" t="s">
        <v>1520</v>
      </c>
      <c r="D4039" s="14" t="s">
        <v>30</v>
      </c>
      <c r="E4039" s="1">
        <v>1229.69</v>
      </c>
      <c r="F4039" s="2"/>
      <c r="G4039" s="1">
        <v>1328.52</v>
      </c>
      <c r="H4039" s="3"/>
      <c r="I4039" s="14" t="s">
        <v>4115</v>
      </c>
    </row>
    <row r="4040" spans="1:9" ht="18.75" customHeight="1" x14ac:dyDescent="0.4">
      <c r="A4040" s="14" t="s">
        <v>2558</v>
      </c>
      <c r="B4040" s="16" t="str">
        <f>TRIM("　安立南公園")</f>
        <v>安立南公園</v>
      </c>
      <c r="C4040" s="14" t="s">
        <v>1520</v>
      </c>
      <c r="D4040" s="14" t="s">
        <v>30</v>
      </c>
      <c r="E4040" s="1">
        <v>533.61</v>
      </c>
      <c r="F4040" s="2"/>
      <c r="G4040" s="1"/>
      <c r="H4040" s="3"/>
      <c r="I4040" s="14" t="s">
        <v>2177</v>
      </c>
    </row>
    <row r="4041" spans="1:9" ht="18.75" customHeight="1" x14ac:dyDescent="0.4">
      <c r="A4041" s="14" t="s">
        <v>2228</v>
      </c>
      <c r="B4041" s="16" t="str">
        <f>TRIM("住吉八尾線（住之江）（管財課）")</f>
        <v>住吉八尾線（住之江）（管財課）</v>
      </c>
      <c r="C4041" s="14" t="s">
        <v>1520</v>
      </c>
      <c r="D4041" s="14" t="s">
        <v>556</v>
      </c>
      <c r="E4041" s="1">
        <v>366.56</v>
      </c>
      <c r="F4041" s="2"/>
      <c r="G4041" s="1"/>
      <c r="H4041" s="3"/>
      <c r="I4041" s="14" t="s">
        <v>2177</v>
      </c>
    </row>
    <row r="4042" spans="1:9" ht="18.75" customHeight="1" x14ac:dyDescent="0.4">
      <c r="A4042" s="14" t="s">
        <v>5835</v>
      </c>
      <c r="B4042" s="16" t="str">
        <f>TRIM("安立保育園")</f>
        <v>安立保育園</v>
      </c>
      <c r="C4042" s="14" t="s">
        <v>1520</v>
      </c>
      <c r="D4042" s="14" t="s">
        <v>556</v>
      </c>
      <c r="E4042" s="1">
        <v>992.46</v>
      </c>
      <c r="F4042" s="2"/>
      <c r="G4042" s="1"/>
      <c r="H4042" s="3"/>
      <c r="I4042" s="14" t="s">
        <v>5617</v>
      </c>
    </row>
    <row r="4043" spans="1:9" ht="18.75" customHeight="1" x14ac:dyDescent="0.4">
      <c r="A4043" s="14" t="s">
        <v>4051</v>
      </c>
      <c r="B4043" s="16" t="str">
        <f>TRIM("住之江下水処理場")</f>
        <v>住之江下水処理場</v>
      </c>
      <c r="C4043" s="14" t="s">
        <v>1520</v>
      </c>
      <c r="D4043" s="14" t="s">
        <v>358</v>
      </c>
      <c r="E4043" s="1">
        <v>86844.97</v>
      </c>
      <c r="F4043" s="2"/>
      <c r="G4043" s="1">
        <v>25758.46</v>
      </c>
      <c r="H4043" s="3"/>
      <c r="I4043" s="14" t="s">
        <v>2177</v>
      </c>
    </row>
    <row r="4044" spans="1:9" ht="18.75" customHeight="1" x14ac:dyDescent="0.4">
      <c r="A4044" s="14" t="s">
        <v>6045</v>
      </c>
      <c r="B4044" s="16" t="str">
        <f>TRIM("西南環境事業センター")</f>
        <v>西南環境事業センター</v>
      </c>
      <c r="C4044" s="14" t="s">
        <v>1520</v>
      </c>
      <c r="D4044" s="14" t="s">
        <v>358</v>
      </c>
      <c r="E4044" s="1">
        <v>15521.57</v>
      </c>
      <c r="F4044" s="2"/>
      <c r="G4044" s="1">
        <v>5662.95</v>
      </c>
      <c r="H4044" s="3"/>
      <c r="I4044" s="14" t="s">
        <v>5977</v>
      </c>
    </row>
    <row r="4045" spans="1:9" ht="18.75" customHeight="1" x14ac:dyDescent="0.4">
      <c r="A4045" s="14" t="s">
        <v>1739</v>
      </c>
      <c r="B4045" s="16" t="str">
        <f>TRIM("大阪市職業指導センター")</f>
        <v>大阪市職業指導センター</v>
      </c>
      <c r="C4045" s="14" t="s">
        <v>1520</v>
      </c>
      <c r="D4045" s="14" t="s">
        <v>358</v>
      </c>
      <c r="E4045" s="1">
        <v>3681.39</v>
      </c>
      <c r="F4045" s="2"/>
      <c r="G4045" s="1"/>
      <c r="H4045" s="3"/>
      <c r="I4045" s="14" t="s">
        <v>1654</v>
      </c>
    </row>
    <row r="4046" spans="1:9" ht="18.75" customHeight="1" x14ac:dyDescent="0.4">
      <c r="A4046" s="14" t="s">
        <v>2490</v>
      </c>
      <c r="B4046" s="16" t="str">
        <f>TRIM("堤塘（住之江）")</f>
        <v>堤塘（住之江）</v>
      </c>
      <c r="C4046" s="14" t="s">
        <v>1520</v>
      </c>
      <c r="D4046" s="14" t="s">
        <v>358</v>
      </c>
      <c r="E4046" s="1">
        <v>39.659999999999997</v>
      </c>
      <c r="F4046" s="2"/>
      <c r="G4046" s="1"/>
      <c r="H4046" s="3"/>
      <c r="I4046" s="14" t="s">
        <v>2177</v>
      </c>
    </row>
    <row r="4047" spans="1:9" ht="18.75" customHeight="1" x14ac:dyDescent="0.4">
      <c r="A4047" s="14" t="s">
        <v>2494</v>
      </c>
      <c r="B4047" s="16" t="str">
        <f>TRIM("防潮堤（住之江）")</f>
        <v>防潮堤（住之江）</v>
      </c>
      <c r="C4047" s="14" t="s">
        <v>1520</v>
      </c>
      <c r="D4047" s="14" t="s">
        <v>358</v>
      </c>
      <c r="E4047" s="1">
        <v>17510.32</v>
      </c>
      <c r="F4047" s="2"/>
      <c r="G4047" s="1"/>
      <c r="H4047" s="3"/>
      <c r="I4047" s="14" t="s">
        <v>2177</v>
      </c>
    </row>
    <row r="4048" spans="1:9" ht="18.75" customHeight="1" x14ac:dyDescent="0.4">
      <c r="A4048" s="18"/>
      <c r="B4048" s="14" t="s">
        <v>7178</v>
      </c>
      <c r="C4048" s="14" t="s">
        <v>1520</v>
      </c>
      <c r="D4048" s="1" t="s">
        <v>358</v>
      </c>
      <c r="E4048" s="2"/>
      <c r="F4048" s="11"/>
      <c r="G4048" s="1">
        <v>569.33000000000004</v>
      </c>
      <c r="H4048" s="1"/>
      <c r="I4048" s="1" t="s">
        <v>2177</v>
      </c>
    </row>
    <row r="4049" spans="1:9" ht="18.75" customHeight="1" x14ac:dyDescent="0.4">
      <c r="A4049" s="18"/>
      <c r="B4049" s="14" t="s">
        <v>7179</v>
      </c>
      <c r="C4049" s="14" t="s">
        <v>1520</v>
      </c>
      <c r="D4049" s="1" t="s">
        <v>358</v>
      </c>
      <c r="E4049" s="2"/>
      <c r="F4049" s="11"/>
      <c r="G4049" s="1">
        <v>660.27</v>
      </c>
      <c r="H4049" s="1"/>
      <c r="I4049" s="1" t="s">
        <v>2177</v>
      </c>
    </row>
    <row r="4050" spans="1:9" ht="18.75" customHeight="1" x14ac:dyDescent="0.4">
      <c r="A4050" s="14" t="s">
        <v>4053</v>
      </c>
      <c r="B4050" s="16" t="str">
        <f>TRIM("住之江抽水所")</f>
        <v>住之江抽水所</v>
      </c>
      <c r="C4050" s="14" t="s">
        <v>1520</v>
      </c>
      <c r="D4050" s="14" t="s">
        <v>185</v>
      </c>
      <c r="E4050" s="1">
        <v>22599.9</v>
      </c>
      <c r="F4050" s="2"/>
      <c r="G4050" s="1">
        <v>22190.57</v>
      </c>
      <c r="H4050" s="3"/>
      <c r="I4050" s="14" t="s">
        <v>2177</v>
      </c>
    </row>
    <row r="4051" spans="1:9" ht="18.75" customHeight="1" x14ac:dyDescent="0.4">
      <c r="A4051" s="14" t="s">
        <v>3495</v>
      </c>
      <c r="B4051" s="16" t="str">
        <f>TRIM("平林泉公園")</f>
        <v>平林泉公園</v>
      </c>
      <c r="C4051" s="14" t="s">
        <v>1520</v>
      </c>
      <c r="D4051" s="14" t="s">
        <v>185</v>
      </c>
      <c r="E4051" s="1">
        <v>5789.12</v>
      </c>
      <c r="F4051" s="2"/>
      <c r="G4051" s="1"/>
      <c r="H4051" s="3"/>
      <c r="I4051" s="14" t="s">
        <v>2177</v>
      </c>
    </row>
    <row r="4052" spans="1:9" ht="18.75" customHeight="1" x14ac:dyDescent="0.4">
      <c r="A4052" s="14" t="s">
        <v>3698</v>
      </c>
      <c r="B4052" s="16" t="str">
        <f>TRIM("平林泉公園")</f>
        <v>平林泉公園</v>
      </c>
      <c r="C4052" s="14" t="s">
        <v>1520</v>
      </c>
      <c r="D4052" s="14" t="s">
        <v>185</v>
      </c>
      <c r="E4052" s="1"/>
      <c r="F4052" s="2"/>
      <c r="G4052" s="1">
        <v>19.2</v>
      </c>
      <c r="H4052" s="3"/>
      <c r="I4052" s="14" t="s">
        <v>2177</v>
      </c>
    </row>
    <row r="4053" spans="1:9" ht="18.75" customHeight="1" x14ac:dyDescent="0.4">
      <c r="A4053" s="14" t="s">
        <v>4227</v>
      </c>
      <c r="B4053" s="16" t="str">
        <f>TRIM("物揚場（住之江・一般）")</f>
        <v>物揚場（住之江・一般）</v>
      </c>
      <c r="C4053" s="14" t="s">
        <v>1520</v>
      </c>
      <c r="D4053" s="14" t="s">
        <v>185</v>
      </c>
      <c r="E4053" s="1">
        <v>23294.55</v>
      </c>
      <c r="F4053" s="2"/>
      <c r="G4053" s="1"/>
      <c r="H4053" s="3"/>
      <c r="I4053" s="14" t="s">
        <v>4117</v>
      </c>
    </row>
    <row r="4054" spans="1:9" ht="18.75" customHeight="1" x14ac:dyDescent="0.4">
      <c r="A4054" s="14" t="s">
        <v>5433</v>
      </c>
      <c r="B4054" s="16" t="str">
        <f>TRIM("もと平野処理区公共事業用地")</f>
        <v>もと平野処理区公共事業用地</v>
      </c>
      <c r="C4054" s="14" t="s">
        <v>1520</v>
      </c>
      <c r="D4054" s="14" t="s">
        <v>185</v>
      </c>
      <c r="E4054" s="1">
        <v>173.48</v>
      </c>
      <c r="F4054" s="2"/>
      <c r="G4054" s="1"/>
      <c r="H4054" s="3"/>
      <c r="I4054" s="14" t="s">
        <v>5349</v>
      </c>
    </row>
    <row r="4055" spans="1:9" ht="18.75" customHeight="1" x14ac:dyDescent="0.4">
      <c r="A4055" s="14" t="s">
        <v>5440</v>
      </c>
      <c r="B4055" s="16" t="str">
        <f>TRIM("もと北島塵芥処分地")</f>
        <v>もと北島塵芥処分地</v>
      </c>
      <c r="C4055" s="14" t="s">
        <v>1520</v>
      </c>
      <c r="D4055" s="14" t="s">
        <v>185</v>
      </c>
      <c r="E4055" s="1">
        <v>2447.35</v>
      </c>
      <c r="F4055" s="2"/>
      <c r="G4055" s="1"/>
      <c r="H4055" s="3"/>
      <c r="I4055" s="14" t="s">
        <v>5349</v>
      </c>
    </row>
    <row r="4056" spans="1:9" ht="18.75" customHeight="1" x14ac:dyDescent="0.4">
      <c r="A4056" s="14" t="s">
        <v>6651</v>
      </c>
      <c r="B4056" s="16" t="str">
        <f>TRIM("北加賀屋住宅")</f>
        <v>北加賀屋住宅</v>
      </c>
      <c r="C4056" s="14" t="s">
        <v>1520</v>
      </c>
      <c r="D4056" s="14" t="s">
        <v>369</v>
      </c>
      <c r="E4056" s="1">
        <v>961.26</v>
      </c>
      <c r="F4056" s="2">
        <v>530</v>
      </c>
      <c r="G4056" s="1">
        <v>1743.34</v>
      </c>
      <c r="H4056" s="3"/>
      <c r="I4056" s="14" t="s">
        <v>6177</v>
      </c>
    </row>
    <row r="4057" spans="1:9" ht="18.75" customHeight="1" x14ac:dyDescent="0.4">
      <c r="A4057" s="14" t="s">
        <v>1854</v>
      </c>
      <c r="B4057" s="16" t="str">
        <f>TRIM("加賀屋地域在宅サービスステーション")</f>
        <v>加賀屋地域在宅サービスステーション</v>
      </c>
      <c r="C4057" s="14" t="s">
        <v>1520</v>
      </c>
      <c r="D4057" s="14" t="s">
        <v>369</v>
      </c>
      <c r="E4057" s="1">
        <v>373.1</v>
      </c>
      <c r="F4057" s="2"/>
      <c r="G4057" s="1">
        <v>147.03</v>
      </c>
      <c r="H4057" s="3"/>
      <c r="I4057" s="14" t="s">
        <v>1654</v>
      </c>
    </row>
    <row r="4058" spans="1:9" ht="18.75" customHeight="1" x14ac:dyDescent="0.4">
      <c r="A4058" s="14" t="s">
        <v>3292</v>
      </c>
      <c r="B4058" s="16" t="str">
        <f>TRIM("　北加賀屋東公園")</f>
        <v>北加賀屋東公園</v>
      </c>
      <c r="C4058" s="14" t="s">
        <v>1520</v>
      </c>
      <c r="D4058" s="14" t="s">
        <v>369</v>
      </c>
      <c r="E4058" s="1">
        <v>536.79999999999995</v>
      </c>
      <c r="F4058" s="2"/>
      <c r="G4058" s="1"/>
      <c r="H4058" s="3"/>
      <c r="I4058" s="14" t="s">
        <v>2177</v>
      </c>
    </row>
    <row r="4059" spans="1:9" ht="18.75" customHeight="1" x14ac:dyDescent="0.4">
      <c r="A4059" s="14" t="s">
        <v>4742</v>
      </c>
      <c r="B4059" s="16" t="str">
        <f>TRIM("加賀屋小学校")</f>
        <v>加賀屋小学校</v>
      </c>
      <c r="C4059" s="14" t="s">
        <v>1520</v>
      </c>
      <c r="D4059" s="14" t="s">
        <v>1385</v>
      </c>
      <c r="E4059" s="1">
        <v>12085.66</v>
      </c>
      <c r="F4059" s="2"/>
      <c r="G4059" s="1">
        <v>8071.04</v>
      </c>
      <c r="H4059" s="3"/>
      <c r="I4059" s="14" t="s">
        <v>4689</v>
      </c>
    </row>
    <row r="4060" spans="1:9" ht="18.75" customHeight="1" x14ac:dyDescent="0.4">
      <c r="A4060" s="14" t="s">
        <v>6070</v>
      </c>
      <c r="B4060" s="16" t="str">
        <f>TRIM("住之江工場")</f>
        <v>住之江工場</v>
      </c>
      <c r="C4060" s="14" t="s">
        <v>1520</v>
      </c>
      <c r="D4060" s="14" t="s">
        <v>684</v>
      </c>
      <c r="E4060" s="1">
        <v>32164.65</v>
      </c>
      <c r="F4060" s="2"/>
      <c r="G4060" s="1"/>
      <c r="H4060" s="3"/>
      <c r="I4060" s="14" t="s">
        <v>5977</v>
      </c>
    </row>
    <row r="4061" spans="1:9" ht="18.75" customHeight="1" x14ac:dyDescent="0.4">
      <c r="A4061" s="14" t="s">
        <v>6090</v>
      </c>
      <c r="B4061" s="16" t="str">
        <f>TRIM("住之江工場（局管理分）")</f>
        <v>住之江工場（局管理分）</v>
      </c>
      <c r="C4061" s="14" t="s">
        <v>1520</v>
      </c>
      <c r="D4061" s="14" t="s">
        <v>684</v>
      </c>
      <c r="E4061" s="1">
        <v>548</v>
      </c>
      <c r="F4061" s="2"/>
      <c r="G4061" s="1"/>
      <c r="H4061" s="3"/>
      <c r="I4061" s="14" t="s">
        <v>5977</v>
      </c>
    </row>
    <row r="4062" spans="1:9" ht="18.75" customHeight="1" x14ac:dyDescent="0.4">
      <c r="A4062" s="14" t="s">
        <v>6652</v>
      </c>
      <c r="B4062" s="16" t="str">
        <f>TRIM("北加賀屋第5住宅")</f>
        <v>北加賀屋第5住宅</v>
      </c>
      <c r="C4062" s="14" t="s">
        <v>1520</v>
      </c>
      <c r="D4062" s="14" t="s">
        <v>835</v>
      </c>
      <c r="E4062" s="1">
        <v>7871.59</v>
      </c>
      <c r="F4062" s="2"/>
      <c r="G4062" s="1">
        <v>9125.8700000000008</v>
      </c>
      <c r="H4062" s="3"/>
      <c r="I4062" s="14" t="s">
        <v>6177</v>
      </c>
    </row>
    <row r="4063" spans="1:9" ht="18.75" customHeight="1" x14ac:dyDescent="0.4">
      <c r="A4063" s="14" t="s">
        <v>1993</v>
      </c>
      <c r="B4063" s="16" t="str">
        <f>TRIM("加賀屋北会館老人憩の家")</f>
        <v>加賀屋北会館老人憩の家</v>
      </c>
      <c r="C4063" s="14" t="s">
        <v>1520</v>
      </c>
      <c r="D4063" s="14" t="s">
        <v>835</v>
      </c>
      <c r="E4063" s="1">
        <v>180.99</v>
      </c>
      <c r="F4063" s="2"/>
      <c r="G4063" s="1"/>
      <c r="H4063" s="3"/>
      <c r="I4063" s="14" t="s">
        <v>1994</v>
      </c>
    </row>
    <row r="4064" spans="1:9" ht="18.75" customHeight="1" x14ac:dyDescent="0.4">
      <c r="A4064" s="14" t="s">
        <v>1995</v>
      </c>
      <c r="B4064" s="16" t="str">
        <f>TRIM("加賀屋北老人憩の家")</f>
        <v>加賀屋北老人憩の家</v>
      </c>
      <c r="C4064" s="14" t="s">
        <v>1520</v>
      </c>
      <c r="D4064" s="14" t="s">
        <v>835</v>
      </c>
      <c r="E4064" s="1"/>
      <c r="F4064" s="2"/>
      <c r="G4064" s="1">
        <v>104.77</v>
      </c>
      <c r="H4064" s="3"/>
      <c r="I4064" s="14" t="s">
        <v>1994</v>
      </c>
    </row>
    <row r="4065" spans="1:9" ht="18.75" customHeight="1" x14ac:dyDescent="0.4">
      <c r="A4065" s="14" t="s">
        <v>3291</v>
      </c>
      <c r="B4065" s="16" t="str">
        <f>TRIM("　北加賀屋公園")</f>
        <v>北加賀屋公園</v>
      </c>
      <c r="C4065" s="14" t="s">
        <v>1520</v>
      </c>
      <c r="D4065" s="14" t="s">
        <v>835</v>
      </c>
      <c r="E4065" s="1">
        <v>20449.580000000002</v>
      </c>
      <c r="F4065" s="2"/>
      <c r="G4065" s="1"/>
      <c r="H4065" s="3"/>
      <c r="I4065" s="14" t="s">
        <v>2177</v>
      </c>
    </row>
    <row r="4066" spans="1:9" ht="18.75" customHeight="1" x14ac:dyDescent="0.4">
      <c r="A4066" s="14" t="s">
        <v>3674</v>
      </c>
      <c r="B4066" s="16" t="str">
        <f>TRIM("　北加賀屋公園")</f>
        <v>北加賀屋公園</v>
      </c>
      <c r="C4066" s="14" t="s">
        <v>1520</v>
      </c>
      <c r="D4066" s="14" t="s">
        <v>835</v>
      </c>
      <c r="E4066" s="1"/>
      <c r="F4066" s="2"/>
      <c r="G4066" s="1">
        <v>350.33</v>
      </c>
      <c r="H4066" s="3"/>
      <c r="I4066" s="14" t="s">
        <v>2177</v>
      </c>
    </row>
    <row r="4067" spans="1:9" ht="18.75" customHeight="1" x14ac:dyDescent="0.4">
      <c r="A4067" s="14" t="s">
        <v>4605</v>
      </c>
      <c r="B4067" s="16" t="str">
        <f>TRIM("加賀屋北会館")</f>
        <v>加賀屋北会館</v>
      </c>
      <c r="C4067" s="14" t="s">
        <v>1520</v>
      </c>
      <c r="D4067" s="14" t="s">
        <v>835</v>
      </c>
      <c r="E4067" s="1"/>
      <c r="F4067" s="2"/>
      <c r="G4067" s="1">
        <v>83.94</v>
      </c>
      <c r="H4067" s="3"/>
      <c r="I4067" s="14" t="s">
        <v>1994</v>
      </c>
    </row>
    <row r="4068" spans="1:9" ht="18.75" customHeight="1" x14ac:dyDescent="0.4">
      <c r="A4068" s="14" t="s">
        <v>6078</v>
      </c>
      <c r="B4068" s="16" t="str">
        <f>TRIM("住之江屋内プール")</f>
        <v>住之江屋内プール</v>
      </c>
      <c r="C4068" s="14" t="s">
        <v>1520</v>
      </c>
      <c r="D4068" s="14" t="s">
        <v>835</v>
      </c>
      <c r="E4068" s="1"/>
      <c r="F4068" s="2"/>
      <c r="G4068" s="1">
        <v>1549</v>
      </c>
      <c r="H4068" s="3"/>
      <c r="I4068" s="14" t="s">
        <v>5977</v>
      </c>
    </row>
    <row r="4069" spans="1:9" ht="18.75" customHeight="1" x14ac:dyDescent="0.4">
      <c r="A4069" s="14" t="s">
        <v>6079</v>
      </c>
      <c r="B4069" s="16" t="str">
        <f>TRIM("住之江総合会館さざんか会館")</f>
        <v>住之江総合会館さざんか会館</v>
      </c>
      <c r="C4069" s="14" t="s">
        <v>1520</v>
      </c>
      <c r="D4069" s="14" t="s">
        <v>835</v>
      </c>
      <c r="E4069" s="1"/>
      <c r="F4069" s="2"/>
      <c r="G4069" s="1">
        <v>1109.2</v>
      </c>
      <c r="H4069" s="3"/>
      <c r="I4069" s="14" t="s">
        <v>5977</v>
      </c>
    </row>
    <row r="4070" spans="1:9" ht="18.75" customHeight="1" x14ac:dyDescent="0.4">
      <c r="A4070" s="14" t="s">
        <v>7104</v>
      </c>
      <c r="B4070" s="16" t="str">
        <f>TRIM("住之江スポーツセンター（住之江総合会館）")</f>
        <v>住之江スポーツセンター（住之江総合会館）</v>
      </c>
      <c r="C4070" s="14" t="s">
        <v>1520</v>
      </c>
      <c r="D4070" s="14" t="s">
        <v>835</v>
      </c>
      <c r="E4070" s="1"/>
      <c r="F4070" s="2"/>
      <c r="G4070" s="1">
        <v>1755.8</v>
      </c>
      <c r="H4070" s="3"/>
      <c r="I4070" s="14" t="s">
        <v>4115</v>
      </c>
    </row>
    <row r="4071" spans="1:9" ht="18.75" customHeight="1" x14ac:dyDescent="0.4">
      <c r="A4071" s="14" t="s">
        <v>6493</v>
      </c>
      <c r="B4071" s="16" t="str">
        <f>TRIM("大和川住宅")</f>
        <v>大和川住宅</v>
      </c>
      <c r="C4071" s="14" t="s">
        <v>1520</v>
      </c>
      <c r="D4071" s="14" t="s">
        <v>785</v>
      </c>
      <c r="E4071" s="1">
        <v>62146.77</v>
      </c>
      <c r="F4071" s="2"/>
      <c r="G4071" s="1">
        <v>46653.03</v>
      </c>
      <c r="H4071" s="3"/>
      <c r="I4071" s="14" t="s">
        <v>6177</v>
      </c>
    </row>
    <row r="4072" spans="1:9" ht="18.75" customHeight="1" x14ac:dyDescent="0.4">
      <c r="A4072" s="14" t="s">
        <v>4608</v>
      </c>
      <c r="B4072" s="16" t="str">
        <f>TRIM("敷津浦顕彰碑")</f>
        <v>敷津浦顕彰碑</v>
      </c>
      <c r="C4072" s="14" t="s">
        <v>1520</v>
      </c>
      <c r="D4072" s="14" t="s">
        <v>785</v>
      </c>
      <c r="E4072" s="1">
        <v>10.86</v>
      </c>
      <c r="F4072" s="2"/>
      <c r="G4072" s="1"/>
      <c r="H4072" s="3"/>
      <c r="I4072" s="14" t="s">
        <v>1994</v>
      </c>
    </row>
    <row r="4073" spans="1:9" ht="18.75" customHeight="1" x14ac:dyDescent="0.4">
      <c r="A4073" s="14" t="s">
        <v>5075</v>
      </c>
      <c r="B4073" s="16" t="str">
        <f>TRIM("敷津浦小学校代替地")</f>
        <v>敷津浦小学校代替地</v>
      </c>
      <c r="C4073" s="14" t="s">
        <v>1520</v>
      </c>
      <c r="D4073" s="14" t="s">
        <v>785</v>
      </c>
      <c r="E4073" s="1">
        <v>40.33</v>
      </c>
      <c r="F4073" s="2"/>
      <c r="G4073" s="1"/>
      <c r="H4073" s="3"/>
      <c r="I4073" s="14" t="s">
        <v>4689</v>
      </c>
    </row>
    <row r="4074" spans="1:9" ht="18.75" customHeight="1" x14ac:dyDescent="0.4">
      <c r="A4074" s="14" t="s">
        <v>5074</v>
      </c>
      <c r="B4074" s="16" t="str">
        <f>TRIM("敷津浦小学校")</f>
        <v>敷津浦小学校</v>
      </c>
      <c r="C4074" s="14" t="s">
        <v>1520</v>
      </c>
      <c r="D4074" s="14" t="s">
        <v>1432</v>
      </c>
      <c r="E4074" s="1">
        <v>14977.1</v>
      </c>
      <c r="F4074" s="2"/>
      <c r="G4074" s="1">
        <v>11335.34</v>
      </c>
      <c r="H4074" s="3"/>
      <c r="I4074" s="14" t="s">
        <v>4689</v>
      </c>
    </row>
    <row r="4075" spans="1:9" ht="18.75" customHeight="1" x14ac:dyDescent="0.4">
      <c r="A4075" s="14" t="s">
        <v>2129</v>
      </c>
      <c r="B4075" s="16" t="str">
        <f>TRIM("敷津浦北老人憩の家")</f>
        <v>敷津浦北老人憩の家</v>
      </c>
      <c r="C4075" s="14" t="s">
        <v>1520</v>
      </c>
      <c r="D4075" s="14" t="s">
        <v>1432</v>
      </c>
      <c r="E4075" s="1">
        <v>151.08000000000001</v>
      </c>
      <c r="F4075" s="2"/>
      <c r="G4075" s="1"/>
      <c r="H4075" s="3"/>
      <c r="I4075" s="14" t="s">
        <v>1994</v>
      </c>
    </row>
    <row r="4076" spans="1:9" ht="18.75" customHeight="1" x14ac:dyDescent="0.4">
      <c r="A4076" s="14" t="s">
        <v>2149</v>
      </c>
      <c r="B4076" s="16" t="str">
        <f>TRIM("北島会館老人憩の家")</f>
        <v>北島会館老人憩の家</v>
      </c>
      <c r="C4076" s="14" t="s">
        <v>1520</v>
      </c>
      <c r="D4076" s="14" t="s">
        <v>1245</v>
      </c>
      <c r="E4076" s="1">
        <v>296.89</v>
      </c>
      <c r="F4076" s="2"/>
      <c r="G4076" s="1">
        <v>123.45</v>
      </c>
      <c r="H4076" s="3"/>
      <c r="I4076" s="14" t="s">
        <v>1994</v>
      </c>
    </row>
    <row r="4077" spans="1:9" ht="18.75" customHeight="1" x14ac:dyDescent="0.4">
      <c r="A4077" s="14" t="s">
        <v>3316</v>
      </c>
      <c r="B4077" s="16" t="str">
        <f>TRIM("　北島公園")</f>
        <v>北島公園</v>
      </c>
      <c r="C4077" s="14" t="s">
        <v>1520</v>
      </c>
      <c r="D4077" s="14" t="s">
        <v>1245</v>
      </c>
      <c r="E4077" s="1">
        <v>1070.1600000000001</v>
      </c>
      <c r="F4077" s="2"/>
      <c r="G4077" s="1"/>
      <c r="H4077" s="3"/>
      <c r="I4077" s="14" t="s">
        <v>2177</v>
      </c>
    </row>
    <row r="4078" spans="1:9" ht="18.75" customHeight="1" x14ac:dyDescent="0.4">
      <c r="A4078" s="14" t="s">
        <v>4610</v>
      </c>
      <c r="B4078" s="16" t="str">
        <f>TRIM("北島会館")</f>
        <v>北島会館</v>
      </c>
      <c r="C4078" s="14" t="s">
        <v>1520</v>
      </c>
      <c r="D4078" s="14" t="s">
        <v>1245</v>
      </c>
      <c r="E4078" s="1"/>
      <c r="F4078" s="2"/>
      <c r="G4078" s="1">
        <v>133</v>
      </c>
      <c r="H4078" s="3"/>
      <c r="I4078" s="14" t="s">
        <v>1994</v>
      </c>
    </row>
    <row r="4079" spans="1:9" ht="18.75" customHeight="1" x14ac:dyDescent="0.4">
      <c r="A4079" s="14" t="s">
        <v>5108</v>
      </c>
      <c r="B4079" s="16" t="str">
        <f>TRIM("北粉浜小学校")</f>
        <v>北粉浜小学校</v>
      </c>
      <c r="C4079" s="14" t="s">
        <v>1520</v>
      </c>
      <c r="D4079" s="14" t="s">
        <v>520</v>
      </c>
      <c r="E4079" s="1">
        <v>10462.73</v>
      </c>
      <c r="F4079" s="2"/>
      <c r="G4079" s="1">
        <v>4560.74</v>
      </c>
      <c r="H4079" s="3"/>
      <c r="I4079" s="14" t="s">
        <v>4689</v>
      </c>
    </row>
    <row r="4080" spans="1:9" ht="18.75" customHeight="1" x14ac:dyDescent="0.4">
      <c r="A4080" s="14" t="s">
        <v>5817</v>
      </c>
      <c r="B4080" s="16" t="str">
        <f>TRIM("粉浜幼稚園")</f>
        <v>粉浜幼稚園</v>
      </c>
      <c r="C4080" s="14" t="s">
        <v>1520</v>
      </c>
      <c r="D4080" s="14" t="s">
        <v>520</v>
      </c>
      <c r="E4080" s="1">
        <v>1356.5</v>
      </c>
      <c r="F4080" s="2"/>
      <c r="G4080" s="1">
        <v>969.83</v>
      </c>
      <c r="H4080" s="3"/>
      <c r="I4080" s="14" t="s">
        <v>5617</v>
      </c>
    </row>
    <row r="4081" spans="1:9" ht="18.75" customHeight="1" x14ac:dyDescent="0.4">
      <c r="A4081" s="14" t="s">
        <v>5831</v>
      </c>
      <c r="B4081" s="16" t="str">
        <f>TRIM("もと粉浜幼稚園（倉庫）")</f>
        <v>もと粉浜幼稚園（倉庫）</v>
      </c>
      <c r="C4081" s="14" t="s">
        <v>1520</v>
      </c>
      <c r="D4081" s="14" t="s">
        <v>520</v>
      </c>
      <c r="E4081" s="1">
        <v>59.67</v>
      </c>
      <c r="F4081" s="2"/>
      <c r="G4081" s="1">
        <v>57.41</v>
      </c>
      <c r="H4081" s="3"/>
      <c r="I4081" s="14" t="s">
        <v>5617</v>
      </c>
    </row>
    <row r="4082" spans="1:9" ht="18.75" customHeight="1" x14ac:dyDescent="0.4">
      <c r="A4082" s="14" t="s">
        <v>3259</v>
      </c>
      <c r="B4082" s="16" t="str">
        <f>TRIM("　粉浜中公園")</f>
        <v>粉浜中公園</v>
      </c>
      <c r="C4082" s="14" t="s">
        <v>1520</v>
      </c>
      <c r="D4082" s="14" t="s">
        <v>520</v>
      </c>
      <c r="E4082" s="1">
        <v>439.24</v>
      </c>
      <c r="F4082" s="2"/>
      <c r="G4082" s="1"/>
      <c r="H4082" s="3"/>
      <c r="I4082" s="14" t="s">
        <v>2177</v>
      </c>
    </row>
    <row r="4083" spans="1:9" ht="18.75" customHeight="1" x14ac:dyDescent="0.4">
      <c r="A4083" s="14" t="s">
        <v>3260</v>
      </c>
      <c r="B4083" s="16" t="str">
        <f>TRIM("　粉浜東公園")</f>
        <v>粉浜東公園</v>
      </c>
      <c r="C4083" s="14" t="s">
        <v>1520</v>
      </c>
      <c r="D4083" s="14" t="s">
        <v>520</v>
      </c>
      <c r="E4083" s="1">
        <v>1085.18</v>
      </c>
      <c r="F4083" s="2"/>
      <c r="G4083" s="1"/>
      <c r="H4083" s="3"/>
      <c r="I4083" s="14" t="s">
        <v>2177</v>
      </c>
    </row>
    <row r="4084" spans="1:9" ht="18.75" customHeight="1" x14ac:dyDescent="0.4">
      <c r="A4084" s="14" t="s">
        <v>6007</v>
      </c>
      <c r="B4084" s="16" t="str">
        <f>TRIM("大気汚染常時監視測定局（北粉浜小学校）")</f>
        <v>大気汚染常時監視測定局（北粉浜小学校）</v>
      </c>
      <c r="C4084" s="14" t="s">
        <v>1520</v>
      </c>
      <c r="D4084" s="14" t="s">
        <v>520</v>
      </c>
      <c r="E4084" s="1"/>
      <c r="F4084" s="2"/>
      <c r="G4084" s="1">
        <v>23.5</v>
      </c>
      <c r="H4084" s="3"/>
      <c r="I4084" s="14" t="s">
        <v>5977</v>
      </c>
    </row>
    <row r="4085" spans="1:9" ht="18.75" customHeight="1" x14ac:dyDescent="0.4">
      <c r="A4085" s="14" t="s">
        <v>5079</v>
      </c>
      <c r="B4085" s="16" t="str">
        <f>TRIM("粉浜小学校")</f>
        <v>粉浜小学校</v>
      </c>
      <c r="C4085" s="14" t="s">
        <v>1520</v>
      </c>
      <c r="D4085" s="14" t="s">
        <v>1433</v>
      </c>
      <c r="E4085" s="1">
        <v>7418.17</v>
      </c>
      <c r="F4085" s="2"/>
      <c r="G4085" s="1">
        <v>5499.29</v>
      </c>
      <c r="H4085" s="3"/>
      <c r="I4085" s="14" t="s">
        <v>4689</v>
      </c>
    </row>
    <row r="4086" spans="1:9" ht="18.75" customHeight="1" x14ac:dyDescent="0.4">
      <c r="A4086" s="14" t="s">
        <v>3261</v>
      </c>
      <c r="B4086" s="16" t="str">
        <f>TRIM("　粉浜南公園")</f>
        <v>粉浜南公園</v>
      </c>
      <c r="C4086" s="14" t="s">
        <v>1520</v>
      </c>
      <c r="D4086" s="14" t="s">
        <v>1228</v>
      </c>
      <c r="E4086" s="1">
        <v>346.31</v>
      </c>
      <c r="F4086" s="2"/>
      <c r="G4086" s="1"/>
      <c r="H4086" s="3"/>
      <c r="I4086" s="14" t="s">
        <v>2177</v>
      </c>
    </row>
    <row r="4087" spans="1:9" ht="18.75" customHeight="1" x14ac:dyDescent="0.4">
      <c r="A4087" s="14" t="s">
        <v>4846</v>
      </c>
      <c r="B4087" s="16" t="str">
        <f>TRIM("住吉第一中学校")</f>
        <v>住吉第一中学校</v>
      </c>
      <c r="C4087" s="14" t="s">
        <v>1520</v>
      </c>
      <c r="D4087" s="14" t="s">
        <v>1229</v>
      </c>
      <c r="E4087" s="1">
        <v>15649.87</v>
      </c>
      <c r="F4087" s="2"/>
      <c r="G4087" s="1">
        <v>6847.83</v>
      </c>
      <c r="H4087" s="3"/>
      <c r="I4087" s="14" t="s">
        <v>4689</v>
      </c>
    </row>
    <row r="4088" spans="1:9" ht="18.75" customHeight="1" x14ac:dyDescent="0.4">
      <c r="A4088" s="14" t="s">
        <v>3262</v>
      </c>
      <c r="B4088" s="16" t="str">
        <f>TRIM("　粉浜北公園")</f>
        <v>粉浜北公園</v>
      </c>
      <c r="C4088" s="14" t="s">
        <v>1520</v>
      </c>
      <c r="D4088" s="14" t="s">
        <v>1229</v>
      </c>
      <c r="E4088" s="1">
        <v>707.05</v>
      </c>
      <c r="F4088" s="2"/>
      <c r="G4088" s="1"/>
      <c r="H4088" s="3"/>
      <c r="I4088" s="14" t="s">
        <v>2177</v>
      </c>
    </row>
    <row r="4089" spans="1:9" ht="18.75" customHeight="1" x14ac:dyDescent="0.4">
      <c r="A4089" s="14" t="s">
        <v>3800</v>
      </c>
      <c r="B4089" s="16" t="str">
        <f>TRIM("玉出駅自転車駐車場管理ボックス")</f>
        <v>玉出駅自転車駐車場管理ボックス</v>
      </c>
      <c r="C4089" s="14" t="s">
        <v>1520</v>
      </c>
      <c r="D4089" s="14" t="s">
        <v>1229</v>
      </c>
      <c r="E4089" s="1"/>
      <c r="F4089" s="2"/>
      <c r="G4089" s="1">
        <v>1.44</v>
      </c>
      <c r="H4089" s="3"/>
      <c r="I4089" s="14" t="s">
        <v>2177</v>
      </c>
    </row>
    <row r="4090" spans="1:9" ht="18.75" customHeight="1" x14ac:dyDescent="0.4">
      <c r="A4090" s="14" t="s">
        <v>4006</v>
      </c>
      <c r="B4090" s="16" t="str">
        <f>TRIM("旧粉浜抽水所")</f>
        <v>旧粉浜抽水所</v>
      </c>
      <c r="C4090" s="14" t="s">
        <v>1520</v>
      </c>
      <c r="D4090" s="14" t="s">
        <v>1229</v>
      </c>
      <c r="E4090" s="1">
        <v>339.92</v>
      </c>
      <c r="F4090" s="2"/>
      <c r="G4090" s="1"/>
      <c r="H4090" s="3"/>
      <c r="I4090" s="14" t="s">
        <v>2177</v>
      </c>
    </row>
    <row r="4091" spans="1:9" ht="18.75" customHeight="1" x14ac:dyDescent="0.4">
      <c r="A4091" s="14" t="s">
        <v>3258</v>
      </c>
      <c r="B4091" s="16" t="str">
        <f>TRIM("　粉浜公園")</f>
        <v>粉浜公園</v>
      </c>
      <c r="C4091" s="14" t="s">
        <v>1520</v>
      </c>
      <c r="D4091" s="14" t="s">
        <v>1227</v>
      </c>
      <c r="E4091" s="1">
        <v>1522.58</v>
      </c>
      <c r="F4091" s="2"/>
      <c r="G4091" s="1"/>
      <c r="H4091" s="3"/>
      <c r="I4091" s="14" t="s">
        <v>2177</v>
      </c>
    </row>
    <row r="4092" spans="1:9" ht="18.75" customHeight="1" x14ac:dyDescent="0.4">
      <c r="A4092" s="14" t="s">
        <v>3977</v>
      </c>
      <c r="B4092" s="16" t="str">
        <f>TRIM("もと新木津川大橋自転車保管所管理事務所")</f>
        <v>もと新木津川大橋自転車保管所管理事務所</v>
      </c>
      <c r="C4092" s="14" t="s">
        <v>1520</v>
      </c>
      <c r="D4092" s="14" t="s">
        <v>223</v>
      </c>
      <c r="E4092" s="1"/>
      <c r="F4092" s="2"/>
      <c r="G4092" s="1">
        <v>3.87</v>
      </c>
      <c r="H4092" s="3"/>
      <c r="I4092" s="14" t="s">
        <v>2177</v>
      </c>
    </row>
    <row r="4093" spans="1:9" ht="18.75" customHeight="1" x14ac:dyDescent="0.4">
      <c r="A4093" s="14" t="s">
        <v>3978</v>
      </c>
      <c r="B4093" s="16" t="str">
        <f>TRIM("もと新木津川大橋自転車保管所トイレ")</f>
        <v>もと新木津川大橋自転車保管所トイレ</v>
      </c>
      <c r="C4093" s="14" t="s">
        <v>1520</v>
      </c>
      <c r="D4093" s="14" t="s">
        <v>223</v>
      </c>
      <c r="E4093" s="1"/>
      <c r="F4093" s="2"/>
      <c r="G4093" s="1">
        <v>1.91</v>
      </c>
      <c r="H4093" s="3"/>
      <c r="I4093" s="14" t="s">
        <v>2177</v>
      </c>
    </row>
    <row r="4094" spans="1:9" ht="18.75" customHeight="1" x14ac:dyDescent="0.4">
      <c r="A4094" s="14" t="s">
        <v>4169</v>
      </c>
      <c r="B4094" s="16" t="str">
        <f>TRIM("新木津川大橋管理用道路")</f>
        <v>新木津川大橋管理用道路</v>
      </c>
      <c r="C4094" s="14" t="s">
        <v>1520</v>
      </c>
      <c r="D4094" s="14" t="s">
        <v>223</v>
      </c>
      <c r="E4094" s="1">
        <v>451.62</v>
      </c>
      <c r="F4094" s="2"/>
      <c r="G4094" s="1"/>
      <c r="H4094" s="3"/>
      <c r="I4094" s="14" t="s">
        <v>4117</v>
      </c>
    </row>
    <row r="4095" spans="1:9" ht="18.75" customHeight="1" x14ac:dyDescent="0.4">
      <c r="A4095" s="14" t="s">
        <v>5488</v>
      </c>
      <c r="B4095" s="16" t="str">
        <f>TRIM("柴谷運河埋立地（コミュニティ用地等）")</f>
        <v>柴谷運河埋立地（コミュニティ用地等）</v>
      </c>
      <c r="C4095" s="14" t="s">
        <v>1520</v>
      </c>
      <c r="D4095" s="14" t="s">
        <v>223</v>
      </c>
      <c r="E4095" s="1">
        <v>123.71</v>
      </c>
      <c r="F4095" s="2"/>
      <c r="G4095" s="1"/>
      <c r="H4095" s="3"/>
      <c r="I4095" s="14" t="s">
        <v>5349</v>
      </c>
    </row>
    <row r="4096" spans="1:9" ht="18.75" customHeight="1" x14ac:dyDescent="0.4">
      <c r="A4096" s="14" t="s">
        <v>6050</v>
      </c>
      <c r="B4096" s="16" t="str">
        <f>TRIM("柴谷塵芥処分地")</f>
        <v>柴谷塵芥処分地</v>
      </c>
      <c r="C4096" s="14" t="s">
        <v>1520</v>
      </c>
      <c r="D4096" s="14" t="s">
        <v>150</v>
      </c>
      <c r="E4096" s="1">
        <v>1347.77</v>
      </c>
      <c r="F4096" s="2">
        <v>532</v>
      </c>
      <c r="G4096" s="1"/>
      <c r="H4096" s="3"/>
      <c r="I4096" s="14" t="s">
        <v>5977</v>
      </c>
    </row>
    <row r="4097" spans="1:9" ht="18.75" customHeight="1" x14ac:dyDescent="0.4">
      <c r="A4097" s="14" t="s">
        <v>5390</v>
      </c>
      <c r="B4097" s="16" t="str">
        <f>TRIM("もと柴谷塵芥処分地")</f>
        <v>もと柴谷塵芥処分地</v>
      </c>
      <c r="C4097" s="14" t="s">
        <v>1520</v>
      </c>
      <c r="D4097" s="14" t="s">
        <v>150</v>
      </c>
      <c r="E4097" s="1">
        <v>39803.35</v>
      </c>
      <c r="F4097" s="2">
        <v>533</v>
      </c>
      <c r="G4097" s="1"/>
      <c r="H4097" s="3"/>
      <c r="I4097" s="14" t="s">
        <v>5349</v>
      </c>
    </row>
    <row r="4098" spans="1:9" ht="18.75" customHeight="1" x14ac:dyDescent="0.4">
      <c r="A4098" s="14" t="s">
        <v>5598</v>
      </c>
      <c r="B4098" s="16" t="str">
        <f>TRIM("住吉川西バス転回地")</f>
        <v>住吉川西バス転回地</v>
      </c>
      <c r="C4098" s="14" t="s">
        <v>1520</v>
      </c>
      <c r="D4098" s="14" t="s">
        <v>150</v>
      </c>
      <c r="E4098" s="1">
        <v>900</v>
      </c>
      <c r="F4098" s="2">
        <v>1817</v>
      </c>
      <c r="G4098" s="1"/>
      <c r="H4098" s="3"/>
      <c r="I4098" s="14" t="s">
        <v>5349</v>
      </c>
    </row>
    <row r="4099" spans="1:9" ht="18.75" customHeight="1" x14ac:dyDescent="0.4">
      <c r="A4099" s="14" t="s">
        <v>6049</v>
      </c>
      <c r="B4099" s="16" t="str">
        <f>TRIM("環境局関連事務所（住之江区柴谷）")</f>
        <v>環境局関連事務所（住之江区柴谷）</v>
      </c>
      <c r="C4099" s="14" t="s">
        <v>1520</v>
      </c>
      <c r="D4099" s="14" t="s">
        <v>150</v>
      </c>
      <c r="E4099" s="1">
        <v>1534.85</v>
      </c>
      <c r="F4099" s="2"/>
      <c r="G4099" s="1">
        <v>145.77000000000001</v>
      </c>
      <c r="H4099" s="3"/>
      <c r="I4099" s="14" t="s">
        <v>5977</v>
      </c>
    </row>
    <row r="4100" spans="1:9" ht="18.75" customHeight="1" x14ac:dyDescent="0.4">
      <c r="A4100" s="14" t="s">
        <v>6727</v>
      </c>
      <c r="B4100" s="16" t="str">
        <f>TRIM("柴谷住宅")</f>
        <v>柴谷住宅</v>
      </c>
      <c r="C4100" s="14" t="s">
        <v>1520</v>
      </c>
      <c r="D4100" s="14" t="s">
        <v>150</v>
      </c>
      <c r="E4100" s="1">
        <v>30302.63</v>
      </c>
      <c r="F4100" s="2"/>
      <c r="G4100" s="1">
        <v>33276.89</v>
      </c>
      <c r="H4100" s="3"/>
      <c r="I4100" s="14" t="s">
        <v>6177</v>
      </c>
    </row>
    <row r="4101" spans="1:9" ht="18.75" customHeight="1" x14ac:dyDescent="0.4">
      <c r="A4101" s="14" t="s">
        <v>6993</v>
      </c>
      <c r="B4101" s="16" t="str">
        <f>TRIM("動物管理センター")</f>
        <v>動物管理センター</v>
      </c>
      <c r="C4101" s="14" t="s">
        <v>1520</v>
      </c>
      <c r="D4101" s="14" t="s">
        <v>150</v>
      </c>
      <c r="E4101" s="1">
        <v>3931.19</v>
      </c>
      <c r="F4101" s="2"/>
      <c r="G4101" s="1">
        <v>1035.82</v>
      </c>
      <c r="H4101" s="3"/>
      <c r="I4101" s="14" t="s">
        <v>2402</v>
      </c>
    </row>
    <row r="4102" spans="1:9" ht="18.75" customHeight="1" x14ac:dyDescent="0.4">
      <c r="A4102" s="14" t="s">
        <v>2774</v>
      </c>
      <c r="B4102" s="16" t="str">
        <f>TRIM("　柴谷公園")</f>
        <v>柴谷公園</v>
      </c>
      <c r="C4102" s="14" t="s">
        <v>1520</v>
      </c>
      <c r="D4102" s="14" t="s">
        <v>150</v>
      </c>
      <c r="E4102" s="1">
        <v>26085.94</v>
      </c>
      <c r="F4102" s="2"/>
      <c r="G4102" s="1"/>
      <c r="H4102" s="3"/>
      <c r="I4102" s="14" t="s">
        <v>2177</v>
      </c>
    </row>
    <row r="4103" spans="1:9" ht="18.75" customHeight="1" x14ac:dyDescent="0.4">
      <c r="A4103" s="14" t="s">
        <v>3571</v>
      </c>
      <c r="B4103" s="16" t="str">
        <f>TRIM("　柴谷公園")</f>
        <v>柴谷公園</v>
      </c>
      <c r="C4103" s="14" t="s">
        <v>1520</v>
      </c>
      <c r="D4103" s="14" t="s">
        <v>150</v>
      </c>
      <c r="E4103" s="1"/>
      <c r="F4103" s="2"/>
      <c r="G4103" s="1">
        <v>18</v>
      </c>
      <c r="H4103" s="3"/>
      <c r="I4103" s="14" t="s">
        <v>2177</v>
      </c>
    </row>
    <row r="4104" spans="1:9" ht="18.75" customHeight="1" x14ac:dyDescent="0.4">
      <c r="A4104" s="14" t="s">
        <v>4015</v>
      </c>
      <c r="B4104" s="16" t="str">
        <f>TRIM("下水道用地（住之江）")</f>
        <v>下水道用地（住之江）</v>
      </c>
      <c r="C4104" s="14" t="s">
        <v>1520</v>
      </c>
      <c r="D4104" s="14" t="s">
        <v>150</v>
      </c>
      <c r="E4104" s="1">
        <v>5559.81</v>
      </c>
      <c r="F4104" s="2"/>
      <c r="G4104" s="1"/>
      <c r="H4104" s="3"/>
      <c r="I4104" s="14" t="s">
        <v>2177</v>
      </c>
    </row>
    <row r="4105" spans="1:9" ht="18.75" customHeight="1" x14ac:dyDescent="0.4">
      <c r="A4105" s="14" t="s">
        <v>3828</v>
      </c>
      <c r="B4105" s="16" t="str">
        <f>TRIM("住之江公園駅自転車駐車場")</f>
        <v>住之江公園駅自転車駐車場</v>
      </c>
      <c r="C4105" s="14" t="s">
        <v>1520</v>
      </c>
      <c r="D4105" s="14" t="s">
        <v>1488</v>
      </c>
      <c r="E4105" s="1"/>
      <c r="F4105" s="2"/>
      <c r="G4105" s="1">
        <v>1508.08</v>
      </c>
      <c r="H4105" s="3"/>
      <c r="I4105" s="14" t="s">
        <v>2177</v>
      </c>
    </row>
    <row r="4106" spans="1:9" ht="18.75" customHeight="1" x14ac:dyDescent="0.4">
      <c r="A4106" s="14" t="s">
        <v>3829</v>
      </c>
      <c r="B4106" s="16" t="str">
        <f>TRIM("住之江公園駅自転車駐車場南管理ボックス")</f>
        <v>住之江公園駅自転車駐車場南管理ボックス</v>
      </c>
      <c r="C4106" s="14" t="s">
        <v>1520</v>
      </c>
      <c r="D4106" s="14" t="s">
        <v>1488</v>
      </c>
      <c r="E4106" s="1"/>
      <c r="F4106" s="2"/>
      <c r="G4106" s="1">
        <v>1.44</v>
      </c>
      <c r="H4106" s="3"/>
      <c r="I4106" s="14" t="s">
        <v>2177</v>
      </c>
    </row>
    <row r="4107" spans="1:9" ht="18.75" customHeight="1" x14ac:dyDescent="0.4">
      <c r="A4107" s="14" t="s">
        <v>2863</v>
      </c>
      <c r="B4107" s="16" t="str">
        <f>TRIM("　新北島南公園")</f>
        <v>新北島南公園</v>
      </c>
      <c r="C4107" s="14" t="s">
        <v>1520</v>
      </c>
      <c r="D4107" s="14" t="s">
        <v>663</v>
      </c>
      <c r="E4107" s="1">
        <v>6979.17</v>
      </c>
      <c r="F4107" s="2"/>
      <c r="G4107" s="1"/>
      <c r="H4107" s="3"/>
      <c r="I4107" s="14" t="s">
        <v>2177</v>
      </c>
    </row>
    <row r="4108" spans="1:9" ht="18.75" customHeight="1" x14ac:dyDescent="0.4">
      <c r="A4108" s="14" t="s">
        <v>6154</v>
      </c>
      <c r="B4108" s="16" t="str">
        <f>TRIM("南加賀屋霊園")</f>
        <v>南加賀屋霊園</v>
      </c>
      <c r="C4108" s="14" t="s">
        <v>1520</v>
      </c>
      <c r="D4108" s="14" t="s">
        <v>663</v>
      </c>
      <c r="E4108" s="1">
        <v>1465.74</v>
      </c>
      <c r="F4108" s="2"/>
      <c r="G4108" s="1"/>
      <c r="H4108" s="3"/>
      <c r="I4108" s="14" t="s">
        <v>5977</v>
      </c>
    </row>
    <row r="4109" spans="1:9" ht="18.75" customHeight="1" x14ac:dyDescent="0.4">
      <c r="A4109" s="14" t="s">
        <v>2861</v>
      </c>
      <c r="B4109" s="16" t="str">
        <f>TRIM("　新北島中公園")</f>
        <v>新北島中公園</v>
      </c>
      <c r="C4109" s="14" t="s">
        <v>1520</v>
      </c>
      <c r="D4109" s="14" t="s">
        <v>1097</v>
      </c>
      <c r="E4109" s="1">
        <v>1888</v>
      </c>
      <c r="F4109" s="2"/>
      <c r="G4109" s="1"/>
      <c r="H4109" s="3"/>
      <c r="I4109" s="14" t="s">
        <v>2177</v>
      </c>
    </row>
    <row r="4110" spans="1:9" ht="18.75" customHeight="1" x14ac:dyDescent="0.4">
      <c r="A4110" s="14" t="s">
        <v>2862</v>
      </c>
      <c r="B4110" s="16" t="str">
        <f>TRIM("　新北島東公園")</f>
        <v>新北島東公園</v>
      </c>
      <c r="C4110" s="14" t="s">
        <v>1520</v>
      </c>
      <c r="D4110" s="14" t="s">
        <v>1097</v>
      </c>
      <c r="E4110" s="1">
        <v>7470</v>
      </c>
      <c r="F4110" s="2"/>
      <c r="G4110" s="1"/>
      <c r="H4110" s="3"/>
      <c r="I4110" s="14" t="s">
        <v>2177</v>
      </c>
    </row>
    <row r="4111" spans="1:9" ht="18.75" customHeight="1" x14ac:dyDescent="0.4">
      <c r="A4111" s="14" t="s">
        <v>3583</v>
      </c>
      <c r="B4111" s="16" t="str">
        <f>TRIM("　新北島東公園")</f>
        <v>新北島東公園</v>
      </c>
      <c r="C4111" s="14" t="s">
        <v>1520</v>
      </c>
      <c r="D4111" s="14" t="s">
        <v>1097</v>
      </c>
      <c r="E4111" s="1"/>
      <c r="F4111" s="2"/>
      <c r="G4111" s="1">
        <v>18</v>
      </c>
      <c r="H4111" s="3"/>
      <c r="I4111" s="14" t="s">
        <v>2177</v>
      </c>
    </row>
    <row r="4112" spans="1:9" ht="18.75" customHeight="1" x14ac:dyDescent="0.4">
      <c r="A4112" s="14" t="s">
        <v>6431</v>
      </c>
      <c r="B4112" s="16" t="str">
        <f>TRIM("新北島住宅")</f>
        <v>新北島住宅</v>
      </c>
      <c r="C4112" s="14" t="s">
        <v>1520</v>
      </c>
      <c r="D4112" s="14" t="s">
        <v>763</v>
      </c>
      <c r="E4112" s="1">
        <v>33513.43</v>
      </c>
      <c r="F4112" s="2"/>
      <c r="G4112" s="1">
        <v>60795.62</v>
      </c>
      <c r="H4112" s="3"/>
      <c r="I4112" s="14" t="s">
        <v>6177</v>
      </c>
    </row>
    <row r="4113" spans="1:9" ht="18.75" customHeight="1" x14ac:dyDescent="0.4">
      <c r="A4113" s="14" t="s">
        <v>5871</v>
      </c>
      <c r="B4113" s="16" t="str">
        <f>TRIM("新北島保育所")</f>
        <v>新北島保育所</v>
      </c>
      <c r="C4113" s="14" t="s">
        <v>1520</v>
      </c>
      <c r="D4113" s="14" t="s">
        <v>763</v>
      </c>
      <c r="E4113" s="1"/>
      <c r="F4113" s="2"/>
      <c r="G4113" s="1">
        <v>462.56</v>
      </c>
      <c r="H4113" s="3"/>
      <c r="I4113" s="14" t="s">
        <v>5617</v>
      </c>
    </row>
    <row r="4114" spans="1:9" ht="18.75" customHeight="1" x14ac:dyDescent="0.4">
      <c r="A4114" s="14" t="s">
        <v>2859</v>
      </c>
      <c r="B4114" s="16" t="str">
        <f>TRIM("　新北島会館南公園")</f>
        <v>新北島会館南公園</v>
      </c>
      <c r="C4114" s="14" t="s">
        <v>1520</v>
      </c>
      <c r="D4114" s="14" t="s">
        <v>1095</v>
      </c>
      <c r="E4114" s="1">
        <v>861</v>
      </c>
      <c r="F4114" s="2"/>
      <c r="G4114" s="1"/>
      <c r="H4114" s="3"/>
      <c r="I4114" s="14" t="s">
        <v>2177</v>
      </c>
    </row>
    <row r="4115" spans="1:9" ht="18.75" customHeight="1" x14ac:dyDescent="0.4">
      <c r="A4115" s="14" t="s">
        <v>4882</v>
      </c>
      <c r="B4115" s="16" t="str">
        <f>TRIM("新北島会館")</f>
        <v>新北島会館</v>
      </c>
      <c r="C4115" s="14" t="s">
        <v>1520</v>
      </c>
      <c r="D4115" s="14" t="s">
        <v>1095</v>
      </c>
      <c r="E4115" s="1">
        <v>545.84</v>
      </c>
      <c r="F4115" s="2"/>
      <c r="G4115" s="1"/>
      <c r="H4115" s="3"/>
      <c r="I4115" s="14" t="s">
        <v>4689</v>
      </c>
    </row>
    <row r="4116" spans="1:9" ht="18.75" customHeight="1" x14ac:dyDescent="0.4">
      <c r="A4116" s="14" t="s">
        <v>4883</v>
      </c>
      <c r="B4116" s="16" t="str">
        <f>TRIM("新北島小学校")</f>
        <v>新北島小学校</v>
      </c>
      <c r="C4116" s="14" t="s">
        <v>1520</v>
      </c>
      <c r="D4116" s="14" t="s">
        <v>1403</v>
      </c>
      <c r="E4116" s="1">
        <v>11896.32</v>
      </c>
      <c r="F4116" s="2"/>
      <c r="G4116" s="1">
        <v>8341.81</v>
      </c>
      <c r="H4116" s="3"/>
      <c r="I4116" s="14" t="s">
        <v>4689</v>
      </c>
    </row>
    <row r="4117" spans="1:9" ht="18.75" customHeight="1" x14ac:dyDescent="0.4">
      <c r="A4117" s="14" t="s">
        <v>2860</v>
      </c>
      <c r="B4117" s="16" t="str">
        <f>TRIM("　新北島西公園")</f>
        <v>新北島西公園</v>
      </c>
      <c r="C4117" s="14" t="s">
        <v>1520</v>
      </c>
      <c r="D4117" s="14" t="s">
        <v>1096</v>
      </c>
      <c r="E4117" s="1">
        <v>11998</v>
      </c>
      <c r="F4117" s="2"/>
      <c r="G4117" s="1"/>
      <c r="H4117" s="3"/>
      <c r="I4117" s="14" t="s">
        <v>2177</v>
      </c>
    </row>
    <row r="4118" spans="1:9" ht="18.75" customHeight="1" x14ac:dyDescent="0.4">
      <c r="A4118" s="14" t="s">
        <v>4884</v>
      </c>
      <c r="B4118" s="16" t="str">
        <f>TRIM("新北島中学校")</f>
        <v>新北島中学校</v>
      </c>
      <c r="C4118" s="14" t="s">
        <v>1520</v>
      </c>
      <c r="D4118" s="14" t="s">
        <v>764</v>
      </c>
      <c r="E4118" s="1">
        <v>15933.39</v>
      </c>
      <c r="F4118" s="2"/>
      <c r="G4118" s="1">
        <v>10620.97</v>
      </c>
      <c r="H4118" s="3"/>
      <c r="I4118" s="14" t="s">
        <v>4689</v>
      </c>
    </row>
    <row r="4119" spans="1:9" ht="18.75" customHeight="1" x14ac:dyDescent="0.4">
      <c r="A4119" s="14" t="s">
        <v>6432</v>
      </c>
      <c r="B4119" s="16" t="str">
        <f>TRIM("新北島第2住宅")</f>
        <v>新北島第2住宅</v>
      </c>
      <c r="C4119" s="14" t="s">
        <v>1520</v>
      </c>
      <c r="D4119" s="14" t="s">
        <v>764</v>
      </c>
      <c r="E4119" s="1">
        <v>3751.39</v>
      </c>
      <c r="F4119" s="2"/>
      <c r="G4119" s="1">
        <v>4967.67</v>
      </c>
      <c r="H4119" s="3"/>
      <c r="I4119" s="14" t="s">
        <v>6177</v>
      </c>
    </row>
    <row r="4120" spans="1:9" ht="18.75" customHeight="1" x14ac:dyDescent="0.4">
      <c r="A4120" s="14" t="s">
        <v>3464</v>
      </c>
      <c r="B4120" s="16" t="str">
        <f>TRIM("大和川北公園")</f>
        <v>大和川北公園</v>
      </c>
      <c r="C4120" s="14" t="s">
        <v>1520</v>
      </c>
      <c r="D4120" s="14" t="s">
        <v>764</v>
      </c>
      <c r="E4120" s="1">
        <v>687</v>
      </c>
      <c r="F4120" s="2"/>
      <c r="G4120" s="1"/>
      <c r="H4120" s="3"/>
      <c r="I4120" s="14" t="s">
        <v>2177</v>
      </c>
    </row>
    <row r="4121" spans="1:9" ht="18.75" customHeight="1" x14ac:dyDescent="0.4">
      <c r="A4121" s="14" t="s">
        <v>4712</v>
      </c>
      <c r="B4121" s="16" t="str">
        <f>TRIM("安立小学校")</f>
        <v>安立小学校</v>
      </c>
      <c r="C4121" s="14" t="s">
        <v>1520</v>
      </c>
      <c r="D4121" s="14" t="s">
        <v>1381</v>
      </c>
      <c r="E4121" s="1">
        <v>14487.09</v>
      </c>
      <c r="F4121" s="2"/>
      <c r="G4121" s="1">
        <v>7230.79</v>
      </c>
      <c r="H4121" s="3"/>
      <c r="I4121" s="14" t="s">
        <v>4689</v>
      </c>
    </row>
    <row r="4122" spans="1:9" ht="18.75" customHeight="1" x14ac:dyDescent="0.4">
      <c r="A4122" s="14" t="s">
        <v>6125</v>
      </c>
      <c r="B4122" s="16" t="str">
        <f>TRIM("住之江霊園")</f>
        <v>住之江霊園</v>
      </c>
      <c r="C4122" s="14" t="s">
        <v>1520</v>
      </c>
      <c r="D4122" s="14" t="s">
        <v>641</v>
      </c>
      <c r="E4122" s="1">
        <v>607.96</v>
      </c>
      <c r="F4122" s="2"/>
      <c r="G4122" s="1"/>
      <c r="H4122" s="3"/>
      <c r="I4122" s="14" t="s">
        <v>5977</v>
      </c>
    </row>
    <row r="4123" spans="1:9" ht="18.75" customHeight="1" x14ac:dyDescent="0.4">
      <c r="A4123" s="14" t="s">
        <v>6728</v>
      </c>
      <c r="B4123" s="16" t="str">
        <f>TRIM("住之江住宅")</f>
        <v>住之江住宅</v>
      </c>
      <c r="C4123" s="14" t="s">
        <v>1520</v>
      </c>
      <c r="D4123" s="14" t="s">
        <v>857</v>
      </c>
      <c r="E4123" s="1">
        <v>7220.33</v>
      </c>
      <c r="F4123" s="2"/>
      <c r="G4123" s="1">
        <v>6854.11</v>
      </c>
      <c r="H4123" s="3"/>
      <c r="I4123" s="14" t="s">
        <v>6177</v>
      </c>
    </row>
    <row r="4124" spans="1:9" ht="18.75" customHeight="1" x14ac:dyDescent="0.4">
      <c r="A4124" s="14" t="s">
        <v>2556</v>
      </c>
      <c r="B4124" s="16" t="str">
        <f>TRIM("　安住公園")</f>
        <v>安住公園</v>
      </c>
      <c r="C4124" s="14" t="s">
        <v>1520</v>
      </c>
      <c r="D4124" s="14" t="s">
        <v>857</v>
      </c>
      <c r="E4124" s="1">
        <v>2542.14</v>
      </c>
      <c r="F4124" s="2"/>
      <c r="G4124" s="1"/>
      <c r="H4124" s="3"/>
      <c r="I4124" s="14" t="s">
        <v>2177</v>
      </c>
    </row>
    <row r="4125" spans="1:9" ht="18.75" customHeight="1" x14ac:dyDescent="0.4">
      <c r="A4125" s="14" t="s">
        <v>5240</v>
      </c>
      <c r="B4125" s="16" t="str">
        <f>TRIM("住之江消防署加賀屋出張所")</f>
        <v>住之江消防署加賀屋出張所</v>
      </c>
      <c r="C4125" s="14" t="s">
        <v>1520</v>
      </c>
      <c r="D4125" s="14" t="s">
        <v>169</v>
      </c>
      <c r="E4125" s="1">
        <v>258.19</v>
      </c>
      <c r="F4125" s="2"/>
      <c r="G4125" s="1">
        <v>211.2</v>
      </c>
      <c r="H4125" s="3"/>
      <c r="I4125" s="14" t="s">
        <v>5219</v>
      </c>
    </row>
    <row r="4126" spans="1:9" ht="18.75" customHeight="1" x14ac:dyDescent="0.4">
      <c r="A4126" s="14" t="s">
        <v>6505</v>
      </c>
      <c r="B4126" s="16" t="str">
        <f>TRIM("中加賀屋住宅")</f>
        <v>中加賀屋住宅</v>
      </c>
      <c r="C4126" s="14" t="s">
        <v>1520</v>
      </c>
      <c r="D4126" s="14" t="s">
        <v>169</v>
      </c>
      <c r="E4126" s="1">
        <v>52894.2</v>
      </c>
      <c r="F4126" s="2"/>
      <c r="G4126" s="1">
        <v>81588.570000000007</v>
      </c>
      <c r="H4126" s="3"/>
      <c r="I4126" s="14" t="s">
        <v>6177</v>
      </c>
    </row>
    <row r="4127" spans="1:9" ht="18.75" customHeight="1" x14ac:dyDescent="0.4">
      <c r="A4127" s="14" t="s">
        <v>3036</v>
      </c>
      <c r="B4127" s="16" t="str">
        <f>TRIM("　中加賀屋公園")</f>
        <v>中加賀屋公園</v>
      </c>
      <c r="C4127" s="14" t="s">
        <v>1520</v>
      </c>
      <c r="D4127" s="14" t="s">
        <v>169</v>
      </c>
      <c r="E4127" s="1">
        <v>10620.92</v>
      </c>
      <c r="F4127" s="2"/>
      <c r="G4127" s="1"/>
      <c r="H4127" s="3"/>
      <c r="I4127" s="14" t="s">
        <v>2177</v>
      </c>
    </row>
    <row r="4128" spans="1:9" ht="18.75" customHeight="1" x14ac:dyDescent="0.4">
      <c r="A4128" s="14" t="s">
        <v>3617</v>
      </c>
      <c r="B4128" s="16" t="str">
        <f>TRIM("　中加賀屋公園")</f>
        <v>中加賀屋公園</v>
      </c>
      <c r="C4128" s="14" t="s">
        <v>1520</v>
      </c>
      <c r="D4128" s="14" t="s">
        <v>169</v>
      </c>
      <c r="E4128" s="1"/>
      <c r="F4128" s="2"/>
      <c r="G4128" s="1">
        <v>69.88</v>
      </c>
      <c r="H4128" s="3"/>
      <c r="I4128" s="14" t="s">
        <v>2177</v>
      </c>
    </row>
    <row r="4129" spans="1:9" ht="18.75" customHeight="1" x14ac:dyDescent="0.4">
      <c r="A4129" s="14" t="s">
        <v>3945</v>
      </c>
      <c r="B4129" s="16" t="str">
        <f>TRIM("北加賀屋駅自転車駐車場")</f>
        <v>北加賀屋駅自転車駐車場</v>
      </c>
      <c r="C4129" s="14" t="s">
        <v>1520</v>
      </c>
      <c r="D4129" s="14" t="s">
        <v>169</v>
      </c>
      <c r="E4129" s="1"/>
      <c r="F4129" s="2"/>
      <c r="G4129" s="1">
        <v>1485.76</v>
      </c>
      <c r="H4129" s="3"/>
      <c r="I4129" s="14" t="s">
        <v>2177</v>
      </c>
    </row>
    <row r="4130" spans="1:9" ht="18.75" customHeight="1" x14ac:dyDescent="0.4">
      <c r="A4130" s="14" t="s">
        <v>3946</v>
      </c>
      <c r="B4130" s="16" t="str">
        <f>TRIM("北加賀屋駅自転車駐車場管理ボックス")</f>
        <v>北加賀屋駅自転車駐車場管理ボックス</v>
      </c>
      <c r="C4130" s="14" t="s">
        <v>1520</v>
      </c>
      <c r="D4130" s="14" t="s">
        <v>169</v>
      </c>
      <c r="E4130" s="1"/>
      <c r="F4130" s="2"/>
      <c r="G4130" s="1">
        <v>3.89</v>
      </c>
      <c r="H4130" s="3"/>
      <c r="I4130" s="14" t="s">
        <v>2177</v>
      </c>
    </row>
    <row r="4131" spans="1:9" ht="18.75" customHeight="1" x14ac:dyDescent="0.4">
      <c r="A4131" s="14" t="s">
        <v>3947</v>
      </c>
      <c r="B4131" s="16" t="str">
        <f>TRIM("北加賀屋自転車駐車場")</f>
        <v>北加賀屋自転車駐車場</v>
      </c>
      <c r="C4131" s="14" t="s">
        <v>1520</v>
      </c>
      <c r="D4131" s="14" t="s">
        <v>169</v>
      </c>
      <c r="E4131" s="1">
        <v>688.7</v>
      </c>
      <c r="F4131" s="2"/>
      <c r="G4131" s="1"/>
      <c r="H4131" s="3"/>
      <c r="I4131" s="14" t="s">
        <v>2177</v>
      </c>
    </row>
    <row r="4132" spans="1:9" ht="18.75" customHeight="1" x14ac:dyDescent="0.4">
      <c r="A4132" s="14" t="s">
        <v>5414</v>
      </c>
      <c r="B4132" s="16" t="str">
        <f>TRIM("もと中加賀屋派出所")</f>
        <v>もと中加賀屋派出所</v>
      </c>
      <c r="C4132" s="14" t="s">
        <v>1520</v>
      </c>
      <c r="D4132" s="14" t="s">
        <v>169</v>
      </c>
      <c r="E4132" s="1">
        <v>39.659999999999997</v>
      </c>
      <c r="F4132" s="2"/>
      <c r="G4132" s="1"/>
      <c r="H4132" s="3"/>
      <c r="I4132" s="14" t="s">
        <v>5349</v>
      </c>
    </row>
    <row r="4133" spans="1:9" ht="18.75" customHeight="1" x14ac:dyDescent="0.4">
      <c r="A4133" s="14" t="s">
        <v>6799</v>
      </c>
      <c r="B4133" s="16" t="str">
        <f>TRIM("公社賃貸住宅用地（コーシャハイツ中加賀屋）")</f>
        <v>公社賃貸住宅用地（コーシャハイツ中加賀屋）</v>
      </c>
      <c r="C4133" s="14" t="s">
        <v>1520</v>
      </c>
      <c r="D4133" s="14" t="s">
        <v>169</v>
      </c>
      <c r="E4133" s="1">
        <v>2644.5</v>
      </c>
      <c r="F4133" s="2"/>
      <c r="G4133" s="1"/>
      <c r="H4133" s="3"/>
      <c r="I4133" s="14" t="s">
        <v>6177</v>
      </c>
    </row>
    <row r="4134" spans="1:9" ht="18.75" customHeight="1" x14ac:dyDescent="0.4">
      <c r="A4134" s="14" t="s">
        <v>5927</v>
      </c>
      <c r="B4134" s="16" t="str">
        <f>TRIM("北加賀屋保育所")</f>
        <v>北加賀屋保育所</v>
      </c>
      <c r="C4134" s="14" t="s">
        <v>1520</v>
      </c>
      <c r="D4134" s="14" t="s">
        <v>56</v>
      </c>
      <c r="E4134" s="1">
        <v>987.63</v>
      </c>
      <c r="F4134" s="2"/>
      <c r="G4134" s="1">
        <v>566.03</v>
      </c>
      <c r="H4134" s="3"/>
      <c r="I4134" s="14" t="s">
        <v>5617</v>
      </c>
    </row>
    <row r="4135" spans="1:9" ht="18.75" customHeight="1" x14ac:dyDescent="0.4">
      <c r="A4135" s="14" t="s">
        <v>5667</v>
      </c>
      <c r="B4135" s="16" t="str">
        <f>TRIM("もと住之江児童館")</f>
        <v>もと住之江児童館</v>
      </c>
      <c r="C4135" s="14" t="s">
        <v>1520</v>
      </c>
      <c r="D4135" s="14" t="s">
        <v>56</v>
      </c>
      <c r="E4135" s="1"/>
      <c r="F4135" s="2"/>
      <c r="G4135" s="1">
        <v>262.06</v>
      </c>
      <c r="H4135" s="3" t="s">
        <v>7353</v>
      </c>
      <c r="I4135" s="14" t="s">
        <v>5617</v>
      </c>
    </row>
    <row r="4136" spans="1:9" ht="18.75" customHeight="1" x14ac:dyDescent="0.4">
      <c r="A4136" s="14" t="s">
        <v>2598</v>
      </c>
      <c r="B4136" s="16" t="str">
        <f>TRIM("　加賀屋公園")</f>
        <v>加賀屋公園</v>
      </c>
      <c r="C4136" s="14" t="s">
        <v>1520</v>
      </c>
      <c r="D4136" s="14" t="s">
        <v>1013</v>
      </c>
      <c r="E4136" s="1">
        <v>3750.41</v>
      </c>
      <c r="F4136" s="2"/>
      <c r="G4136" s="1"/>
      <c r="H4136" s="3"/>
      <c r="I4136" s="14" t="s">
        <v>2177</v>
      </c>
    </row>
    <row r="4137" spans="1:9" ht="18.75" customHeight="1" x14ac:dyDescent="0.4">
      <c r="A4137" s="14" t="s">
        <v>4845</v>
      </c>
      <c r="B4137" s="16" t="str">
        <f>TRIM("住吉川小学校")</f>
        <v>住吉川小学校</v>
      </c>
      <c r="C4137" s="14" t="s">
        <v>1520</v>
      </c>
      <c r="D4137" s="14" t="s">
        <v>1073</v>
      </c>
      <c r="E4137" s="1">
        <v>12251.51</v>
      </c>
      <c r="F4137" s="2"/>
      <c r="G4137" s="1">
        <v>5637</v>
      </c>
      <c r="H4137" s="3"/>
      <c r="I4137" s="14" t="s">
        <v>4689</v>
      </c>
    </row>
    <row r="4138" spans="1:9" ht="18.75" customHeight="1" x14ac:dyDescent="0.4">
      <c r="A4138" s="14" t="s">
        <v>2780</v>
      </c>
      <c r="B4138" s="16" t="str">
        <f>TRIM("　住吉川公園")</f>
        <v>住吉川公園</v>
      </c>
      <c r="C4138" s="14" t="s">
        <v>1520</v>
      </c>
      <c r="D4138" s="14" t="s">
        <v>1073</v>
      </c>
      <c r="E4138" s="1">
        <v>159.55000000000001</v>
      </c>
      <c r="F4138" s="2"/>
      <c r="G4138" s="1"/>
      <c r="H4138" s="3"/>
      <c r="I4138" s="14" t="s">
        <v>2177</v>
      </c>
    </row>
    <row r="4139" spans="1:9" ht="18.75" customHeight="1" x14ac:dyDescent="0.4">
      <c r="A4139" s="14" t="s">
        <v>7035</v>
      </c>
      <c r="B4139" s="16" t="str">
        <f>TRIM("国際見本市会場  インテックス大阪")</f>
        <v>国際見本市会場 インテックス大阪</v>
      </c>
      <c r="C4139" s="14" t="s">
        <v>1520</v>
      </c>
      <c r="D4139" s="14" t="s">
        <v>22</v>
      </c>
      <c r="E4139" s="1">
        <v>121240.84</v>
      </c>
      <c r="F4139" s="2"/>
      <c r="G4139" s="1">
        <v>127292.64</v>
      </c>
      <c r="H4139" s="3"/>
      <c r="I4139" s="14" t="s">
        <v>4115</v>
      </c>
    </row>
    <row r="4140" spans="1:9" ht="18.75" customHeight="1" x14ac:dyDescent="0.4">
      <c r="A4140" s="14" t="s">
        <v>4121</v>
      </c>
      <c r="B4140" s="16" t="str">
        <f>TRIM("国際見本市関連事業用地")</f>
        <v>国際見本市関連事業用地</v>
      </c>
      <c r="C4140" s="14" t="s">
        <v>1520</v>
      </c>
      <c r="D4140" s="14" t="s">
        <v>22</v>
      </c>
      <c r="E4140" s="1">
        <v>7075.37</v>
      </c>
      <c r="F4140" s="2"/>
      <c r="G4140" s="1"/>
      <c r="H4140" s="3"/>
      <c r="I4140" s="14" t="s">
        <v>4117</v>
      </c>
    </row>
    <row r="4141" spans="1:9" ht="18.75" customHeight="1" x14ac:dyDescent="0.4">
      <c r="A4141" s="14" t="s">
        <v>4171</v>
      </c>
      <c r="B4141" s="16" t="str">
        <f>TRIM("大阪港咲洲トンネル咲洲側換気所")</f>
        <v>大阪港咲洲トンネル咲洲側換気所</v>
      </c>
      <c r="C4141" s="14" t="s">
        <v>1520</v>
      </c>
      <c r="D4141" s="14" t="s">
        <v>22</v>
      </c>
      <c r="E4141" s="1"/>
      <c r="F4141" s="2"/>
      <c r="G4141" s="1">
        <v>6733.94</v>
      </c>
      <c r="H4141" s="3"/>
      <c r="I4141" s="14" t="s">
        <v>4117</v>
      </c>
    </row>
    <row r="4142" spans="1:9" ht="18.75" customHeight="1" x14ac:dyDescent="0.4">
      <c r="A4142" s="14" t="s">
        <v>4267</v>
      </c>
      <c r="B4142" s="16" t="str">
        <f>TRIM("コンテナ車整理場")</f>
        <v>コンテナ車整理場</v>
      </c>
      <c r="C4142" s="14" t="s">
        <v>1520</v>
      </c>
      <c r="D4142" s="14" t="s">
        <v>22</v>
      </c>
      <c r="E4142" s="1">
        <v>88282.47</v>
      </c>
      <c r="F4142" s="2"/>
      <c r="G4142" s="1"/>
      <c r="H4142" s="3"/>
      <c r="I4142" s="14" t="s">
        <v>4117</v>
      </c>
    </row>
    <row r="4143" spans="1:9" ht="18.75" customHeight="1" x14ac:dyDescent="0.4">
      <c r="A4143" s="14"/>
      <c r="B4143" s="14" t="s">
        <v>7193</v>
      </c>
      <c r="C4143" s="14" t="s">
        <v>1543</v>
      </c>
      <c r="D4143" s="1" t="s">
        <v>7194</v>
      </c>
      <c r="E4143" s="1"/>
      <c r="F4143" s="2"/>
      <c r="G4143" s="1">
        <v>3597.78</v>
      </c>
      <c r="H4143" s="1"/>
      <c r="I4143" s="14" t="s">
        <v>7190</v>
      </c>
    </row>
    <row r="4144" spans="1:9" ht="18.75" customHeight="1" x14ac:dyDescent="0.4">
      <c r="A4144" s="14"/>
      <c r="B4144" s="14" t="s">
        <v>7195</v>
      </c>
      <c r="C4144" s="14" t="s">
        <v>1543</v>
      </c>
      <c r="D4144" s="1" t="s">
        <v>7194</v>
      </c>
      <c r="E4144" s="1"/>
      <c r="F4144" s="2"/>
      <c r="G4144" s="1">
        <v>9255</v>
      </c>
      <c r="H4144" s="1"/>
      <c r="I4144" s="14" t="s">
        <v>7190</v>
      </c>
    </row>
    <row r="4145" spans="1:9" ht="18.75" customHeight="1" x14ac:dyDescent="0.4">
      <c r="A4145" s="14" t="s">
        <v>4046</v>
      </c>
      <c r="B4145" s="16" t="str">
        <f>TRIM("咲洲抽水所")</f>
        <v>咲洲抽水所</v>
      </c>
      <c r="C4145" s="14" t="s">
        <v>1520</v>
      </c>
      <c r="D4145" s="14" t="s">
        <v>19</v>
      </c>
      <c r="E4145" s="1">
        <v>1892.18</v>
      </c>
      <c r="F4145" s="2"/>
      <c r="G4145" s="1">
        <v>573.98</v>
      </c>
      <c r="H4145" s="3"/>
      <c r="I4145" s="14" t="s">
        <v>2177</v>
      </c>
    </row>
    <row r="4146" spans="1:9" ht="18.75" customHeight="1" x14ac:dyDescent="0.4">
      <c r="A4146" s="14" t="s">
        <v>7032</v>
      </c>
      <c r="B4146" s="16" t="str">
        <f>TRIM("アジア太平洋トレードセンター")</f>
        <v>アジア太平洋トレードセンター</v>
      </c>
      <c r="C4146" s="14" t="s">
        <v>1520</v>
      </c>
      <c r="D4146" s="14" t="s">
        <v>19</v>
      </c>
      <c r="E4146" s="1">
        <v>17366.060000000001</v>
      </c>
      <c r="F4146" s="2"/>
      <c r="G4146" s="1">
        <v>74976.460000000006</v>
      </c>
      <c r="H4146" s="3"/>
      <c r="I4146" s="14" t="s">
        <v>4115</v>
      </c>
    </row>
    <row r="4147" spans="1:9" ht="18.75" customHeight="1" x14ac:dyDescent="0.4">
      <c r="A4147" s="14" t="s">
        <v>4175</v>
      </c>
      <c r="B4147" s="16" t="str">
        <f>TRIM("南港北ふ頭緑道")</f>
        <v>南港北ふ頭緑道</v>
      </c>
      <c r="C4147" s="14" t="s">
        <v>1520</v>
      </c>
      <c r="D4147" s="14" t="s">
        <v>19</v>
      </c>
      <c r="E4147" s="1"/>
      <c r="F4147" s="2"/>
      <c r="G4147" s="1">
        <v>27.49</v>
      </c>
      <c r="H4147" s="3"/>
      <c r="I4147" s="14" t="s">
        <v>4117</v>
      </c>
    </row>
    <row r="4148" spans="1:9" ht="18.75" customHeight="1" x14ac:dyDescent="0.4">
      <c r="A4148" s="14" t="s">
        <v>4187</v>
      </c>
      <c r="B4148" s="16" t="str">
        <f>TRIM("臨港緑地（住之江）")</f>
        <v>臨港緑地（住之江）</v>
      </c>
      <c r="C4148" s="14" t="s">
        <v>1520</v>
      </c>
      <c r="D4148" s="14" t="s">
        <v>19</v>
      </c>
      <c r="E4148" s="1">
        <v>301030.40999999997</v>
      </c>
      <c r="F4148" s="2"/>
      <c r="G4148" s="1"/>
      <c r="H4148" s="3"/>
      <c r="I4148" s="14" t="s">
        <v>4117</v>
      </c>
    </row>
    <row r="4149" spans="1:9" ht="18.75" customHeight="1" x14ac:dyDescent="0.4">
      <c r="A4149" s="14" t="s">
        <v>4224</v>
      </c>
      <c r="B4149" s="16" t="str">
        <f>TRIM("大阪内港船舶通航信号所")</f>
        <v>大阪内港船舶通航信号所</v>
      </c>
      <c r="C4149" s="14" t="s">
        <v>1520</v>
      </c>
      <c r="D4149" s="14" t="s">
        <v>19</v>
      </c>
      <c r="E4149" s="1"/>
      <c r="F4149" s="2"/>
      <c r="G4149" s="1">
        <v>20.12</v>
      </c>
      <c r="H4149" s="3"/>
      <c r="I4149" s="14" t="s">
        <v>4117</v>
      </c>
    </row>
    <row r="4150" spans="1:9" ht="18.75" customHeight="1" x14ac:dyDescent="0.4">
      <c r="A4150" s="14"/>
      <c r="B4150" s="14" t="s">
        <v>7196</v>
      </c>
      <c r="C4150" s="14" t="s">
        <v>1543</v>
      </c>
      <c r="D4150" s="1" t="s">
        <v>7197</v>
      </c>
      <c r="E4150" s="1"/>
      <c r="F4150" s="2"/>
      <c r="G4150" s="1">
        <v>20755.509999999998</v>
      </c>
      <c r="H4150" s="1"/>
      <c r="I4150" s="14" t="s">
        <v>7190</v>
      </c>
    </row>
    <row r="4151" spans="1:9" ht="18.75" customHeight="1" x14ac:dyDescent="0.4">
      <c r="A4151" s="14"/>
      <c r="B4151" s="14" t="s">
        <v>7257</v>
      </c>
      <c r="C4151" s="14" t="s">
        <v>7225</v>
      </c>
      <c r="D4151" s="1" t="s">
        <v>19</v>
      </c>
      <c r="E4151" s="1"/>
      <c r="F4151" s="2"/>
      <c r="G4151" s="1">
        <v>90.9</v>
      </c>
      <c r="H4151" s="1"/>
      <c r="I4151" s="14" t="s">
        <v>7190</v>
      </c>
    </row>
    <row r="4152" spans="1:9" ht="18.75" customHeight="1" x14ac:dyDescent="0.4">
      <c r="A4152" s="14"/>
      <c r="B4152" s="14" t="s">
        <v>7258</v>
      </c>
      <c r="C4152" s="14" t="s">
        <v>7225</v>
      </c>
      <c r="D4152" s="1" t="s">
        <v>19</v>
      </c>
      <c r="E4152" s="1"/>
      <c r="F4152" s="2"/>
      <c r="G4152" s="1">
        <v>48.38</v>
      </c>
      <c r="H4152" s="1"/>
      <c r="I4152" s="14" t="s">
        <v>7190</v>
      </c>
    </row>
    <row r="4153" spans="1:9" ht="18.75" customHeight="1" x14ac:dyDescent="0.4">
      <c r="A4153" s="14" t="s">
        <v>4208</v>
      </c>
      <c r="B4153" s="16" t="str">
        <f>TRIM("大阪南港野鳥園")</f>
        <v>大阪南港野鳥園</v>
      </c>
      <c r="C4153" s="14" t="s">
        <v>1520</v>
      </c>
      <c r="D4153" s="14" t="s">
        <v>1341</v>
      </c>
      <c r="E4153" s="1">
        <v>193620.57</v>
      </c>
      <c r="F4153" s="2"/>
      <c r="G4153" s="1">
        <v>792.31</v>
      </c>
      <c r="H4153" s="3"/>
      <c r="I4153" s="14" t="s">
        <v>4117</v>
      </c>
    </row>
    <row r="4154" spans="1:9" ht="18.75" customHeight="1" x14ac:dyDescent="0.4">
      <c r="A4154" s="14" t="s">
        <v>4154</v>
      </c>
      <c r="B4154" s="16" t="str">
        <f>TRIM("南港重量物ふ頭港湾労働者休憩所用地")</f>
        <v>南港重量物ふ頭港湾労働者休憩所用地</v>
      </c>
      <c r="C4154" s="14" t="s">
        <v>1520</v>
      </c>
      <c r="D4154" s="14" t="s">
        <v>1341</v>
      </c>
      <c r="E4154" s="1">
        <v>2087.6999999999998</v>
      </c>
      <c r="F4154" s="2"/>
      <c r="G4154" s="1"/>
      <c r="H4154" s="3"/>
      <c r="I4154" s="14" t="s">
        <v>4117</v>
      </c>
    </row>
    <row r="4155" spans="1:9" ht="18.75" customHeight="1" x14ac:dyDescent="0.4">
      <c r="A4155" s="14" t="s">
        <v>4161</v>
      </c>
      <c r="B4155" s="16" t="str">
        <f>TRIM("南港重量物ふ頭港湾労働者休憩所")</f>
        <v>南港重量物ふ頭港湾労働者休憩所</v>
      </c>
      <c r="C4155" s="14" t="s">
        <v>1520</v>
      </c>
      <c r="D4155" s="14" t="s">
        <v>1341</v>
      </c>
      <c r="E4155" s="1"/>
      <c r="F4155" s="2"/>
      <c r="G4155" s="1">
        <v>208.38</v>
      </c>
      <c r="H4155" s="3"/>
      <c r="I4155" s="14" t="s">
        <v>4117</v>
      </c>
    </row>
    <row r="4156" spans="1:9" ht="18.75" customHeight="1" x14ac:dyDescent="0.4">
      <c r="A4156" s="14" t="s">
        <v>4330</v>
      </c>
      <c r="B4156" s="16" t="str">
        <f>TRIM("もと埠頭（住之江・港営）")</f>
        <v>もと埠頭（住之江・港営）</v>
      </c>
      <c r="C4156" s="14" t="s">
        <v>1520</v>
      </c>
      <c r="D4156" s="14" t="s">
        <v>1341</v>
      </c>
      <c r="E4156" s="1">
        <v>17160.71</v>
      </c>
      <c r="F4156" s="2"/>
      <c r="G4156" s="13"/>
      <c r="H4156" s="3"/>
      <c r="I4156" s="14" t="s">
        <v>4117</v>
      </c>
    </row>
    <row r="4157" spans="1:9" ht="18.75" customHeight="1" x14ac:dyDescent="0.4">
      <c r="A4157" s="14"/>
      <c r="B4157" s="14" t="s">
        <v>7198</v>
      </c>
      <c r="C4157" s="14" t="s">
        <v>1543</v>
      </c>
      <c r="D4157" s="1" t="s">
        <v>7199</v>
      </c>
      <c r="E4157" s="1"/>
      <c r="F4157" s="2"/>
      <c r="G4157" s="1">
        <v>105.55</v>
      </c>
      <c r="H4157" s="1"/>
      <c r="I4157" s="14" t="s">
        <v>7190</v>
      </c>
    </row>
    <row r="4158" spans="1:9" ht="18.75" customHeight="1" x14ac:dyDescent="0.4">
      <c r="A4158" s="14"/>
      <c r="B4158" s="14" t="s">
        <v>7200</v>
      </c>
      <c r="C4158" s="14" t="s">
        <v>1543</v>
      </c>
      <c r="D4158" s="1" t="s">
        <v>7199</v>
      </c>
      <c r="E4158" s="1"/>
      <c r="F4158" s="2"/>
      <c r="G4158" s="1">
        <v>74.180000000000007</v>
      </c>
      <c r="H4158" s="1"/>
      <c r="I4158" s="14" t="s">
        <v>7190</v>
      </c>
    </row>
    <row r="4159" spans="1:9" ht="18.75" customHeight="1" x14ac:dyDescent="0.4">
      <c r="A4159" s="14"/>
      <c r="B4159" s="14" t="s">
        <v>7201</v>
      </c>
      <c r="C4159" s="14" t="s">
        <v>1543</v>
      </c>
      <c r="D4159" s="1" t="s">
        <v>7199</v>
      </c>
      <c r="E4159" s="1"/>
      <c r="F4159" s="2"/>
      <c r="G4159" s="1">
        <v>283.3</v>
      </c>
      <c r="H4159" s="1"/>
      <c r="I4159" s="14" t="s">
        <v>7190</v>
      </c>
    </row>
    <row r="4160" spans="1:9" ht="18.75" customHeight="1" x14ac:dyDescent="0.4">
      <c r="A4160" s="14"/>
      <c r="B4160" s="14" t="s">
        <v>7202</v>
      </c>
      <c r="C4160" s="14" t="s">
        <v>1543</v>
      </c>
      <c r="D4160" s="1" t="s">
        <v>7199</v>
      </c>
      <c r="E4160" s="1"/>
      <c r="F4160" s="2"/>
      <c r="G4160" s="1">
        <v>172.06</v>
      </c>
      <c r="H4160" s="1"/>
      <c r="I4160" s="14" t="s">
        <v>7190</v>
      </c>
    </row>
    <row r="4161" spans="1:9" ht="18.75" customHeight="1" x14ac:dyDescent="0.4">
      <c r="A4161" s="14"/>
      <c r="B4161" s="14" t="s">
        <v>7202</v>
      </c>
      <c r="C4161" s="14" t="s">
        <v>1543</v>
      </c>
      <c r="D4161" s="1" t="s">
        <v>7203</v>
      </c>
      <c r="E4161" s="1"/>
      <c r="F4161" s="2"/>
      <c r="G4161" s="1">
        <v>48.38</v>
      </c>
      <c r="H4161" s="1"/>
      <c r="I4161" s="14" t="s">
        <v>7190</v>
      </c>
    </row>
    <row r="4162" spans="1:9" ht="18.75" customHeight="1" x14ac:dyDescent="0.4">
      <c r="A4162" s="14"/>
      <c r="B4162" s="14" t="s">
        <v>7256</v>
      </c>
      <c r="C4162" s="14" t="s">
        <v>7225</v>
      </c>
      <c r="D4162" s="1" t="s">
        <v>1341</v>
      </c>
      <c r="E4162" s="1"/>
      <c r="F4162" s="2"/>
      <c r="G4162" s="1">
        <v>181.44</v>
      </c>
      <c r="H4162" s="1"/>
      <c r="I4162" s="14" t="s">
        <v>7190</v>
      </c>
    </row>
    <row r="4163" spans="1:9" ht="18.75" customHeight="1" x14ac:dyDescent="0.4">
      <c r="A4163" s="14" t="s">
        <v>4122</v>
      </c>
      <c r="B4163" s="16" t="str">
        <f>TRIM("ニュートラム高架")</f>
        <v>ニュートラム高架</v>
      </c>
      <c r="C4163" s="14" t="s">
        <v>1520</v>
      </c>
      <c r="D4163" s="14" t="s">
        <v>1544</v>
      </c>
      <c r="E4163" s="1">
        <v>258.69</v>
      </c>
      <c r="F4163" s="2"/>
      <c r="G4163" s="1"/>
      <c r="H4163" s="3"/>
      <c r="I4163" s="14" t="s">
        <v>4117</v>
      </c>
    </row>
    <row r="4164" spans="1:9" ht="18.75" customHeight="1" x14ac:dyDescent="0.4">
      <c r="A4164" s="14" t="s">
        <v>4091</v>
      </c>
      <c r="B4164" s="16" t="str">
        <f>TRIM("南港第2抽水所")</f>
        <v>南港第2抽水所</v>
      </c>
      <c r="C4164" s="14" t="s">
        <v>1520</v>
      </c>
      <c r="D4164" s="14" t="s">
        <v>1332</v>
      </c>
      <c r="E4164" s="1">
        <v>8756.89</v>
      </c>
      <c r="F4164" s="2"/>
      <c r="G4164" s="1">
        <v>3362.86</v>
      </c>
      <c r="H4164" s="3"/>
      <c r="I4164" s="14" t="s">
        <v>2177</v>
      </c>
    </row>
    <row r="4165" spans="1:9" ht="18.75" customHeight="1" x14ac:dyDescent="0.4">
      <c r="A4165" s="14" t="s">
        <v>5241</v>
      </c>
      <c r="B4165" s="16" t="str">
        <f>TRIM("住之江消防署南港出張所")</f>
        <v>住之江消防署南港出張所</v>
      </c>
      <c r="C4165" s="14" t="s">
        <v>1520</v>
      </c>
      <c r="D4165" s="14" t="s">
        <v>1332</v>
      </c>
      <c r="E4165" s="1">
        <v>1829.48</v>
      </c>
      <c r="F4165" s="2"/>
      <c r="G4165" s="1">
        <v>576.59</v>
      </c>
      <c r="H4165" s="3"/>
      <c r="I4165" s="14" t="s">
        <v>5219</v>
      </c>
    </row>
    <row r="4166" spans="1:9" ht="18.75" customHeight="1" x14ac:dyDescent="0.4">
      <c r="A4166" s="14" t="s">
        <v>6594</v>
      </c>
      <c r="B4166" s="16" t="str">
        <f>TRIM("南港中住宅")</f>
        <v>南港中住宅</v>
      </c>
      <c r="C4166" s="14" t="s">
        <v>1520</v>
      </c>
      <c r="D4166" s="14" t="s">
        <v>547</v>
      </c>
      <c r="E4166" s="1">
        <v>64292.68</v>
      </c>
      <c r="F4166" s="2">
        <v>548</v>
      </c>
      <c r="G4166" s="1">
        <v>136554.94</v>
      </c>
      <c r="H4166" s="3"/>
      <c r="I4166" s="14" t="s">
        <v>6177</v>
      </c>
    </row>
    <row r="4167" spans="1:9" ht="18.75" customHeight="1" x14ac:dyDescent="0.4">
      <c r="A4167" s="14" t="s">
        <v>5746</v>
      </c>
      <c r="B4167" s="16" t="str">
        <f>TRIM("大阪神愛館グレース保育園")</f>
        <v>大阪神愛館グレース保育園</v>
      </c>
      <c r="C4167" s="14" t="s">
        <v>1520</v>
      </c>
      <c r="D4167" s="14" t="s">
        <v>547</v>
      </c>
      <c r="E4167" s="1">
        <v>1100.02</v>
      </c>
      <c r="F4167" s="2"/>
      <c r="G4167" s="1"/>
      <c r="H4167" s="3"/>
      <c r="I4167" s="14" t="s">
        <v>5617</v>
      </c>
    </row>
    <row r="4168" spans="1:9" ht="18.75" customHeight="1" x14ac:dyDescent="0.4">
      <c r="A4168" s="14"/>
      <c r="B4168" s="14" t="s">
        <v>7204</v>
      </c>
      <c r="C4168" s="14" t="s">
        <v>1520</v>
      </c>
      <c r="D4168" s="1" t="s">
        <v>7205</v>
      </c>
      <c r="E4168" s="1"/>
      <c r="F4168" s="2"/>
      <c r="G4168" s="1">
        <v>6775.3</v>
      </c>
      <c r="H4168" s="1"/>
      <c r="I4168" s="14" t="s">
        <v>7190</v>
      </c>
    </row>
    <row r="4169" spans="1:9" ht="18.75" customHeight="1" x14ac:dyDescent="0.4">
      <c r="A4169" s="14"/>
      <c r="B4169" s="14" t="s">
        <v>7234</v>
      </c>
      <c r="C4169" s="14" t="s">
        <v>7225</v>
      </c>
      <c r="D4169" s="1" t="s">
        <v>7235</v>
      </c>
      <c r="E4169" s="1"/>
      <c r="F4169" s="2"/>
      <c r="G4169" s="1">
        <v>3474.79</v>
      </c>
      <c r="H4169" s="1"/>
      <c r="I4169" s="14" t="s">
        <v>7190</v>
      </c>
    </row>
    <row r="4170" spans="1:9" ht="18.75" customHeight="1" x14ac:dyDescent="0.4">
      <c r="A4170" s="14" t="s">
        <v>5041</v>
      </c>
      <c r="B4170" s="16" t="str">
        <f>TRIM("南港みなみ小学校　南港南中学校")</f>
        <v>南港みなみ小学校　南港南中学校</v>
      </c>
      <c r="C4170" s="14" t="s">
        <v>1520</v>
      </c>
      <c r="D4170" s="14" t="s">
        <v>1426</v>
      </c>
      <c r="E4170" s="1">
        <v>18000</v>
      </c>
      <c r="F4170" s="2"/>
      <c r="G4170" s="1">
        <v>11447.14</v>
      </c>
      <c r="H4170" s="3"/>
      <c r="I4170" s="14" t="s">
        <v>4689</v>
      </c>
    </row>
    <row r="4171" spans="1:9" ht="18.75" customHeight="1" x14ac:dyDescent="0.4">
      <c r="A4171" s="14" t="s">
        <v>4146</v>
      </c>
      <c r="B4171" s="16" t="str">
        <f>TRIM("公園（住之江区南港中）")</f>
        <v>公園（住之江区南港中）</v>
      </c>
      <c r="C4171" s="14" t="s">
        <v>1520</v>
      </c>
      <c r="D4171" s="14" t="s">
        <v>1426</v>
      </c>
      <c r="E4171" s="1">
        <v>74524.740000000005</v>
      </c>
      <c r="F4171" s="2"/>
      <c r="G4171" s="1"/>
      <c r="H4171" s="3"/>
      <c r="I4171" s="14" t="s">
        <v>4117</v>
      </c>
    </row>
    <row r="4172" spans="1:9" ht="18.75" customHeight="1" x14ac:dyDescent="0.4">
      <c r="A4172" s="14"/>
      <c r="B4172" s="14" t="s">
        <v>7206</v>
      </c>
      <c r="C4172" s="14" t="s">
        <v>1543</v>
      </c>
      <c r="D4172" s="1" t="s">
        <v>7207</v>
      </c>
      <c r="E4172" s="1"/>
      <c r="F4172" s="2"/>
      <c r="G4172" s="1">
        <v>28.69</v>
      </c>
      <c r="H4172" s="1"/>
      <c r="I4172" s="14" t="s">
        <v>7190</v>
      </c>
    </row>
    <row r="4173" spans="1:9" ht="18.75" customHeight="1" x14ac:dyDescent="0.4">
      <c r="A4173" s="14" t="s">
        <v>5039</v>
      </c>
      <c r="B4173" s="16" t="str">
        <f>TRIM("南港光小学校")</f>
        <v>南港光小学校</v>
      </c>
      <c r="C4173" s="14" t="s">
        <v>1520</v>
      </c>
      <c r="D4173" s="14" t="s">
        <v>1425</v>
      </c>
      <c r="E4173" s="1">
        <v>13972.59</v>
      </c>
      <c r="F4173" s="2"/>
      <c r="G4173" s="1">
        <v>7026.22</v>
      </c>
      <c r="H4173" s="3"/>
      <c r="I4173" s="14" t="s">
        <v>4689</v>
      </c>
    </row>
    <row r="4174" spans="1:9" ht="18.75" customHeight="1" x14ac:dyDescent="0.4">
      <c r="A4174" s="14" t="s">
        <v>5042</v>
      </c>
      <c r="B4174" s="16" t="str">
        <f>TRIM("南港北中学校")</f>
        <v>南港北中学校</v>
      </c>
      <c r="C4174" s="14" t="s">
        <v>1520</v>
      </c>
      <c r="D4174" s="14" t="s">
        <v>1425</v>
      </c>
      <c r="E4174" s="1">
        <v>16989.47</v>
      </c>
      <c r="F4174" s="2"/>
      <c r="G4174" s="1">
        <v>8136.87</v>
      </c>
      <c r="H4174" s="3"/>
      <c r="I4174" s="14" t="s">
        <v>4689</v>
      </c>
    </row>
    <row r="4175" spans="1:9" ht="18.75" customHeight="1" x14ac:dyDescent="0.4">
      <c r="A4175" s="14" t="s">
        <v>6097</v>
      </c>
      <c r="B4175" s="16" t="str">
        <f>TRIM("相愛大学一般廃棄物保管施設")</f>
        <v>相愛大学一般廃棄物保管施設</v>
      </c>
      <c r="C4175" s="14" t="s">
        <v>1520</v>
      </c>
      <c r="D4175" s="14" t="s">
        <v>1425</v>
      </c>
      <c r="E4175" s="1"/>
      <c r="F4175" s="2"/>
      <c r="G4175" s="1">
        <v>38</v>
      </c>
      <c r="H4175" s="3"/>
      <c r="I4175" s="14" t="s">
        <v>5977</v>
      </c>
    </row>
    <row r="4176" spans="1:9" ht="18.75" customHeight="1" x14ac:dyDescent="0.4">
      <c r="A4176" s="14"/>
      <c r="B4176" s="14" t="s">
        <v>7208</v>
      </c>
      <c r="C4176" s="14" t="s">
        <v>1520</v>
      </c>
      <c r="D4176" s="1" t="s">
        <v>7209</v>
      </c>
      <c r="E4176" s="1"/>
      <c r="F4176" s="2"/>
      <c r="G4176" s="1">
        <v>5413.21</v>
      </c>
      <c r="H4176" s="1"/>
      <c r="I4176" s="14" t="s">
        <v>7190</v>
      </c>
    </row>
    <row r="4177" spans="1:9" ht="18.75" customHeight="1" x14ac:dyDescent="0.4">
      <c r="A4177" s="14"/>
      <c r="B4177" s="14" t="s">
        <v>7236</v>
      </c>
      <c r="C4177" s="14" t="s">
        <v>7225</v>
      </c>
      <c r="D4177" s="1" t="s">
        <v>7237</v>
      </c>
      <c r="E4177" s="1"/>
      <c r="F4177" s="2"/>
      <c r="G4177" s="1">
        <v>38.71</v>
      </c>
      <c r="H4177" s="1"/>
      <c r="I4177" s="14" t="s">
        <v>7190</v>
      </c>
    </row>
    <row r="4178" spans="1:9" ht="18.75" customHeight="1" x14ac:dyDescent="0.4">
      <c r="A4178" s="14" t="s">
        <v>5040</v>
      </c>
      <c r="B4178" s="16" t="str">
        <f>TRIM("南港桜小学校")</f>
        <v>南港桜小学校</v>
      </c>
      <c r="C4178" s="14" t="s">
        <v>1520</v>
      </c>
      <c r="D4178" s="14" t="s">
        <v>533</v>
      </c>
      <c r="E4178" s="1">
        <v>13000.03</v>
      </c>
      <c r="F4178" s="2"/>
      <c r="G4178" s="1">
        <v>6852.87</v>
      </c>
      <c r="H4178" s="3"/>
      <c r="I4178" s="14" t="s">
        <v>4689</v>
      </c>
    </row>
    <row r="4179" spans="1:9" ht="18.75" customHeight="1" x14ac:dyDescent="0.4">
      <c r="A4179" s="14" t="s">
        <v>5718</v>
      </c>
      <c r="B4179" s="16" t="str">
        <f>TRIM("ポートタウン保育園")</f>
        <v>ポートタウン保育園</v>
      </c>
      <c r="C4179" s="14" t="s">
        <v>1520</v>
      </c>
      <c r="D4179" s="14" t="s">
        <v>533</v>
      </c>
      <c r="E4179" s="1">
        <v>1213.3</v>
      </c>
      <c r="F4179" s="2"/>
      <c r="G4179" s="1"/>
      <c r="H4179" s="3"/>
      <c r="I4179" s="14" t="s">
        <v>5617</v>
      </c>
    </row>
    <row r="4180" spans="1:9" ht="18.75" customHeight="1" x14ac:dyDescent="0.4">
      <c r="A4180" s="14"/>
      <c r="B4180" s="14" t="s">
        <v>7210</v>
      </c>
      <c r="C4180" s="14" t="s">
        <v>1520</v>
      </c>
      <c r="D4180" s="1" t="s">
        <v>7211</v>
      </c>
      <c r="E4180" s="1"/>
      <c r="F4180" s="2"/>
      <c r="G4180" s="1">
        <v>5314.3</v>
      </c>
      <c r="H4180" s="1"/>
      <c r="I4180" s="14" t="s">
        <v>7190</v>
      </c>
    </row>
    <row r="4181" spans="1:9" ht="18.75" customHeight="1" x14ac:dyDescent="0.4">
      <c r="A4181" s="14" t="s">
        <v>6083</v>
      </c>
      <c r="B4181" s="16" t="str">
        <f>TRIM("南港管路輸送センター")</f>
        <v>南港管路輸送センター</v>
      </c>
      <c r="C4181" s="14" t="s">
        <v>1520</v>
      </c>
      <c r="D4181" s="14" t="s">
        <v>24</v>
      </c>
      <c r="E4181" s="1">
        <v>4606.33</v>
      </c>
      <c r="F4181" s="2"/>
      <c r="G4181" s="1">
        <v>1933</v>
      </c>
      <c r="H4181" s="3"/>
      <c r="I4181" s="14" t="s">
        <v>5977</v>
      </c>
    </row>
    <row r="4182" spans="1:9" ht="18.75" customHeight="1" x14ac:dyDescent="0.4">
      <c r="A4182" s="14" t="s">
        <v>4155</v>
      </c>
      <c r="B4182" s="16" t="str">
        <f>TRIM("南港中ふ頭港湾労働者便所")</f>
        <v>南港中ふ頭港湾労働者便所</v>
      </c>
      <c r="C4182" s="14" t="s">
        <v>1520</v>
      </c>
      <c r="D4182" s="14" t="s">
        <v>24</v>
      </c>
      <c r="E4182" s="1"/>
      <c r="F4182" s="2"/>
      <c r="G4182" s="1">
        <v>21.42</v>
      </c>
      <c r="H4182" s="3"/>
      <c r="I4182" s="14" t="s">
        <v>4117</v>
      </c>
    </row>
    <row r="4183" spans="1:9" ht="18.75" customHeight="1" x14ac:dyDescent="0.4">
      <c r="A4183" s="14" t="s">
        <v>4156</v>
      </c>
      <c r="B4183" s="16" t="str">
        <f>TRIM("南港中ふ頭港湾労働者便所用地")</f>
        <v>南港中ふ頭港湾労働者便所用地</v>
      </c>
      <c r="C4183" s="14" t="s">
        <v>1520</v>
      </c>
      <c r="D4183" s="14" t="s">
        <v>24</v>
      </c>
      <c r="E4183" s="1">
        <v>232.75</v>
      </c>
      <c r="F4183" s="2"/>
      <c r="G4183" s="1"/>
      <c r="H4183" s="3"/>
      <c r="I4183" s="14" t="s">
        <v>4117</v>
      </c>
    </row>
    <row r="4184" spans="1:9" ht="18.75" customHeight="1" x14ac:dyDescent="0.4">
      <c r="A4184" s="14" t="s">
        <v>7037</v>
      </c>
      <c r="B4184" s="16" t="str">
        <f>TRIM("国際見本市会場来場者駐車場 インテックス大阪来場者駐車場")</f>
        <v>国際見本市会場来場者駐車場 インテックス大阪来場者駐車場</v>
      </c>
      <c r="C4184" s="14" t="s">
        <v>1520</v>
      </c>
      <c r="D4184" s="14" t="s">
        <v>24</v>
      </c>
      <c r="E4184" s="1"/>
      <c r="F4184" s="2"/>
      <c r="G4184" s="1">
        <v>21789.07</v>
      </c>
      <c r="H4184" s="3"/>
      <c r="I4184" s="14" t="s">
        <v>4115</v>
      </c>
    </row>
    <row r="4185" spans="1:9" ht="18.75" customHeight="1" x14ac:dyDescent="0.4">
      <c r="A4185" s="14" t="s">
        <v>7038</v>
      </c>
      <c r="B4185" s="16" t="str">
        <f>TRIM("国際見本市会場来場者駐車場 　インテックス大阪来場者駐車場")</f>
        <v>国際見本市会場来場者駐車場 インテックス大阪来場者駐車場</v>
      </c>
      <c r="C4185" s="14" t="s">
        <v>1520</v>
      </c>
      <c r="D4185" s="14" t="s">
        <v>24</v>
      </c>
      <c r="E4185" s="1">
        <v>7700</v>
      </c>
      <c r="F4185" s="2"/>
      <c r="G4185" s="1"/>
      <c r="H4185" s="3"/>
      <c r="I4185" s="14" t="s">
        <v>4115</v>
      </c>
    </row>
    <row r="4186" spans="1:9" ht="18.75" customHeight="1" x14ac:dyDescent="0.4">
      <c r="A4186" s="14"/>
      <c r="B4186" s="14" t="s">
        <v>7212</v>
      </c>
      <c r="C4186" s="14" t="s">
        <v>1543</v>
      </c>
      <c r="D4186" s="1" t="s">
        <v>7213</v>
      </c>
      <c r="E4186" s="1"/>
      <c r="F4186" s="2"/>
      <c r="G4186" s="1">
        <v>39337.599999999999</v>
      </c>
      <c r="H4186" s="1"/>
      <c r="I4186" s="14" t="s">
        <v>7190</v>
      </c>
    </row>
    <row r="4187" spans="1:9" ht="18.75" customHeight="1" x14ac:dyDescent="0.4">
      <c r="A4187" s="14"/>
      <c r="B4187" s="14" t="s">
        <v>7224</v>
      </c>
      <c r="C4187" s="14" t="s">
        <v>7225</v>
      </c>
      <c r="D4187" s="1" t="s">
        <v>7226</v>
      </c>
      <c r="E4187" s="1"/>
      <c r="F4187" s="2"/>
      <c r="G4187" s="1">
        <v>1051.44</v>
      </c>
      <c r="H4187" s="3" t="s">
        <v>7353</v>
      </c>
      <c r="I4187" s="14" t="s">
        <v>7190</v>
      </c>
    </row>
    <row r="4188" spans="1:9" ht="18.75" customHeight="1" x14ac:dyDescent="0.4">
      <c r="A4188" s="14"/>
      <c r="B4188" s="14" t="s">
        <v>7240</v>
      </c>
      <c r="C4188" s="14" t="s">
        <v>7225</v>
      </c>
      <c r="D4188" s="1" t="s">
        <v>7241</v>
      </c>
      <c r="E4188" s="1"/>
      <c r="F4188" s="2"/>
      <c r="G4188" s="1">
        <v>21703.24</v>
      </c>
      <c r="H4188" s="1"/>
      <c r="I4188" s="14" t="s">
        <v>7190</v>
      </c>
    </row>
    <row r="4189" spans="1:9" ht="18.75" customHeight="1" x14ac:dyDescent="0.4">
      <c r="A4189" s="14" t="s">
        <v>4324</v>
      </c>
      <c r="B4189" s="16" t="str">
        <f>TRIM("流通関連用地")</f>
        <v>流通関連用地</v>
      </c>
      <c r="C4189" s="14" t="s">
        <v>1520</v>
      </c>
      <c r="D4189" s="14" t="s">
        <v>1356</v>
      </c>
      <c r="E4189" s="1">
        <v>10000.030000000001</v>
      </c>
      <c r="F4189" s="2"/>
      <c r="G4189" s="12"/>
      <c r="H4189" s="3"/>
      <c r="I4189" s="14" t="s">
        <v>4117</v>
      </c>
    </row>
    <row r="4190" spans="1:9" ht="18.75" customHeight="1" x14ac:dyDescent="0.4">
      <c r="A4190" s="14" t="s">
        <v>4328</v>
      </c>
      <c r="B4190" s="16" t="str">
        <f>TRIM("埠頭（住之江・港営）")</f>
        <v>埠頭（住之江・港営）</v>
      </c>
      <c r="C4190" s="14" t="s">
        <v>1520</v>
      </c>
      <c r="D4190" s="14" t="s">
        <v>1356</v>
      </c>
      <c r="E4190" s="1">
        <v>874784.14</v>
      </c>
      <c r="F4190" s="2"/>
      <c r="G4190" s="12"/>
      <c r="H4190" s="3"/>
      <c r="I4190" s="14" t="s">
        <v>4117</v>
      </c>
    </row>
    <row r="4191" spans="1:9" ht="18.75" customHeight="1" x14ac:dyDescent="0.4">
      <c r="A4191" s="14"/>
      <c r="B4191" s="14" t="s">
        <v>7260</v>
      </c>
      <c r="C4191" s="14" t="s">
        <v>1543</v>
      </c>
      <c r="D4191" s="1" t="s">
        <v>7214</v>
      </c>
      <c r="E4191" s="1"/>
      <c r="F4191" s="2"/>
      <c r="G4191" s="1">
        <v>400</v>
      </c>
      <c r="H4191" s="1"/>
      <c r="I4191" s="14" t="s">
        <v>7190</v>
      </c>
    </row>
    <row r="4192" spans="1:9" ht="18.75" customHeight="1" x14ac:dyDescent="0.4">
      <c r="A4192" s="14"/>
      <c r="B4192" s="14" t="s">
        <v>7260</v>
      </c>
      <c r="C4192" s="14" t="s">
        <v>7225</v>
      </c>
      <c r="D4192" s="1" t="s">
        <v>7214</v>
      </c>
      <c r="E4192" s="1"/>
      <c r="F4192" s="2"/>
      <c r="G4192" s="1">
        <v>212</v>
      </c>
      <c r="H4192" s="1"/>
      <c r="I4192" s="14" t="s">
        <v>7190</v>
      </c>
    </row>
    <row r="4193" spans="1:9" ht="18.75" customHeight="1" x14ac:dyDescent="0.4">
      <c r="A4193" s="14"/>
      <c r="B4193" s="14" t="s">
        <v>7238</v>
      </c>
      <c r="C4193" s="14" t="s">
        <v>7225</v>
      </c>
      <c r="D4193" s="1" t="s">
        <v>7239</v>
      </c>
      <c r="E4193" s="1"/>
      <c r="F4193" s="2"/>
      <c r="G4193" s="1">
        <v>23636.89</v>
      </c>
      <c r="H4193" s="1"/>
      <c r="I4193" s="14" t="s">
        <v>7190</v>
      </c>
    </row>
    <row r="4194" spans="1:9" ht="18.75" customHeight="1" x14ac:dyDescent="0.4">
      <c r="A4194" s="14"/>
      <c r="B4194" s="14" t="s">
        <v>7252</v>
      </c>
      <c r="C4194" s="14" t="s">
        <v>7225</v>
      </c>
      <c r="D4194" s="1" t="s">
        <v>7253</v>
      </c>
      <c r="E4194" s="1"/>
      <c r="F4194" s="2"/>
      <c r="G4194" s="1">
        <v>320.24</v>
      </c>
      <c r="H4194" s="1"/>
      <c r="I4194" s="14" t="s">
        <v>7190</v>
      </c>
    </row>
    <row r="4195" spans="1:9" ht="18.75" customHeight="1" x14ac:dyDescent="0.4">
      <c r="A4195" s="14" t="s">
        <v>4163</v>
      </c>
      <c r="B4195" s="16" t="str">
        <f>TRIM("大阪南港港湾労働者福祉センター用地")</f>
        <v>大阪南港港湾労働者福祉センター用地</v>
      </c>
      <c r="C4195" s="14" t="s">
        <v>1520</v>
      </c>
      <c r="D4195" s="14" t="s">
        <v>1344</v>
      </c>
      <c r="E4195" s="1">
        <v>1993.75</v>
      </c>
      <c r="F4195" s="2"/>
      <c r="G4195" s="1"/>
      <c r="H4195" s="3"/>
      <c r="I4195" s="14" t="s">
        <v>4117</v>
      </c>
    </row>
    <row r="4196" spans="1:9" ht="18.75" customHeight="1" x14ac:dyDescent="0.4">
      <c r="A4196" s="14" t="s">
        <v>6593</v>
      </c>
      <c r="B4196" s="16" t="str">
        <f>TRIM("南港住宅")</f>
        <v>南港住宅</v>
      </c>
      <c r="C4196" s="14" t="s">
        <v>1520</v>
      </c>
      <c r="D4196" s="14" t="s">
        <v>817</v>
      </c>
      <c r="E4196" s="1">
        <v>10141.34</v>
      </c>
      <c r="F4196" s="2"/>
      <c r="G4196" s="1">
        <v>22433.3</v>
      </c>
      <c r="H4196" s="3"/>
      <c r="I4196" s="14" t="s">
        <v>6177</v>
      </c>
    </row>
    <row r="4197" spans="1:9" ht="18.75" customHeight="1" x14ac:dyDescent="0.4">
      <c r="A4197" s="14" t="s">
        <v>4123</v>
      </c>
      <c r="B4197" s="16" t="str">
        <f>TRIM("もと護岸敷（住之江・一般）")</f>
        <v>もと護岸敷（住之江・一般）</v>
      </c>
      <c r="C4197" s="14" t="s">
        <v>1520</v>
      </c>
      <c r="D4197" s="14" t="s">
        <v>817</v>
      </c>
      <c r="E4197" s="1">
        <v>3175.6</v>
      </c>
      <c r="F4197" s="2"/>
      <c r="G4197" s="1"/>
      <c r="H4197" s="3"/>
      <c r="I4197" s="14" t="s">
        <v>4117</v>
      </c>
    </row>
    <row r="4198" spans="1:9" ht="18.75" customHeight="1" x14ac:dyDescent="0.4">
      <c r="A4198" s="14" t="s">
        <v>4210</v>
      </c>
      <c r="B4198" s="16" t="str">
        <f>TRIM("もと臨港緑地（住之江）")</f>
        <v>もと臨港緑地（住之江）</v>
      </c>
      <c r="C4198" s="14" t="s">
        <v>1520</v>
      </c>
      <c r="D4198" s="14" t="s">
        <v>817</v>
      </c>
      <c r="E4198" s="1">
        <v>244.22</v>
      </c>
      <c r="F4198" s="2"/>
      <c r="G4198" s="1"/>
      <c r="H4198" s="3"/>
      <c r="I4198" s="14" t="s">
        <v>4117</v>
      </c>
    </row>
    <row r="4199" spans="1:9" ht="18.75" customHeight="1" x14ac:dyDescent="0.4">
      <c r="A4199" s="14" t="s">
        <v>4332</v>
      </c>
      <c r="B4199" s="16" t="str">
        <f>TRIM("臨港道路（住之江・港営）")</f>
        <v>臨港道路（住之江・港営）</v>
      </c>
      <c r="C4199" s="14" t="s">
        <v>1520</v>
      </c>
      <c r="D4199" s="14" t="s">
        <v>817</v>
      </c>
      <c r="E4199" s="1">
        <v>9553.64</v>
      </c>
      <c r="F4199" s="2"/>
      <c r="G4199" s="12"/>
      <c r="H4199" s="3"/>
      <c r="I4199" s="14" t="s">
        <v>4117</v>
      </c>
    </row>
    <row r="4200" spans="1:9" ht="18.75" customHeight="1" x14ac:dyDescent="0.4">
      <c r="A4200" s="14" t="s">
        <v>3184</v>
      </c>
      <c r="B4200" s="16" t="str">
        <f>TRIM("　南港東公園")</f>
        <v>南港東公園</v>
      </c>
      <c r="C4200" s="14" t="s">
        <v>1520</v>
      </c>
      <c r="D4200" s="14" t="s">
        <v>1203</v>
      </c>
      <c r="E4200" s="1">
        <v>10564.67</v>
      </c>
      <c r="F4200" s="2"/>
      <c r="G4200" s="1"/>
      <c r="H4200" s="3"/>
      <c r="I4200" s="14" t="s">
        <v>2177</v>
      </c>
    </row>
    <row r="4201" spans="1:9" ht="18.75" customHeight="1" x14ac:dyDescent="0.4">
      <c r="A4201" s="14" t="s">
        <v>3713</v>
      </c>
      <c r="B4201" s="16" t="str">
        <f>TRIM("南港東公園")</f>
        <v>南港東公園</v>
      </c>
      <c r="C4201" s="14" t="s">
        <v>1520</v>
      </c>
      <c r="D4201" s="14" t="s">
        <v>1203</v>
      </c>
      <c r="E4201" s="1"/>
      <c r="F4201" s="2"/>
      <c r="G4201" s="1">
        <v>22.44</v>
      </c>
      <c r="H4201" s="3"/>
      <c r="I4201" s="14" t="s">
        <v>2177</v>
      </c>
    </row>
    <row r="4202" spans="1:9" ht="18.75" customHeight="1" x14ac:dyDescent="0.4">
      <c r="A4202" s="14" t="s">
        <v>3922</v>
      </c>
      <c r="B4202" s="16" t="str">
        <f>TRIM("南港第2自転車保管所管理事務所")</f>
        <v>南港第2自転車保管所管理事務所</v>
      </c>
      <c r="C4202" s="14" t="s">
        <v>1520</v>
      </c>
      <c r="D4202" s="14" t="s">
        <v>1203</v>
      </c>
      <c r="E4202" s="1"/>
      <c r="F4202" s="2"/>
      <c r="G4202" s="1">
        <v>4.08</v>
      </c>
      <c r="H4202" s="3"/>
      <c r="I4202" s="14" t="s">
        <v>2177</v>
      </c>
    </row>
    <row r="4203" spans="1:9" ht="18.75" customHeight="1" x14ac:dyDescent="0.4">
      <c r="A4203" s="14" t="s">
        <v>3923</v>
      </c>
      <c r="B4203" s="16" t="str">
        <f>TRIM("南港東自転車保管所管理事務所")</f>
        <v>南港東自転車保管所管理事務所</v>
      </c>
      <c r="C4203" s="14" t="s">
        <v>1520</v>
      </c>
      <c r="D4203" s="14" t="s">
        <v>1203</v>
      </c>
      <c r="E4203" s="1"/>
      <c r="F4203" s="2"/>
      <c r="G4203" s="1">
        <v>25.65</v>
      </c>
      <c r="H4203" s="3"/>
      <c r="I4203" s="14" t="s">
        <v>2177</v>
      </c>
    </row>
    <row r="4204" spans="1:9" ht="18.75" customHeight="1" x14ac:dyDescent="0.4">
      <c r="A4204" s="14"/>
      <c r="B4204" s="14" t="s">
        <v>7246</v>
      </c>
      <c r="C4204" s="14" t="s">
        <v>7225</v>
      </c>
      <c r="D4204" s="1" t="s">
        <v>7247</v>
      </c>
      <c r="E4204" s="1"/>
      <c r="F4204" s="2"/>
      <c r="G4204" s="1">
        <v>9643.98</v>
      </c>
      <c r="H4204" s="1"/>
      <c r="I4204" s="14" t="s">
        <v>7190</v>
      </c>
    </row>
    <row r="4205" spans="1:9" ht="18.75" customHeight="1" x14ac:dyDescent="0.4">
      <c r="A4205" s="14" t="s">
        <v>3921</v>
      </c>
      <c r="B4205" s="16" t="str">
        <f>TRIM("南港自転車保管所")</f>
        <v>南港自転車保管所</v>
      </c>
      <c r="C4205" s="14" t="s">
        <v>1520</v>
      </c>
      <c r="D4205" s="14" t="s">
        <v>1342</v>
      </c>
      <c r="E4205" s="1"/>
      <c r="F4205" s="2"/>
      <c r="G4205" s="1">
        <v>9.93</v>
      </c>
      <c r="H4205" s="3"/>
      <c r="I4205" s="14" t="s">
        <v>2177</v>
      </c>
    </row>
    <row r="4206" spans="1:9" ht="18.75" customHeight="1" x14ac:dyDescent="0.4">
      <c r="A4206" s="14" t="s">
        <v>4152</v>
      </c>
      <c r="B4206" s="16" t="str">
        <f>TRIM("南港コンテナふ頭港湾労働者便所")</f>
        <v>南港コンテナふ頭港湾労働者便所</v>
      </c>
      <c r="C4206" s="14" t="s">
        <v>1520</v>
      </c>
      <c r="D4206" s="14" t="s">
        <v>1342</v>
      </c>
      <c r="E4206" s="1"/>
      <c r="F4206" s="2"/>
      <c r="G4206" s="1">
        <v>30.9</v>
      </c>
      <c r="H4206" s="3"/>
      <c r="I4206" s="14" t="s">
        <v>4117</v>
      </c>
    </row>
    <row r="4207" spans="1:9" ht="18.75" customHeight="1" x14ac:dyDescent="0.4">
      <c r="A4207" s="14" t="s">
        <v>4153</v>
      </c>
      <c r="B4207" s="16" t="str">
        <f>TRIM("南港コンテナふ頭港湾労働者便所用地")</f>
        <v>南港コンテナふ頭港湾労働者便所用地</v>
      </c>
      <c r="C4207" s="14" t="s">
        <v>1520</v>
      </c>
      <c r="D4207" s="14" t="s">
        <v>1342</v>
      </c>
      <c r="E4207" s="1">
        <v>498.61</v>
      </c>
      <c r="F4207" s="2"/>
      <c r="G4207" s="1"/>
      <c r="H4207" s="3"/>
      <c r="I4207" s="14" t="s">
        <v>4117</v>
      </c>
    </row>
    <row r="4208" spans="1:9" ht="18.75" customHeight="1" x14ac:dyDescent="0.4">
      <c r="A4208" s="14" t="s">
        <v>4329</v>
      </c>
      <c r="B4208" s="16" t="str">
        <f>TRIM("荷捌地（住之江・港営）")</f>
        <v>荷捌地（住之江・港営）</v>
      </c>
      <c r="C4208" s="14" t="s">
        <v>1520</v>
      </c>
      <c r="D4208" s="14" t="s">
        <v>1342</v>
      </c>
      <c r="E4208" s="1">
        <v>59371.09</v>
      </c>
      <c r="F4208" s="2"/>
      <c r="G4208" s="12"/>
      <c r="H4208" s="3"/>
      <c r="I4208" s="14" t="s">
        <v>4117</v>
      </c>
    </row>
    <row r="4209" spans="1:9" ht="18.75" customHeight="1" x14ac:dyDescent="0.4">
      <c r="A4209" s="14"/>
      <c r="B4209" s="14" t="s">
        <v>7248</v>
      </c>
      <c r="C4209" s="14" t="s">
        <v>7225</v>
      </c>
      <c r="D4209" s="1" t="s">
        <v>7249</v>
      </c>
      <c r="E4209" s="1"/>
      <c r="F4209" s="2"/>
      <c r="G4209" s="1">
        <v>20417.05</v>
      </c>
      <c r="H4209" s="1"/>
      <c r="I4209" s="14" t="s">
        <v>7190</v>
      </c>
    </row>
    <row r="4210" spans="1:9" ht="18.75" customHeight="1" x14ac:dyDescent="0.4">
      <c r="A4210" s="14" t="s">
        <v>4184</v>
      </c>
      <c r="B4210" s="16" t="str">
        <f>TRIM("臨港道路（住之江・一般）")</f>
        <v>臨港道路（住之江・一般）</v>
      </c>
      <c r="C4210" s="14" t="s">
        <v>1520</v>
      </c>
      <c r="D4210" s="14" t="s">
        <v>1347</v>
      </c>
      <c r="E4210" s="1">
        <v>1727318.38</v>
      </c>
      <c r="F4210" s="2"/>
      <c r="G4210" s="1"/>
      <c r="H4210" s="3"/>
      <c r="I4210" s="14" t="s">
        <v>4117</v>
      </c>
    </row>
    <row r="4211" spans="1:9" ht="18.75" customHeight="1" x14ac:dyDescent="0.4">
      <c r="A4211" s="14" t="s">
        <v>3516</v>
      </c>
      <c r="B4211" s="16" t="str">
        <f>TRIM("南港中央公園")</f>
        <v>南港中央公園</v>
      </c>
      <c r="C4211" s="14" t="s">
        <v>1520</v>
      </c>
      <c r="D4211" s="14" t="s">
        <v>1299</v>
      </c>
      <c r="E4211" s="1">
        <v>208820</v>
      </c>
      <c r="F4211" s="2"/>
      <c r="G4211" s="1"/>
      <c r="H4211" s="3"/>
      <c r="I4211" s="14" t="s">
        <v>2177</v>
      </c>
    </row>
    <row r="4212" spans="1:9" ht="18.75" customHeight="1" x14ac:dyDescent="0.4">
      <c r="A4212" s="14" t="s">
        <v>3653</v>
      </c>
      <c r="B4212" s="16" t="str">
        <f>TRIM("　南港中央公園")</f>
        <v>南港中央公園</v>
      </c>
      <c r="C4212" s="14" t="s">
        <v>1520</v>
      </c>
      <c r="D4212" s="14" t="s">
        <v>1299</v>
      </c>
      <c r="E4212" s="1"/>
      <c r="F4212" s="2"/>
      <c r="G4212" s="1">
        <v>176.38</v>
      </c>
      <c r="H4212" s="3"/>
      <c r="I4212" s="14" t="s">
        <v>2177</v>
      </c>
    </row>
    <row r="4213" spans="1:9" ht="18.75" customHeight="1" x14ac:dyDescent="0.4">
      <c r="A4213" s="14" t="s">
        <v>4313</v>
      </c>
      <c r="B4213" s="16" t="str">
        <f>TRIM("南港ポートタウン駐車場")</f>
        <v>南港ポートタウン駐車場</v>
      </c>
      <c r="C4213" s="14" t="s">
        <v>1520</v>
      </c>
      <c r="D4213" s="14" t="s">
        <v>1299</v>
      </c>
      <c r="E4213" s="1">
        <v>80078.77</v>
      </c>
      <c r="F4213" s="2"/>
      <c r="G4213" s="12"/>
      <c r="H4213" s="3"/>
      <c r="I4213" s="14" t="s">
        <v>4117</v>
      </c>
    </row>
    <row r="4214" spans="1:9" ht="18.75" customHeight="1" x14ac:dyDescent="0.4">
      <c r="A4214" s="14" t="s">
        <v>4314</v>
      </c>
      <c r="B4214" s="16" t="str">
        <f>TRIM("南港埋立地")</f>
        <v>南港埋立地</v>
      </c>
      <c r="C4214" s="14" t="s">
        <v>1520</v>
      </c>
      <c r="D4214" s="14" t="s">
        <v>1299</v>
      </c>
      <c r="E4214" s="1">
        <v>595895.18999999994</v>
      </c>
      <c r="F4214" s="2"/>
      <c r="G4214" s="12"/>
      <c r="H4214" s="3"/>
      <c r="I4214" s="14" t="s">
        <v>4117</v>
      </c>
    </row>
    <row r="4215" spans="1:9" ht="18.75" customHeight="1" x14ac:dyDescent="0.4">
      <c r="A4215" s="14" t="s">
        <v>6006</v>
      </c>
      <c r="B4215" s="16" t="str">
        <f>TRIM("大気汚染常時監視測定局（南港中央公園）")</f>
        <v>大気汚染常時監視測定局（南港中央公園）</v>
      </c>
      <c r="C4215" s="14" t="s">
        <v>1520</v>
      </c>
      <c r="D4215" s="14" t="s">
        <v>1299</v>
      </c>
      <c r="E4215" s="1"/>
      <c r="F4215" s="2"/>
      <c r="G4215" s="1">
        <v>9.5</v>
      </c>
      <c r="H4215" s="3"/>
      <c r="I4215" s="14" t="s">
        <v>5977</v>
      </c>
    </row>
    <row r="4216" spans="1:9" ht="18.75" customHeight="1" x14ac:dyDescent="0.4">
      <c r="A4216" s="14" t="s">
        <v>7154</v>
      </c>
      <c r="B4216" s="16" t="str">
        <f>TRIM("南港中央野球場")</f>
        <v>南港中央野球場</v>
      </c>
      <c r="C4216" s="14" t="s">
        <v>1520</v>
      </c>
      <c r="D4216" s="14" t="s">
        <v>1299</v>
      </c>
      <c r="E4216" s="1"/>
      <c r="F4216" s="2"/>
      <c r="G4216" s="1">
        <v>3558.45</v>
      </c>
      <c r="H4216" s="3"/>
      <c r="I4216" s="14" t="s">
        <v>4115</v>
      </c>
    </row>
    <row r="4217" spans="1:9" ht="18.75" customHeight="1" x14ac:dyDescent="0.4">
      <c r="A4217" s="14"/>
      <c r="B4217" s="14" t="s">
        <v>7215</v>
      </c>
      <c r="C4217" s="14" t="s">
        <v>1543</v>
      </c>
      <c r="D4217" s="1" t="s">
        <v>7216</v>
      </c>
      <c r="E4217" s="1"/>
      <c r="F4217" s="2"/>
      <c r="G4217" s="1">
        <v>4220.04</v>
      </c>
      <c r="H4217" s="1"/>
      <c r="I4217" s="14" t="s">
        <v>7190</v>
      </c>
    </row>
    <row r="4218" spans="1:9" ht="18.75" customHeight="1" x14ac:dyDescent="0.4">
      <c r="A4218" s="14"/>
      <c r="B4218" s="14" t="s">
        <v>7217</v>
      </c>
      <c r="C4218" s="14" t="s">
        <v>1543</v>
      </c>
      <c r="D4218" s="1" t="s">
        <v>7216</v>
      </c>
      <c r="E4218" s="1"/>
      <c r="F4218" s="2"/>
      <c r="G4218" s="1">
        <v>10042.59</v>
      </c>
      <c r="H4218" s="1"/>
      <c r="I4218" s="14" t="s">
        <v>7190</v>
      </c>
    </row>
    <row r="4219" spans="1:9" ht="18.75" customHeight="1" x14ac:dyDescent="0.4">
      <c r="A4219" s="14"/>
      <c r="B4219" s="14" t="s">
        <v>7261</v>
      </c>
      <c r="C4219" s="14" t="s">
        <v>7225</v>
      </c>
      <c r="D4219" s="1" t="s">
        <v>7216</v>
      </c>
      <c r="E4219" s="1"/>
      <c r="F4219" s="2"/>
      <c r="G4219" s="1">
        <v>13456.48</v>
      </c>
      <c r="H4219" s="1"/>
      <c r="I4219" s="14" t="s">
        <v>7190</v>
      </c>
    </row>
    <row r="4220" spans="1:9" ht="18.75" customHeight="1" x14ac:dyDescent="0.4">
      <c r="A4220" s="14" t="s">
        <v>4189</v>
      </c>
      <c r="B4220" s="16" t="str">
        <f>TRIM("臨港緑地（南港）")</f>
        <v>臨港緑地（南港）</v>
      </c>
      <c r="C4220" s="14" t="s">
        <v>1520</v>
      </c>
      <c r="D4220" s="14" t="s">
        <v>1348</v>
      </c>
      <c r="E4220" s="1">
        <v>61901.27</v>
      </c>
      <c r="F4220" s="2"/>
      <c r="G4220" s="1"/>
      <c r="H4220" s="3"/>
      <c r="I4220" s="14" t="s">
        <v>4117</v>
      </c>
    </row>
    <row r="4221" spans="1:9" ht="18.75" customHeight="1" x14ac:dyDescent="0.4">
      <c r="A4221" s="14" t="s">
        <v>4209</v>
      </c>
      <c r="B4221" s="16" t="str">
        <f>TRIM("コンテナ車整理場（一般）")</f>
        <v>コンテナ車整理場（一般）</v>
      </c>
      <c r="C4221" s="14" t="s">
        <v>1520</v>
      </c>
      <c r="D4221" s="14" t="s">
        <v>1348</v>
      </c>
      <c r="E4221" s="1">
        <v>18714.919999999998</v>
      </c>
      <c r="F4221" s="2"/>
      <c r="G4221" s="1"/>
      <c r="H4221" s="3"/>
      <c r="I4221" s="14" t="s">
        <v>4117</v>
      </c>
    </row>
    <row r="4222" spans="1:9" ht="18.75" customHeight="1" x14ac:dyDescent="0.4">
      <c r="A4222" s="14" t="s">
        <v>4090</v>
      </c>
      <c r="B4222" s="16" t="str">
        <f>TRIM("南港第1抽水所")</f>
        <v>南港第1抽水所</v>
      </c>
      <c r="C4222" s="14" t="s">
        <v>1520</v>
      </c>
      <c r="D4222" s="14" t="s">
        <v>689</v>
      </c>
      <c r="E4222" s="1">
        <v>9979</v>
      </c>
      <c r="F4222" s="2">
        <v>554</v>
      </c>
      <c r="G4222" s="1">
        <v>601.71</v>
      </c>
      <c r="H4222" s="3"/>
      <c r="I4222" s="14" t="s">
        <v>2177</v>
      </c>
    </row>
    <row r="4223" spans="1:9" ht="18.75" customHeight="1" x14ac:dyDescent="0.4">
      <c r="A4223" s="14" t="s">
        <v>4290</v>
      </c>
      <c r="B4223" s="16" t="str">
        <f>TRIM("護岸敷（住之江・港営）")</f>
        <v>護岸敷（住之江・港営）</v>
      </c>
      <c r="C4223" s="14" t="s">
        <v>1520</v>
      </c>
      <c r="D4223" s="14" t="s">
        <v>689</v>
      </c>
      <c r="E4223" s="1">
        <v>10098.75</v>
      </c>
      <c r="F4223" s="2"/>
      <c r="G4223" s="12"/>
      <c r="H4223" s="3"/>
      <c r="I4223" s="14" t="s">
        <v>4117</v>
      </c>
    </row>
    <row r="4224" spans="1:9" ht="18.75" customHeight="1" x14ac:dyDescent="0.4">
      <c r="A4224" s="14" t="s">
        <v>6087</v>
      </c>
      <c r="B4224" s="16" t="str">
        <f>TRIM("もと南港工場")</f>
        <v>もと南港工場</v>
      </c>
      <c r="C4224" s="14" t="s">
        <v>1520</v>
      </c>
      <c r="D4224" s="14" t="s">
        <v>689</v>
      </c>
      <c r="E4224" s="1">
        <v>12676.69</v>
      </c>
      <c r="F4224" s="2"/>
      <c r="G4224" s="1"/>
      <c r="H4224" s="3"/>
      <c r="I4224" s="14" t="s">
        <v>5977</v>
      </c>
    </row>
    <row r="4225" spans="1:9" ht="18.75" customHeight="1" x14ac:dyDescent="0.4">
      <c r="A4225" s="14"/>
      <c r="B4225" s="14" t="s">
        <v>7244</v>
      </c>
      <c r="C4225" s="14" t="s">
        <v>7225</v>
      </c>
      <c r="D4225" s="1" t="s">
        <v>7245</v>
      </c>
      <c r="E4225" s="1"/>
      <c r="F4225" s="2"/>
      <c r="G4225" s="1">
        <v>7873.09</v>
      </c>
      <c r="H4225" s="1"/>
      <c r="I4225" s="14" t="s">
        <v>7190</v>
      </c>
    </row>
    <row r="4226" spans="1:9" ht="18.75" customHeight="1" x14ac:dyDescent="0.4">
      <c r="A4226" s="14" t="s">
        <v>4164</v>
      </c>
      <c r="B4226" s="16" t="str">
        <f>TRIM("地震計室")</f>
        <v>地震計室</v>
      </c>
      <c r="C4226" s="14" t="s">
        <v>1520</v>
      </c>
      <c r="D4226" s="14" t="s">
        <v>1353</v>
      </c>
      <c r="E4226" s="1"/>
      <c r="F4226" s="2"/>
      <c r="G4226" s="1">
        <v>4.62</v>
      </c>
      <c r="H4226" s="3"/>
      <c r="I4226" s="14" t="s">
        <v>4117</v>
      </c>
    </row>
    <row r="4227" spans="1:9" ht="18.75" customHeight="1" x14ac:dyDescent="0.4">
      <c r="A4227" s="14" t="s">
        <v>4233</v>
      </c>
      <c r="B4227" s="16" t="str">
        <f>TRIM("岸壁（住之江）")</f>
        <v>岸壁（住之江）</v>
      </c>
      <c r="C4227" s="14" t="s">
        <v>1520</v>
      </c>
      <c r="D4227" s="14" t="s">
        <v>1353</v>
      </c>
      <c r="E4227" s="1">
        <v>148497.93</v>
      </c>
      <c r="F4227" s="2"/>
      <c r="G4227" s="1"/>
      <c r="H4227" s="3"/>
      <c r="I4227" s="14" t="s">
        <v>4117</v>
      </c>
    </row>
    <row r="4228" spans="1:9" ht="18.75" customHeight="1" x14ac:dyDescent="0.4">
      <c r="A4228" s="14" t="s">
        <v>4288</v>
      </c>
      <c r="B4228" s="16" t="str">
        <f>TRIM("岸壁（住之江）")</f>
        <v>岸壁（住之江）</v>
      </c>
      <c r="C4228" s="14" t="s">
        <v>1520</v>
      </c>
      <c r="D4228" s="14" t="s">
        <v>1353</v>
      </c>
      <c r="E4228" s="1">
        <v>12212.64</v>
      </c>
      <c r="F4228" s="2"/>
      <c r="G4228" s="12"/>
      <c r="H4228" s="3"/>
      <c r="I4228" s="14" t="s">
        <v>4117</v>
      </c>
    </row>
    <row r="4229" spans="1:9" ht="18.75" customHeight="1" x14ac:dyDescent="0.4">
      <c r="A4229" s="14"/>
      <c r="B4229" s="14" t="s">
        <v>7218</v>
      </c>
      <c r="C4229" s="14" t="s">
        <v>1543</v>
      </c>
      <c r="D4229" s="1" t="s">
        <v>7219</v>
      </c>
      <c r="E4229" s="1"/>
      <c r="F4229" s="2"/>
      <c r="G4229" s="1">
        <v>10808.15</v>
      </c>
      <c r="H4229" s="1"/>
      <c r="I4229" s="14" t="s">
        <v>7190</v>
      </c>
    </row>
    <row r="4230" spans="1:9" ht="18.75" customHeight="1" x14ac:dyDescent="0.4">
      <c r="A4230" s="14"/>
      <c r="B4230" s="14" t="s">
        <v>7220</v>
      </c>
      <c r="C4230" s="14" t="s">
        <v>1543</v>
      </c>
      <c r="D4230" s="1" t="s">
        <v>7219</v>
      </c>
      <c r="E4230" s="1"/>
      <c r="F4230" s="2"/>
      <c r="G4230" s="1">
        <v>17.18</v>
      </c>
      <c r="H4230" s="1"/>
      <c r="I4230" s="14" t="s">
        <v>7190</v>
      </c>
    </row>
    <row r="4231" spans="1:9" ht="18.75" customHeight="1" x14ac:dyDescent="0.4">
      <c r="A4231" s="14"/>
      <c r="B4231" s="14" t="s">
        <v>7242</v>
      </c>
      <c r="C4231" s="14" t="s">
        <v>7225</v>
      </c>
      <c r="D4231" s="1" t="s">
        <v>7219</v>
      </c>
      <c r="E4231" s="1"/>
      <c r="F4231" s="2"/>
      <c r="G4231" s="1">
        <v>18429.759999999998</v>
      </c>
      <c r="H4231" s="1"/>
      <c r="I4231" s="14" t="s">
        <v>7190</v>
      </c>
    </row>
    <row r="4232" spans="1:9" ht="18.75" customHeight="1" x14ac:dyDescent="0.4">
      <c r="A4232" s="14"/>
      <c r="B4232" s="14" t="s">
        <v>7243</v>
      </c>
      <c r="C4232" s="14" t="s">
        <v>7225</v>
      </c>
      <c r="D4232" s="1" t="s">
        <v>7219</v>
      </c>
      <c r="E4232" s="1"/>
      <c r="F4232" s="2"/>
      <c r="G4232" s="1">
        <v>13175.68</v>
      </c>
      <c r="H4232" s="1"/>
      <c r="I4232" s="14" t="s">
        <v>7190</v>
      </c>
    </row>
    <row r="4233" spans="1:9" ht="18.75" customHeight="1" x14ac:dyDescent="0.4">
      <c r="A4233" s="14"/>
      <c r="B4233" s="14" t="s">
        <v>7254</v>
      </c>
      <c r="C4233" s="14" t="s">
        <v>7225</v>
      </c>
      <c r="D4233" s="1" t="s">
        <v>7255</v>
      </c>
      <c r="E4233" s="1"/>
      <c r="F4233" s="2"/>
      <c r="G4233" s="1">
        <v>215.28</v>
      </c>
      <c r="H4233" s="1"/>
      <c r="I4233" s="14" t="s">
        <v>7190</v>
      </c>
    </row>
    <row r="4234" spans="1:9" ht="18.75" customHeight="1" x14ac:dyDescent="0.4">
      <c r="A4234" s="14" t="s">
        <v>4092</v>
      </c>
      <c r="B4234" s="16" t="str">
        <f>TRIM("南港第3抽水所")</f>
        <v>南港第3抽水所</v>
      </c>
      <c r="C4234" s="14" t="s">
        <v>1520</v>
      </c>
      <c r="D4234" s="14" t="s">
        <v>1333</v>
      </c>
      <c r="E4234" s="1">
        <v>7108.04</v>
      </c>
      <c r="F4234" s="2"/>
      <c r="G4234" s="1">
        <v>579.59</v>
      </c>
      <c r="H4234" s="3"/>
      <c r="I4234" s="14" t="s">
        <v>2177</v>
      </c>
    </row>
    <row r="4235" spans="1:9" ht="18.75" customHeight="1" x14ac:dyDescent="0.4">
      <c r="A4235" s="14" t="s">
        <v>7160</v>
      </c>
      <c r="B4235" s="16" t="str">
        <f>TRIM("中央卸売市場南港市場")</f>
        <v>中央卸売市場南港市場</v>
      </c>
      <c r="C4235" s="14" t="s">
        <v>1520</v>
      </c>
      <c r="D4235" s="14" t="s">
        <v>91</v>
      </c>
      <c r="E4235" s="1">
        <v>100078.87</v>
      </c>
      <c r="F4235" s="2"/>
      <c r="G4235" s="1">
        <v>31037.56</v>
      </c>
      <c r="H4235" s="3"/>
      <c r="I4235" s="14" t="s">
        <v>7159</v>
      </c>
    </row>
    <row r="4236" spans="1:9" ht="18.75" customHeight="1" x14ac:dyDescent="0.4">
      <c r="A4236" s="14" t="s">
        <v>4206</v>
      </c>
      <c r="B4236" s="16" t="str">
        <f>TRIM("公園（住之江区南港南）")</f>
        <v>公園（住之江区南港南）</v>
      </c>
      <c r="C4236" s="14" t="s">
        <v>1520</v>
      </c>
      <c r="D4236" s="14" t="s">
        <v>1343</v>
      </c>
      <c r="E4236" s="1">
        <v>39015.25</v>
      </c>
      <c r="F4236" s="2">
        <v>1925</v>
      </c>
      <c r="G4236" s="1"/>
      <c r="H4236" s="3"/>
      <c r="I4236" s="14" t="s">
        <v>4117</v>
      </c>
    </row>
    <row r="4237" spans="1:9" ht="18.75" customHeight="1" x14ac:dyDescent="0.4">
      <c r="A4237" s="14" t="s">
        <v>4157</v>
      </c>
      <c r="B4237" s="16" t="str">
        <f>TRIM("南港南ふ頭港湾労働者便所")</f>
        <v>南港南ふ頭港湾労働者便所</v>
      </c>
      <c r="C4237" s="14" t="s">
        <v>1520</v>
      </c>
      <c r="D4237" s="14" t="s">
        <v>1343</v>
      </c>
      <c r="E4237" s="1"/>
      <c r="F4237" s="2"/>
      <c r="G4237" s="1">
        <v>21.41</v>
      </c>
      <c r="H4237" s="3"/>
      <c r="I4237" s="14" t="s">
        <v>4117</v>
      </c>
    </row>
    <row r="4238" spans="1:9" ht="18.75" customHeight="1" x14ac:dyDescent="0.4">
      <c r="A4238" s="14" t="s">
        <v>4158</v>
      </c>
      <c r="B4238" s="16" t="str">
        <f>TRIM("南港南ふ頭港湾労働者便所用地")</f>
        <v>南港南ふ頭港湾労働者便所用地</v>
      </c>
      <c r="C4238" s="14" t="s">
        <v>1520</v>
      </c>
      <c r="D4238" s="14" t="s">
        <v>1343</v>
      </c>
      <c r="E4238" s="1">
        <v>204.54</v>
      </c>
      <c r="F4238" s="2"/>
      <c r="G4238" s="1"/>
      <c r="H4238" s="3"/>
      <c r="I4238" s="14" t="s">
        <v>4117</v>
      </c>
    </row>
    <row r="4239" spans="1:9" ht="18.75" customHeight="1" x14ac:dyDescent="0.4">
      <c r="A4239" s="14" t="s">
        <v>4172</v>
      </c>
      <c r="B4239" s="16" t="str">
        <f>TRIM("大阪南港海水遊泳場")</f>
        <v>大阪南港海水遊泳場</v>
      </c>
      <c r="C4239" s="14" t="s">
        <v>1520</v>
      </c>
      <c r="D4239" s="14" t="s">
        <v>1343</v>
      </c>
      <c r="E4239" s="1"/>
      <c r="F4239" s="2"/>
      <c r="G4239" s="1">
        <v>43.56</v>
      </c>
      <c r="H4239" s="3"/>
      <c r="I4239" s="14" t="s">
        <v>4117</v>
      </c>
    </row>
    <row r="4240" spans="1:9" ht="18.75" customHeight="1" x14ac:dyDescent="0.4">
      <c r="A4240" s="14"/>
      <c r="B4240" s="14" t="s">
        <v>7221</v>
      </c>
      <c r="C4240" s="14" t="s">
        <v>1543</v>
      </c>
      <c r="D4240" s="1" t="s">
        <v>7222</v>
      </c>
      <c r="E4240" s="1"/>
      <c r="F4240" s="2"/>
      <c r="G4240" s="1">
        <v>107.17</v>
      </c>
      <c r="H4240" s="1"/>
      <c r="I4240" s="14" t="s">
        <v>7190</v>
      </c>
    </row>
    <row r="4241" spans="1:9" ht="18.75" customHeight="1" x14ac:dyDescent="0.4">
      <c r="A4241" s="14"/>
      <c r="B4241" s="14" t="s">
        <v>7223</v>
      </c>
      <c r="C4241" s="14" t="s">
        <v>1543</v>
      </c>
      <c r="D4241" s="1" t="s">
        <v>7222</v>
      </c>
      <c r="E4241" s="1"/>
      <c r="F4241" s="2"/>
      <c r="G4241" s="1">
        <v>420</v>
      </c>
      <c r="H4241" s="1"/>
      <c r="I4241" s="14" t="s">
        <v>7190</v>
      </c>
    </row>
    <row r="4242" spans="1:9" ht="18.75" customHeight="1" x14ac:dyDescent="0.4">
      <c r="A4242" s="14" t="s">
        <v>4225</v>
      </c>
      <c r="B4242" s="16" t="str">
        <f>TRIM("大阪南港船舶通航信号所")</f>
        <v>大阪南港船舶通航信号所</v>
      </c>
      <c r="C4242" s="14" t="s">
        <v>1520</v>
      </c>
      <c r="D4242" s="14" t="s">
        <v>1504</v>
      </c>
      <c r="E4242" s="1"/>
      <c r="F4242" s="2"/>
      <c r="G4242" s="1">
        <v>20.12</v>
      </c>
      <c r="H4242" s="3"/>
      <c r="I4242" s="14" t="s">
        <v>4117</v>
      </c>
    </row>
    <row r="4243" spans="1:9" ht="18.75" customHeight="1" x14ac:dyDescent="0.4">
      <c r="A4243" s="14"/>
      <c r="B4243" s="14" t="s">
        <v>7250</v>
      </c>
      <c r="C4243" s="14" t="s">
        <v>7225</v>
      </c>
      <c r="D4243" s="1" t="s">
        <v>7251</v>
      </c>
      <c r="E4243" s="1"/>
      <c r="F4243" s="2"/>
      <c r="G4243" s="1">
        <v>6290.75</v>
      </c>
      <c r="H4243" s="1"/>
      <c r="I4243" s="14" t="s">
        <v>7190</v>
      </c>
    </row>
    <row r="4244" spans="1:9" ht="18.75" customHeight="1" x14ac:dyDescent="0.4">
      <c r="A4244" s="14" t="s">
        <v>4743</v>
      </c>
      <c r="B4244" s="16" t="str">
        <f>TRIM("加賀屋中学校")</f>
        <v>加賀屋中学校</v>
      </c>
      <c r="C4244" s="14" t="s">
        <v>1520</v>
      </c>
      <c r="D4244" s="14" t="s">
        <v>1386</v>
      </c>
      <c r="E4244" s="1">
        <v>17090.78</v>
      </c>
      <c r="F4244" s="2"/>
      <c r="G4244" s="1">
        <v>8480.6299999999992</v>
      </c>
      <c r="H4244" s="3"/>
      <c r="I4244" s="14" t="s">
        <v>4689</v>
      </c>
    </row>
    <row r="4245" spans="1:9" ht="18.75" customHeight="1" x14ac:dyDescent="0.4">
      <c r="A4245" s="14" t="s">
        <v>2913</v>
      </c>
      <c r="B4245" s="16" t="str">
        <f>TRIM("　西加賀屋公園")</f>
        <v>西加賀屋公園</v>
      </c>
      <c r="C4245" s="14" t="s">
        <v>1520</v>
      </c>
      <c r="D4245" s="14" t="s">
        <v>1110</v>
      </c>
      <c r="E4245" s="1">
        <v>3072.8</v>
      </c>
      <c r="F4245" s="2"/>
      <c r="G4245" s="1"/>
      <c r="H4245" s="3"/>
      <c r="I4245" s="14" t="s">
        <v>2177</v>
      </c>
    </row>
    <row r="4246" spans="1:9" ht="18.75" customHeight="1" x14ac:dyDescent="0.4">
      <c r="A4246" s="14" t="s">
        <v>5608</v>
      </c>
      <c r="B4246" s="16" t="str">
        <f>TRIM("西加賀屋用地")</f>
        <v>西加賀屋用地</v>
      </c>
      <c r="C4246" s="14" t="s">
        <v>1520</v>
      </c>
      <c r="D4246" s="14" t="s">
        <v>307</v>
      </c>
      <c r="E4246" s="1">
        <v>4639.07</v>
      </c>
      <c r="F4246" s="2"/>
      <c r="G4246" s="1"/>
      <c r="H4246" s="3"/>
      <c r="I4246" s="14" t="s">
        <v>5349</v>
      </c>
    </row>
    <row r="4247" spans="1:9" ht="18.75" customHeight="1" x14ac:dyDescent="0.4">
      <c r="A4247" s="14" t="s">
        <v>5716</v>
      </c>
      <c r="B4247" s="16" t="str">
        <f>TRIM("きのみむすび保育園")</f>
        <v>きのみむすび保育園</v>
      </c>
      <c r="C4247" s="14" t="s">
        <v>1520</v>
      </c>
      <c r="D4247" s="14" t="s">
        <v>307</v>
      </c>
      <c r="E4247" s="1">
        <v>942.29</v>
      </c>
      <c r="F4247" s="2"/>
      <c r="G4247" s="1"/>
      <c r="H4247" s="3"/>
      <c r="I4247" s="14" t="s">
        <v>5617</v>
      </c>
    </row>
    <row r="4248" spans="1:9" ht="18.75" customHeight="1" x14ac:dyDescent="0.4">
      <c r="A4248" s="14" t="s">
        <v>2322</v>
      </c>
      <c r="B4248" s="16" t="str">
        <f>TRIM("廃道（住之江）")</f>
        <v>廃道（住之江）</v>
      </c>
      <c r="C4248" s="14" t="s">
        <v>1520</v>
      </c>
      <c r="D4248" s="14" t="s">
        <v>962</v>
      </c>
      <c r="E4248" s="1">
        <v>14.43</v>
      </c>
      <c r="F4248" s="2"/>
      <c r="G4248" s="1"/>
      <c r="H4248" s="3"/>
      <c r="I4248" s="14" t="s">
        <v>2177</v>
      </c>
    </row>
    <row r="4249" spans="1:9" ht="18.75" customHeight="1" x14ac:dyDescent="0.4">
      <c r="A4249" s="14" t="s">
        <v>2923</v>
      </c>
      <c r="B4249" s="16" t="str">
        <f>TRIM("　西住之江公園")</f>
        <v>西住之江公園</v>
      </c>
      <c r="C4249" s="14" t="s">
        <v>1520</v>
      </c>
      <c r="D4249" s="14" t="s">
        <v>962</v>
      </c>
      <c r="E4249" s="1">
        <v>516.54</v>
      </c>
      <c r="F4249" s="2"/>
      <c r="G4249" s="1"/>
      <c r="H4249" s="3"/>
      <c r="I4249" s="14" t="s">
        <v>2177</v>
      </c>
    </row>
    <row r="4250" spans="1:9" ht="18.75" customHeight="1" x14ac:dyDescent="0.4">
      <c r="A4250" s="14" t="s">
        <v>3247</v>
      </c>
      <c r="B4250" s="16" t="str">
        <f>TRIM("　浜口東公園")</f>
        <v>浜口東公園</v>
      </c>
      <c r="C4250" s="14" t="s">
        <v>1520</v>
      </c>
      <c r="D4250" s="14" t="s">
        <v>962</v>
      </c>
      <c r="E4250" s="1">
        <v>2469.2399999999998</v>
      </c>
      <c r="F4250" s="2"/>
      <c r="G4250" s="1"/>
      <c r="H4250" s="3"/>
      <c r="I4250" s="14" t="s">
        <v>2177</v>
      </c>
    </row>
    <row r="4251" spans="1:9" ht="18.75" customHeight="1" x14ac:dyDescent="0.4">
      <c r="A4251" s="14" t="s">
        <v>2924</v>
      </c>
      <c r="B4251" s="16" t="str">
        <f>TRIM("　西住之江中公園")</f>
        <v>西住之江中公園</v>
      </c>
      <c r="C4251" s="14" t="s">
        <v>1520</v>
      </c>
      <c r="D4251" s="14" t="s">
        <v>1113</v>
      </c>
      <c r="E4251" s="1">
        <v>425.16</v>
      </c>
      <c r="F4251" s="2"/>
      <c r="G4251" s="1"/>
      <c r="H4251" s="3"/>
      <c r="I4251" s="14" t="s">
        <v>2177</v>
      </c>
    </row>
    <row r="4252" spans="1:9" ht="18.75" customHeight="1" x14ac:dyDescent="0.4">
      <c r="A4252" s="14" t="s">
        <v>3827</v>
      </c>
      <c r="B4252" s="16" t="str">
        <f>TRIM("住之江駅自転車駐車場")</f>
        <v>住之江駅自転車駐車場</v>
      </c>
      <c r="C4252" s="14" t="s">
        <v>1520</v>
      </c>
      <c r="D4252" s="14" t="s">
        <v>1113</v>
      </c>
      <c r="E4252" s="1"/>
      <c r="F4252" s="2"/>
      <c r="G4252" s="1">
        <v>1095.68</v>
      </c>
      <c r="H4252" s="3"/>
      <c r="I4252" s="14" t="s">
        <v>2177</v>
      </c>
    </row>
    <row r="4253" spans="1:9" ht="18.75" customHeight="1" x14ac:dyDescent="0.4">
      <c r="A4253" s="14" t="s">
        <v>4713</v>
      </c>
      <c r="B4253" s="16" t="str">
        <f>TRIM("安立小学校代替地")</f>
        <v>安立小学校代替地</v>
      </c>
      <c r="C4253" s="14" t="s">
        <v>1520</v>
      </c>
      <c r="D4253" s="14" t="s">
        <v>1113</v>
      </c>
      <c r="E4253" s="1">
        <v>3.7</v>
      </c>
      <c r="F4253" s="2"/>
      <c r="G4253" s="1"/>
      <c r="H4253" s="3"/>
      <c r="I4253" s="14" t="s">
        <v>4689</v>
      </c>
    </row>
    <row r="4254" spans="1:9" ht="18.75" customHeight="1" x14ac:dyDescent="0.4">
      <c r="A4254" s="14" t="s">
        <v>6456</v>
      </c>
      <c r="B4254" s="16" t="str">
        <f>TRIM("西住之江住宅")</f>
        <v>西住之江住宅</v>
      </c>
      <c r="C4254" s="14" t="s">
        <v>1520</v>
      </c>
      <c r="D4254" s="14" t="s">
        <v>625</v>
      </c>
      <c r="E4254" s="1">
        <v>20682.62</v>
      </c>
      <c r="F4254" s="2">
        <v>556</v>
      </c>
      <c r="G4254" s="1">
        <v>17660.740000000002</v>
      </c>
      <c r="H4254" s="3"/>
      <c r="I4254" s="14" t="s">
        <v>6177</v>
      </c>
    </row>
    <row r="4255" spans="1:9" ht="18.75" customHeight="1" x14ac:dyDescent="0.4">
      <c r="A4255" s="14" t="s">
        <v>2925</v>
      </c>
      <c r="B4255" s="16" t="str">
        <f>TRIM("　西住之江南公園")</f>
        <v>西住之江南公園</v>
      </c>
      <c r="C4255" s="14" t="s">
        <v>1520</v>
      </c>
      <c r="D4255" s="14" t="s">
        <v>625</v>
      </c>
      <c r="E4255" s="1">
        <v>690.93</v>
      </c>
      <c r="F4255" s="2"/>
      <c r="G4255" s="1"/>
      <c r="H4255" s="3"/>
      <c r="I4255" s="14" t="s">
        <v>2177</v>
      </c>
    </row>
    <row r="4256" spans="1:9" ht="18.75" customHeight="1" x14ac:dyDescent="0.4">
      <c r="A4256" s="14" t="s">
        <v>6099</v>
      </c>
      <c r="B4256" s="16" t="str">
        <f>TRIM("安立南霊園")</f>
        <v>安立南霊園</v>
      </c>
      <c r="C4256" s="14" t="s">
        <v>1520</v>
      </c>
      <c r="D4256" s="14" t="s">
        <v>625</v>
      </c>
      <c r="E4256" s="1">
        <v>1415.07</v>
      </c>
      <c r="F4256" s="2"/>
      <c r="G4256" s="1"/>
      <c r="H4256" s="3"/>
      <c r="I4256" s="14" t="s">
        <v>5977</v>
      </c>
    </row>
    <row r="4257" spans="1:9" ht="18.75" customHeight="1" x14ac:dyDescent="0.4">
      <c r="A4257" s="14" t="s">
        <v>2466</v>
      </c>
      <c r="B4257" s="16" t="str">
        <f>TRIM("運河（住之江）")</f>
        <v>運河（住之江）</v>
      </c>
      <c r="C4257" s="14" t="s">
        <v>1520</v>
      </c>
      <c r="D4257" s="14" t="s">
        <v>1305</v>
      </c>
      <c r="E4257" s="1">
        <v>7.33</v>
      </c>
      <c r="F4257" s="2"/>
      <c r="G4257" s="1"/>
      <c r="H4257" s="3"/>
      <c r="I4257" s="14" t="s">
        <v>2177</v>
      </c>
    </row>
    <row r="4258" spans="1:9" ht="18.75" customHeight="1" x14ac:dyDescent="0.4">
      <c r="A4258" s="14" t="s">
        <v>2475</v>
      </c>
      <c r="B4258" s="16" t="str">
        <f>TRIM("河川敷（住之江）")</f>
        <v>河川敷（住之江）</v>
      </c>
      <c r="C4258" s="14" t="s">
        <v>1520</v>
      </c>
      <c r="D4258" s="14" t="s">
        <v>1222</v>
      </c>
      <c r="E4258" s="1">
        <v>438.28</v>
      </c>
      <c r="F4258" s="2"/>
      <c r="G4258" s="1"/>
      <c r="H4258" s="3"/>
      <c r="I4258" s="14" t="s">
        <v>2177</v>
      </c>
    </row>
    <row r="4259" spans="1:9" ht="18.75" customHeight="1" x14ac:dyDescent="0.4">
      <c r="A4259" s="14" t="s">
        <v>3246</v>
      </c>
      <c r="B4259" s="16" t="str">
        <f>TRIM("　浜口西公園")</f>
        <v>浜口西公園</v>
      </c>
      <c r="C4259" s="14" t="s">
        <v>1520</v>
      </c>
      <c r="D4259" s="14" t="s">
        <v>1222</v>
      </c>
      <c r="E4259" s="1">
        <v>1685.95</v>
      </c>
      <c r="F4259" s="2"/>
      <c r="G4259" s="1"/>
      <c r="H4259" s="3"/>
      <c r="I4259" s="14" t="s">
        <v>2177</v>
      </c>
    </row>
    <row r="4260" spans="1:9" ht="18.75" customHeight="1" x14ac:dyDescent="0.4">
      <c r="A4260" s="14" t="s">
        <v>5921</v>
      </c>
      <c r="B4260" s="16" t="str">
        <f>TRIM("浜口保育所")</f>
        <v>浜口保育所</v>
      </c>
      <c r="C4260" s="14" t="s">
        <v>1520</v>
      </c>
      <c r="D4260" s="14" t="s">
        <v>597</v>
      </c>
      <c r="E4260" s="1">
        <v>1366.8</v>
      </c>
      <c r="F4260" s="2"/>
      <c r="G4260" s="1">
        <v>446.48</v>
      </c>
      <c r="H4260" s="3"/>
      <c r="I4260" s="14" t="s">
        <v>5617</v>
      </c>
    </row>
    <row r="4261" spans="1:9" ht="18.75" customHeight="1" x14ac:dyDescent="0.4">
      <c r="A4261" s="14" t="s">
        <v>3245</v>
      </c>
      <c r="B4261" s="16" t="str">
        <f>TRIM("　浜口公園")</f>
        <v>浜口公園</v>
      </c>
      <c r="C4261" s="14" t="s">
        <v>1520</v>
      </c>
      <c r="D4261" s="14" t="s">
        <v>597</v>
      </c>
      <c r="E4261" s="1">
        <v>1831.39</v>
      </c>
      <c r="F4261" s="2"/>
      <c r="G4261" s="1"/>
      <c r="H4261" s="3"/>
      <c r="I4261" s="14" t="s">
        <v>2177</v>
      </c>
    </row>
    <row r="4262" spans="1:9" ht="18.75" customHeight="1" x14ac:dyDescent="0.4">
      <c r="A4262" s="14" t="s">
        <v>3665</v>
      </c>
      <c r="B4262" s="16" t="str">
        <f>TRIM("　浜口公園")</f>
        <v>浜口公園</v>
      </c>
      <c r="C4262" s="14" t="s">
        <v>1520</v>
      </c>
      <c r="D4262" s="14" t="s">
        <v>597</v>
      </c>
      <c r="E4262" s="1"/>
      <c r="F4262" s="2"/>
      <c r="G4262" s="1">
        <v>19.2</v>
      </c>
      <c r="H4262" s="3"/>
      <c r="I4262" s="14" t="s">
        <v>2177</v>
      </c>
    </row>
    <row r="4263" spans="1:9" ht="18.75" customHeight="1" x14ac:dyDescent="0.4">
      <c r="A4263" s="14" t="s">
        <v>5666</v>
      </c>
      <c r="B4263" s="16" t="str">
        <f>TRIM("もと住之江勤労青少年ホーム")</f>
        <v>もと住之江勤労青少年ホーム</v>
      </c>
      <c r="C4263" s="14" t="s">
        <v>1520</v>
      </c>
      <c r="D4263" s="14" t="s">
        <v>597</v>
      </c>
      <c r="E4263" s="1"/>
      <c r="F4263" s="2"/>
      <c r="G4263" s="1">
        <v>656.6</v>
      </c>
      <c r="H4263" s="3" t="s">
        <v>7353</v>
      </c>
      <c r="I4263" s="14" t="s">
        <v>5617</v>
      </c>
    </row>
    <row r="4264" spans="1:9" ht="18.75" customHeight="1" x14ac:dyDescent="0.4">
      <c r="A4264" s="14" t="s">
        <v>1923</v>
      </c>
      <c r="B4264" s="16" t="str">
        <f>TRIM("特別養護老人ホームグルメ杵屋社会貢献の家・住吉第一地域在宅サービスステーション")</f>
        <v>特別養護老人ホームグルメ杵屋社会貢献の家・住吉第一地域在宅サービスステーション</v>
      </c>
      <c r="C4264" s="14" t="s">
        <v>1520</v>
      </c>
      <c r="D4264" s="14" t="s">
        <v>408</v>
      </c>
      <c r="E4264" s="1">
        <v>1861.81</v>
      </c>
      <c r="F4264" s="2"/>
      <c r="G4264" s="1"/>
      <c r="H4264" s="3"/>
      <c r="I4264" s="14" t="s">
        <v>1654</v>
      </c>
    </row>
    <row r="4265" spans="1:9" ht="18.75" customHeight="1" x14ac:dyDescent="0.4">
      <c r="A4265" s="14" t="s">
        <v>4052</v>
      </c>
      <c r="B4265" s="16" t="str">
        <f>TRIM("住之江下水処理場細井川取入口")</f>
        <v>住之江下水処理場細井川取入口</v>
      </c>
      <c r="C4265" s="14" t="s">
        <v>1520</v>
      </c>
      <c r="D4265" s="14" t="s">
        <v>408</v>
      </c>
      <c r="E4265" s="1">
        <v>113.52</v>
      </c>
      <c r="F4265" s="2"/>
      <c r="G4265" s="1"/>
      <c r="H4265" s="3"/>
      <c r="I4265" s="14" t="s">
        <v>2177</v>
      </c>
    </row>
    <row r="4266" spans="1:9" ht="18.75" customHeight="1" x14ac:dyDescent="0.4">
      <c r="A4266" s="14" t="s">
        <v>4603</v>
      </c>
      <c r="B4266" s="16" t="str">
        <f>TRIM("住之江区保健福祉センター")</f>
        <v>住之江区保健福祉センター</v>
      </c>
      <c r="C4266" s="14" t="s">
        <v>1520</v>
      </c>
      <c r="D4266" s="14" t="s">
        <v>1466</v>
      </c>
      <c r="E4266" s="1">
        <v>1675.52</v>
      </c>
      <c r="F4266" s="2"/>
      <c r="G4266" s="1">
        <v>1332.06</v>
      </c>
      <c r="H4266" s="3"/>
      <c r="I4266" s="14" t="s">
        <v>1994</v>
      </c>
    </row>
    <row r="4267" spans="1:9" ht="18.75" customHeight="1" x14ac:dyDescent="0.4">
      <c r="A4267" s="14" t="s">
        <v>4744</v>
      </c>
      <c r="B4267" s="16" t="str">
        <f>TRIM("加賀屋東小学校")</f>
        <v>加賀屋東小学校</v>
      </c>
      <c r="C4267" s="14" t="s">
        <v>1520</v>
      </c>
      <c r="D4267" s="14" t="s">
        <v>211</v>
      </c>
      <c r="E4267" s="1">
        <v>12589.39</v>
      </c>
      <c r="F4267" s="2"/>
      <c r="G4267" s="1">
        <v>8176.51</v>
      </c>
      <c r="H4267" s="3"/>
      <c r="I4267" s="14" t="s">
        <v>4689</v>
      </c>
    </row>
    <row r="4268" spans="1:9" ht="18.75" customHeight="1" x14ac:dyDescent="0.4">
      <c r="A4268" s="14" t="s">
        <v>6572</v>
      </c>
      <c r="B4268" s="16" t="str">
        <f>TRIM("東加賀屋住宅")</f>
        <v>東加賀屋住宅</v>
      </c>
      <c r="C4268" s="14" t="s">
        <v>1520</v>
      </c>
      <c r="D4268" s="14" t="s">
        <v>211</v>
      </c>
      <c r="E4268" s="1">
        <v>24557.7</v>
      </c>
      <c r="F4268" s="2"/>
      <c r="G4268" s="1">
        <v>22374.06</v>
      </c>
      <c r="H4268" s="3"/>
      <c r="I4268" s="14" t="s">
        <v>6177</v>
      </c>
    </row>
    <row r="4269" spans="1:9" ht="18.75" customHeight="1" x14ac:dyDescent="0.4">
      <c r="A4269" s="14" t="s">
        <v>2173</v>
      </c>
      <c r="B4269" s="16" t="str">
        <f>TRIM("住吉市民病院跡地整備用地")</f>
        <v>住吉市民病院跡地整備用地</v>
      </c>
      <c r="C4269" s="14" t="s">
        <v>1520</v>
      </c>
      <c r="D4269" s="14" t="s">
        <v>211</v>
      </c>
      <c r="E4269" s="1">
        <v>13510.13</v>
      </c>
      <c r="F4269" s="2"/>
      <c r="G4269" s="1"/>
      <c r="H4269" s="3"/>
      <c r="I4269" s="14" t="s">
        <v>1654</v>
      </c>
    </row>
    <row r="4270" spans="1:9" ht="18.75" customHeight="1" x14ac:dyDescent="0.4">
      <c r="A4270" s="14" t="s">
        <v>2533</v>
      </c>
      <c r="B4270" s="16" t="str">
        <f>TRIM("　　東加賀屋1公園")</f>
        <v>東加賀屋1公園</v>
      </c>
      <c r="C4270" s="14" t="s">
        <v>1520</v>
      </c>
      <c r="D4270" s="14" t="s">
        <v>211</v>
      </c>
      <c r="E4270" s="1">
        <v>1530.63</v>
      </c>
      <c r="F4270" s="2"/>
      <c r="G4270" s="1"/>
      <c r="H4270" s="3"/>
      <c r="I4270" s="14" t="s">
        <v>2177</v>
      </c>
    </row>
    <row r="4271" spans="1:9" ht="18.75" customHeight="1" x14ac:dyDescent="0.4">
      <c r="A4271" s="14" t="s">
        <v>5470</v>
      </c>
      <c r="B4271" s="16" t="str">
        <f>TRIM("契約管財局賃貸地（住之江）")</f>
        <v>契約管財局賃貸地（住之江）</v>
      </c>
      <c r="C4271" s="14" t="s">
        <v>1520</v>
      </c>
      <c r="D4271" s="14" t="s">
        <v>211</v>
      </c>
      <c r="E4271" s="1">
        <v>842.65</v>
      </c>
      <c r="F4271" s="2"/>
      <c r="G4271" s="1"/>
      <c r="H4271" s="3"/>
      <c r="I4271" s="14" t="s">
        <v>5349</v>
      </c>
    </row>
    <row r="4272" spans="1:9" ht="18.75" customHeight="1" x14ac:dyDescent="0.4">
      <c r="A4272" s="14" t="s">
        <v>6967</v>
      </c>
      <c r="B4272" s="16" t="str">
        <f>TRIM("もと住吉市民病院")</f>
        <v>もと住吉市民病院</v>
      </c>
      <c r="C4272" s="14" t="s">
        <v>1520</v>
      </c>
      <c r="D4272" s="14" t="s">
        <v>211</v>
      </c>
      <c r="E4272" s="1">
        <v>1081.8900000000001</v>
      </c>
      <c r="F4272" s="2"/>
      <c r="G4272" s="1"/>
      <c r="H4272" s="3"/>
      <c r="I4272" s="14" t="s">
        <v>2402</v>
      </c>
    </row>
    <row r="4273" spans="1:9" ht="18.75" customHeight="1" x14ac:dyDescent="0.4">
      <c r="A4273" s="14" t="s">
        <v>1996</v>
      </c>
      <c r="B4273" s="16" t="str">
        <f>TRIM("加賀屋東地域集会所（加賀屋福祉センター）")</f>
        <v>加賀屋東地域集会所（加賀屋福祉センター）</v>
      </c>
      <c r="C4273" s="14" t="s">
        <v>1520</v>
      </c>
      <c r="D4273" s="14" t="s">
        <v>1187</v>
      </c>
      <c r="E4273" s="1">
        <v>319.93</v>
      </c>
      <c r="F4273" s="2"/>
      <c r="G4273" s="1"/>
      <c r="H4273" s="3"/>
      <c r="I4273" s="14" t="s">
        <v>1994</v>
      </c>
    </row>
    <row r="4274" spans="1:9" ht="18.75" customHeight="1" x14ac:dyDescent="0.4">
      <c r="A4274" s="14" t="s">
        <v>3132</v>
      </c>
      <c r="B4274" s="16" t="str">
        <f>TRIM("　東加賀屋公園")</f>
        <v>東加賀屋公園</v>
      </c>
      <c r="C4274" s="14" t="s">
        <v>1520</v>
      </c>
      <c r="D4274" s="14" t="s">
        <v>1187</v>
      </c>
      <c r="E4274" s="1">
        <v>688.02</v>
      </c>
      <c r="F4274" s="2"/>
      <c r="G4274" s="1"/>
      <c r="H4274" s="3"/>
      <c r="I4274" s="14" t="s">
        <v>2177</v>
      </c>
    </row>
    <row r="4275" spans="1:9" ht="18.75" customHeight="1" x14ac:dyDescent="0.4">
      <c r="A4275" s="14" t="s">
        <v>4067</v>
      </c>
      <c r="B4275" s="16" t="str">
        <f>TRIM("旧村上抽水所")</f>
        <v>旧村上抽水所</v>
      </c>
      <c r="C4275" s="14" t="s">
        <v>1520</v>
      </c>
      <c r="D4275" s="14" t="s">
        <v>1327</v>
      </c>
      <c r="E4275" s="1">
        <v>305.77999999999997</v>
      </c>
      <c r="F4275" s="2"/>
      <c r="G4275" s="1"/>
      <c r="H4275" s="3"/>
      <c r="I4275" s="14" t="s">
        <v>2177</v>
      </c>
    </row>
    <row r="4276" spans="1:9" ht="18.75" customHeight="1" x14ac:dyDescent="0.4">
      <c r="A4276" s="14" t="s">
        <v>3274</v>
      </c>
      <c r="B4276" s="16" t="str">
        <f>TRIM("　平林北公園")</f>
        <v>平林北公園</v>
      </c>
      <c r="C4276" s="14" t="s">
        <v>1520</v>
      </c>
      <c r="D4276" s="14" t="s">
        <v>1234</v>
      </c>
      <c r="E4276" s="1">
        <v>2087.89</v>
      </c>
      <c r="F4276" s="2"/>
      <c r="G4276" s="1"/>
      <c r="H4276" s="3"/>
      <c r="I4276" s="14" t="s">
        <v>2177</v>
      </c>
    </row>
    <row r="4277" spans="1:9" ht="18.75" customHeight="1" x14ac:dyDescent="0.4">
      <c r="A4277" s="14" t="s">
        <v>4204</v>
      </c>
      <c r="B4277" s="16" t="str">
        <f>TRIM("護岸敷（住之江・一般）")</f>
        <v>護岸敷（住之江・一般）</v>
      </c>
      <c r="C4277" s="14" t="s">
        <v>1520</v>
      </c>
      <c r="D4277" s="14" t="s">
        <v>1234</v>
      </c>
      <c r="E4277" s="1">
        <v>104609.79</v>
      </c>
      <c r="F4277" s="2"/>
      <c r="G4277" s="1"/>
      <c r="H4277" s="3"/>
      <c r="I4277" s="14" t="s">
        <v>4117</v>
      </c>
    </row>
    <row r="4278" spans="1:9" ht="18.75" customHeight="1" x14ac:dyDescent="0.4">
      <c r="A4278" s="14" t="s">
        <v>4251</v>
      </c>
      <c r="B4278" s="16" t="str">
        <f>TRIM("木津川渡船待合所")</f>
        <v>木津川渡船待合所</v>
      </c>
      <c r="C4278" s="14" t="s">
        <v>1520</v>
      </c>
      <c r="D4278" s="14" t="s">
        <v>1234</v>
      </c>
      <c r="E4278" s="1"/>
      <c r="F4278" s="2"/>
      <c r="G4278" s="1">
        <v>44.64</v>
      </c>
      <c r="H4278" s="3"/>
      <c r="I4278" s="14" t="s">
        <v>4117</v>
      </c>
    </row>
    <row r="4279" spans="1:9" ht="18.75" customHeight="1" x14ac:dyDescent="0.4">
      <c r="A4279" s="14" t="s">
        <v>4102</v>
      </c>
      <c r="B4279" s="16" t="str">
        <f>TRIM("平林第2抽水所")</f>
        <v>平林第2抽水所</v>
      </c>
      <c r="C4279" s="14" t="s">
        <v>1520</v>
      </c>
      <c r="D4279" s="14" t="s">
        <v>1337</v>
      </c>
      <c r="E4279" s="1">
        <v>138.30000000000001</v>
      </c>
      <c r="F4279" s="2"/>
      <c r="G4279" s="1">
        <v>6.75</v>
      </c>
      <c r="H4279" s="3"/>
      <c r="I4279" s="14" t="s">
        <v>2177</v>
      </c>
    </row>
    <row r="4280" spans="1:9" ht="18.75" customHeight="1" x14ac:dyDescent="0.4">
      <c r="A4280" s="14" t="s">
        <v>4112</v>
      </c>
      <c r="B4280" s="16" t="str">
        <f>TRIM("平林抽水所")</f>
        <v>平林抽水所</v>
      </c>
      <c r="C4280" s="14" t="s">
        <v>1520</v>
      </c>
      <c r="D4280" s="14" t="s">
        <v>1337</v>
      </c>
      <c r="E4280" s="1">
        <v>2496.1799999999998</v>
      </c>
      <c r="F4280" s="2"/>
      <c r="G4280" s="1">
        <v>390.5</v>
      </c>
      <c r="H4280" s="3"/>
      <c r="I4280" s="14" t="s">
        <v>2177</v>
      </c>
    </row>
    <row r="4281" spans="1:9" ht="18.75" customHeight="1" x14ac:dyDescent="0.4">
      <c r="A4281" s="14" t="s">
        <v>4128</v>
      </c>
      <c r="B4281" s="16" t="str">
        <f>TRIM("もと水路（住之江）")</f>
        <v>もと水路（住之江）</v>
      </c>
      <c r="C4281" s="14" t="s">
        <v>1520</v>
      </c>
      <c r="D4281" s="14" t="s">
        <v>1337</v>
      </c>
      <c r="E4281" s="1">
        <v>16346.41</v>
      </c>
      <c r="F4281" s="2"/>
      <c r="G4281" s="1"/>
      <c r="H4281" s="3"/>
      <c r="I4281" s="14" t="s">
        <v>4117</v>
      </c>
    </row>
    <row r="4282" spans="1:9" ht="18.75" customHeight="1" x14ac:dyDescent="0.4">
      <c r="A4282" s="14" t="s">
        <v>4216</v>
      </c>
      <c r="B4282" s="16" t="str">
        <f>TRIM("運河用地（住之江）")</f>
        <v>運河用地（住之江）</v>
      </c>
      <c r="C4282" s="14" t="s">
        <v>1520</v>
      </c>
      <c r="D4282" s="14" t="s">
        <v>1337</v>
      </c>
      <c r="E4282" s="1">
        <v>2620.37</v>
      </c>
      <c r="F4282" s="2"/>
      <c r="G4282" s="1"/>
      <c r="H4282" s="3"/>
      <c r="I4282" s="14" t="s">
        <v>4117</v>
      </c>
    </row>
    <row r="4283" spans="1:9" ht="18.75" customHeight="1" x14ac:dyDescent="0.4">
      <c r="A4283" s="14" t="s">
        <v>6854</v>
      </c>
      <c r="B4283" s="16" t="str">
        <f>TRIM("区画整理事業用地（南部工区・住之江）")</f>
        <v>区画整理事業用地（南部工区・住之江）</v>
      </c>
      <c r="C4283" s="14" t="s">
        <v>1520</v>
      </c>
      <c r="D4283" s="14" t="s">
        <v>882</v>
      </c>
      <c r="E4283" s="1">
        <v>32839.86</v>
      </c>
      <c r="F4283" s="2">
        <v>593</v>
      </c>
      <c r="G4283" s="1"/>
      <c r="H4283" s="3"/>
      <c r="I4283" s="14" t="s">
        <v>6177</v>
      </c>
    </row>
    <row r="4284" spans="1:9" ht="18.75" customHeight="1" x14ac:dyDescent="0.4">
      <c r="A4284" s="14" t="s">
        <v>4135</v>
      </c>
      <c r="B4284" s="16" t="str">
        <f>TRIM("港湾局賃貸地（住之江）")</f>
        <v>港湾局賃貸地（住之江）</v>
      </c>
      <c r="C4284" s="14" t="s">
        <v>1520</v>
      </c>
      <c r="D4284" s="14" t="s">
        <v>882</v>
      </c>
      <c r="E4284" s="1">
        <v>112318.7</v>
      </c>
      <c r="F4284" s="2" t="s">
        <v>7316</v>
      </c>
      <c r="G4284" s="1"/>
      <c r="H4284" s="3"/>
      <c r="I4284" s="14" t="s">
        <v>4117</v>
      </c>
    </row>
    <row r="4285" spans="1:9" ht="31.5" x14ac:dyDescent="0.4">
      <c r="A4285" s="14" t="s">
        <v>6831</v>
      </c>
      <c r="B4285" s="16" t="str">
        <f>TRIM("もと区画整理事業用地（南部工区・住之江）")</f>
        <v>もと区画整理事業用地（南部工区・住之江）</v>
      </c>
      <c r="C4285" s="14" t="s">
        <v>1520</v>
      </c>
      <c r="D4285" s="14" t="s">
        <v>882</v>
      </c>
      <c r="E4285" s="1">
        <v>43283.97</v>
      </c>
      <c r="F4285" s="15" t="s">
        <v>7333</v>
      </c>
      <c r="G4285" s="1"/>
      <c r="H4285" s="3"/>
      <c r="I4285" s="14" t="s">
        <v>6177</v>
      </c>
    </row>
    <row r="4286" spans="1:9" ht="18.75" customHeight="1" x14ac:dyDescent="0.4">
      <c r="A4286" s="14" t="s">
        <v>2299</v>
      </c>
      <c r="B4286" s="16" t="str">
        <f>TRIM("道路（住之江）（管財課）")</f>
        <v>道路（住之江）（管財課）</v>
      </c>
      <c r="C4286" s="14" t="s">
        <v>1520</v>
      </c>
      <c r="D4286" s="14" t="s">
        <v>882</v>
      </c>
      <c r="E4286" s="1">
        <v>567956.24</v>
      </c>
      <c r="F4286" s="2"/>
      <c r="G4286" s="1"/>
      <c r="H4286" s="3"/>
      <c r="I4286" s="14" t="s">
        <v>2177</v>
      </c>
    </row>
    <row r="4287" spans="1:9" ht="18.75" customHeight="1" x14ac:dyDescent="0.4">
      <c r="A4287" s="14" t="s">
        <v>4194</v>
      </c>
      <c r="B4287" s="16" t="str">
        <f>TRIM("角落扉格納庫（住吉川）")</f>
        <v>角落扉格納庫（住吉川）</v>
      </c>
      <c r="C4287" s="14" t="s">
        <v>1520</v>
      </c>
      <c r="D4287" s="14" t="s">
        <v>882</v>
      </c>
      <c r="E4287" s="1"/>
      <c r="F4287" s="2"/>
      <c r="G4287" s="1">
        <v>80.64</v>
      </c>
      <c r="H4287" s="3"/>
      <c r="I4287" s="14" t="s">
        <v>4117</v>
      </c>
    </row>
    <row r="4288" spans="1:9" ht="18.75" customHeight="1" x14ac:dyDescent="0.4">
      <c r="A4288" s="14" t="s">
        <v>4219</v>
      </c>
      <c r="B4288" s="16" t="str">
        <f>TRIM("荷捌地（住之江）")</f>
        <v>荷捌地（住之江）</v>
      </c>
      <c r="C4288" s="14" t="s">
        <v>1520</v>
      </c>
      <c r="D4288" s="14" t="s">
        <v>882</v>
      </c>
      <c r="E4288" s="1">
        <v>20522</v>
      </c>
      <c r="F4288" s="2"/>
      <c r="G4288" s="1"/>
      <c r="H4288" s="3"/>
      <c r="I4288" s="14" t="s">
        <v>4117</v>
      </c>
    </row>
    <row r="4289" spans="1:9" ht="18.75" customHeight="1" x14ac:dyDescent="0.4">
      <c r="A4289" s="14" t="s">
        <v>4223</v>
      </c>
      <c r="B4289" s="16" t="str">
        <f>TRIM("水路（住之江）")</f>
        <v>水路（住之江）</v>
      </c>
      <c r="C4289" s="14" t="s">
        <v>1520</v>
      </c>
      <c r="D4289" s="14" t="s">
        <v>882</v>
      </c>
      <c r="E4289" s="1">
        <v>118478.88</v>
      </c>
      <c r="F4289" s="2"/>
      <c r="G4289" s="1"/>
      <c r="H4289" s="3"/>
      <c r="I4289" s="14" t="s">
        <v>4117</v>
      </c>
    </row>
    <row r="4290" spans="1:9" ht="18.75" customHeight="1" x14ac:dyDescent="0.4">
      <c r="A4290" s="14" t="s">
        <v>6646</v>
      </c>
      <c r="B4290" s="16" t="str">
        <f>TRIM("平林南第3住宅")</f>
        <v>平林南第3住宅</v>
      </c>
      <c r="C4290" s="14" t="s">
        <v>1520</v>
      </c>
      <c r="D4290" s="14" t="s">
        <v>541</v>
      </c>
      <c r="E4290" s="1">
        <v>8258.91</v>
      </c>
      <c r="F4290" s="2">
        <v>594</v>
      </c>
      <c r="G4290" s="1">
        <v>7461.55</v>
      </c>
      <c r="H4290" s="3"/>
      <c r="I4290" s="14" t="s">
        <v>6177</v>
      </c>
    </row>
    <row r="4291" spans="1:9" ht="18.75" customHeight="1" x14ac:dyDescent="0.4">
      <c r="A4291" s="14" t="s">
        <v>5087</v>
      </c>
      <c r="B4291" s="16" t="str">
        <f>TRIM("平林小学校")</f>
        <v>平林小学校</v>
      </c>
      <c r="C4291" s="14" t="s">
        <v>1520</v>
      </c>
      <c r="D4291" s="14" t="s">
        <v>541</v>
      </c>
      <c r="E4291" s="1">
        <v>13459.37</v>
      </c>
      <c r="F4291" s="2"/>
      <c r="G4291" s="1">
        <v>5822.98</v>
      </c>
      <c r="H4291" s="3"/>
      <c r="I4291" s="14" t="s">
        <v>4689</v>
      </c>
    </row>
    <row r="4292" spans="1:9" ht="18.75" customHeight="1" x14ac:dyDescent="0.4">
      <c r="A4292" s="14" t="s">
        <v>5242</v>
      </c>
      <c r="B4292" s="16" t="str">
        <f>TRIM("住之江消防署平林出張所")</f>
        <v>住之江消防署平林出張所</v>
      </c>
      <c r="C4292" s="14" t="s">
        <v>1520</v>
      </c>
      <c r="D4292" s="14" t="s">
        <v>541</v>
      </c>
      <c r="E4292" s="1">
        <v>329.81</v>
      </c>
      <c r="F4292" s="2"/>
      <c r="G4292" s="1">
        <v>248.69</v>
      </c>
      <c r="H4292" s="3"/>
      <c r="I4292" s="14" t="s">
        <v>5219</v>
      </c>
    </row>
    <row r="4293" spans="1:9" ht="18.75" customHeight="1" x14ac:dyDescent="0.4">
      <c r="A4293" s="14" t="s">
        <v>6644</v>
      </c>
      <c r="B4293" s="16" t="str">
        <f>TRIM("平林南住宅")</f>
        <v>平林南住宅</v>
      </c>
      <c r="C4293" s="14" t="s">
        <v>1520</v>
      </c>
      <c r="D4293" s="14" t="s">
        <v>541</v>
      </c>
      <c r="E4293" s="1">
        <v>7134.7</v>
      </c>
      <c r="F4293" s="2"/>
      <c r="G4293" s="1">
        <v>11548.16</v>
      </c>
      <c r="H4293" s="3"/>
      <c r="I4293" s="14" t="s">
        <v>6177</v>
      </c>
    </row>
    <row r="4294" spans="1:9" ht="18.75" customHeight="1" x14ac:dyDescent="0.4">
      <c r="A4294" s="14" t="s">
        <v>6645</v>
      </c>
      <c r="B4294" s="16" t="str">
        <f>TRIM("平林南第2住宅")</f>
        <v>平林南第2住宅</v>
      </c>
      <c r="C4294" s="14" t="s">
        <v>1520</v>
      </c>
      <c r="D4294" s="14" t="s">
        <v>541</v>
      </c>
      <c r="E4294" s="1">
        <v>7035.86</v>
      </c>
      <c r="F4294" s="2"/>
      <c r="G4294" s="1">
        <v>11616.37</v>
      </c>
      <c r="H4294" s="3"/>
      <c r="I4294" s="14" t="s">
        <v>6177</v>
      </c>
    </row>
    <row r="4295" spans="1:9" ht="18.75" customHeight="1" x14ac:dyDescent="0.4">
      <c r="A4295" s="14" t="s">
        <v>3272</v>
      </c>
      <c r="B4295" s="16" t="str">
        <f>TRIM("　平林西公園")</f>
        <v>平林西公園</v>
      </c>
      <c r="C4295" s="14" t="s">
        <v>1520</v>
      </c>
      <c r="D4295" s="14" t="s">
        <v>541</v>
      </c>
      <c r="E4295" s="1">
        <v>1099.94</v>
      </c>
      <c r="F4295" s="2"/>
      <c r="G4295" s="1"/>
      <c r="H4295" s="3"/>
      <c r="I4295" s="14" t="s">
        <v>2177</v>
      </c>
    </row>
    <row r="4296" spans="1:9" ht="18.75" customHeight="1" x14ac:dyDescent="0.4">
      <c r="A4296" s="14" t="s">
        <v>3273</v>
      </c>
      <c r="B4296" s="16" t="str">
        <f>TRIM("　平林南公園")</f>
        <v>平林南公園</v>
      </c>
      <c r="C4296" s="14" t="s">
        <v>1520</v>
      </c>
      <c r="D4296" s="14" t="s">
        <v>541</v>
      </c>
      <c r="E4296" s="1">
        <v>1142.28</v>
      </c>
      <c r="F4296" s="2"/>
      <c r="G4296" s="1"/>
      <c r="H4296" s="3"/>
      <c r="I4296" s="14" t="s">
        <v>2177</v>
      </c>
    </row>
    <row r="4297" spans="1:9" ht="18.75" customHeight="1" x14ac:dyDescent="0.4">
      <c r="A4297" s="14" t="s">
        <v>3936</v>
      </c>
      <c r="B4297" s="16" t="str">
        <f>TRIM("平林駅自転車駐車場")</f>
        <v>平林駅自転車駐車場</v>
      </c>
      <c r="C4297" s="14" t="s">
        <v>1520</v>
      </c>
      <c r="D4297" s="14" t="s">
        <v>541</v>
      </c>
      <c r="E4297" s="1">
        <v>125</v>
      </c>
      <c r="F4297" s="2"/>
      <c r="G4297" s="1"/>
      <c r="H4297" s="3"/>
      <c r="I4297" s="14" t="s">
        <v>2177</v>
      </c>
    </row>
    <row r="4298" spans="1:9" ht="18.75" customHeight="1" x14ac:dyDescent="0.4">
      <c r="A4298" s="14" t="s">
        <v>4198</v>
      </c>
      <c r="B4298" s="16" t="str">
        <f>TRIM("防潮堤（住之江）")</f>
        <v>防潮堤（住之江）</v>
      </c>
      <c r="C4298" s="14" t="s">
        <v>1520</v>
      </c>
      <c r="D4298" s="14" t="s">
        <v>541</v>
      </c>
      <c r="E4298" s="1">
        <v>750.44</v>
      </c>
      <c r="F4298" s="2"/>
      <c r="G4298" s="1"/>
      <c r="H4298" s="3"/>
      <c r="I4298" s="14" t="s">
        <v>4117</v>
      </c>
    </row>
    <row r="4299" spans="1:9" ht="18.75" customHeight="1" x14ac:dyDescent="0.4">
      <c r="A4299" s="14" t="s">
        <v>4609</v>
      </c>
      <c r="B4299" s="16" t="str">
        <f>TRIM("平林福祉会館用地")</f>
        <v>平林福祉会館用地</v>
      </c>
      <c r="C4299" s="14" t="s">
        <v>1520</v>
      </c>
      <c r="D4299" s="14" t="s">
        <v>541</v>
      </c>
      <c r="E4299" s="1">
        <v>275</v>
      </c>
      <c r="F4299" s="2"/>
      <c r="G4299" s="1"/>
      <c r="H4299" s="3"/>
      <c r="I4299" s="14" t="s">
        <v>1994</v>
      </c>
    </row>
    <row r="4300" spans="1:9" ht="18.75" customHeight="1" x14ac:dyDescent="0.4">
      <c r="A4300" s="14" t="s">
        <v>5733</v>
      </c>
      <c r="B4300" s="16" t="str">
        <f>TRIM("高崎保育園")</f>
        <v>高崎保育園</v>
      </c>
      <c r="C4300" s="14" t="s">
        <v>1520</v>
      </c>
      <c r="D4300" s="14" t="s">
        <v>541</v>
      </c>
      <c r="E4300" s="1">
        <v>763.89</v>
      </c>
      <c r="F4300" s="2"/>
      <c r="G4300" s="1"/>
      <c r="H4300" s="3"/>
      <c r="I4300" s="14" t="s">
        <v>5617</v>
      </c>
    </row>
    <row r="4301" spans="1:9" ht="18.75" customHeight="1" x14ac:dyDescent="0.4">
      <c r="A4301" s="14" t="s">
        <v>2685</v>
      </c>
      <c r="B4301" s="16" t="str">
        <f>TRIM("　御崎北公園")</f>
        <v>御崎北公園</v>
      </c>
      <c r="C4301" s="14" t="s">
        <v>1520</v>
      </c>
      <c r="D4301" s="14" t="s">
        <v>1035</v>
      </c>
      <c r="E4301" s="1">
        <v>1254.4100000000001</v>
      </c>
      <c r="F4301" s="2"/>
      <c r="G4301" s="1"/>
      <c r="H4301" s="3"/>
      <c r="I4301" s="14" t="s">
        <v>2177</v>
      </c>
    </row>
    <row r="4302" spans="1:9" ht="18.75" customHeight="1" x14ac:dyDescent="0.4">
      <c r="A4302" s="14" t="s">
        <v>4888</v>
      </c>
      <c r="B4302" s="16" t="str">
        <f>TRIM("真住中学校")</f>
        <v>真住中学校</v>
      </c>
      <c r="C4302" s="14" t="s">
        <v>1520</v>
      </c>
      <c r="D4302" s="14" t="s">
        <v>738</v>
      </c>
      <c r="E4302" s="1">
        <v>13614.16</v>
      </c>
      <c r="F4302" s="2"/>
      <c r="G4302" s="1">
        <v>8487.3700000000008</v>
      </c>
      <c r="H4302" s="3"/>
      <c r="I4302" s="14" t="s">
        <v>4689</v>
      </c>
    </row>
    <row r="4303" spans="1:9" ht="18.75" customHeight="1" x14ac:dyDescent="0.4">
      <c r="A4303" s="14" t="s">
        <v>6358</v>
      </c>
      <c r="B4303" s="16" t="str">
        <f>TRIM("御崎住宅")</f>
        <v>御崎住宅</v>
      </c>
      <c r="C4303" s="14" t="s">
        <v>1520</v>
      </c>
      <c r="D4303" s="14" t="s">
        <v>738</v>
      </c>
      <c r="E4303" s="1">
        <v>43941.73</v>
      </c>
      <c r="F4303" s="2"/>
      <c r="G4303" s="1">
        <v>47460.54</v>
      </c>
      <c r="H4303" s="3"/>
      <c r="I4303" s="14" t="s">
        <v>6177</v>
      </c>
    </row>
    <row r="4304" spans="1:9" ht="18.75" customHeight="1" x14ac:dyDescent="0.4">
      <c r="A4304" s="14" t="s">
        <v>4604</v>
      </c>
      <c r="B4304" s="16" t="str">
        <f>TRIM("住之江区役所")</f>
        <v>住之江区役所</v>
      </c>
      <c r="C4304" s="14" t="s">
        <v>1520</v>
      </c>
      <c r="D4304" s="14" t="s">
        <v>168</v>
      </c>
      <c r="E4304" s="1">
        <v>5708.74</v>
      </c>
      <c r="F4304" s="2"/>
      <c r="G4304" s="1">
        <v>5355.85</v>
      </c>
      <c r="H4304" s="3"/>
      <c r="I4304" s="14" t="s">
        <v>1994</v>
      </c>
    </row>
    <row r="4305" spans="1:9" ht="18.75" customHeight="1" x14ac:dyDescent="0.4">
      <c r="A4305" s="14" t="s">
        <v>1729</v>
      </c>
      <c r="B4305" s="16" t="str">
        <f>TRIM("障がい福祉サービス事業所　住之江木の実園")</f>
        <v>障がい福祉サービス事業所　住之江木の実園</v>
      </c>
      <c r="C4305" s="14" t="s">
        <v>1520</v>
      </c>
      <c r="D4305" s="14" t="s">
        <v>168</v>
      </c>
      <c r="E4305" s="1">
        <v>661.15</v>
      </c>
      <c r="F4305" s="2"/>
      <c r="G4305" s="1"/>
      <c r="H4305" s="3"/>
      <c r="I4305" s="14" t="s">
        <v>1654</v>
      </c>
    </row>
    <row r="4306" spans="1:9" ht="18.75" customHeight="1" x14ac:dyDescent="0.4">
      <c r="A4306" s="14" t="s">
        <v>2683</v>
      </c>
      <c r="B4306" s="16" t="str">
        <f>TRIM("　御崎東公園")</f>
        <v>御崎東公園</v>
      </c>
      <c r="C4306" s="14" t="s">
        <v>1520</v>
      </c>
      <c r="D4306" s="14" t="s">
        <v>168</v>
      </c>
      <c r="E4306" s="1">
        <v>2162.7199999999998</v>
      </c>
      <c r="F4306" s="2"/>
      <c r="G4306" s="1"/>
      <c r="H4306" s="3"/>
      <c r="I4306" s="14" t="s">
        <v>2177</v>
      </c>
    </row>
    <row r="4307" spans="1:9" ht="18.75" customHeight="1" x14ac:dyDescent="0.4">
      <c r="A4307" s="14" t="s">
        <v>4607</v>
      </c>
      <c r="B4307" s="16" t="str">
        <f>TRIM("住之江区民ホール")</f>
        <v>住之江区民ホール</v>
      </c>
      <c r="C4307" s="14" t="s">
        <v>1520</v>
      </c>
      <c r="D4307" s="14" t="s">
        <v>168</v>
      </c>
      <c r="E4307" s="1"/>
      <c r="F4307" s="2"/>
      <c r="G4307" s="1">
        <v>750.78</v>
      </c>
      <c r="H4307" s="3"/>
      <c r="I4307" s="14" t="s">
        <v>1994</v>
      </c>
    </row>
    <row r="4308" spans="1:9" ht="18.75" customHeight="1" x14ac:dyDescent="0.4">
      <c r="A4308" s="14" t="s">
        <v>5413</v>
      </c>
      <c r="B4308" s="16" t="str">
        <f>TRIM("もと中央卸売市場南部市場（コミュニティ用地等）")</f>
        <v>もと中央卸売市場南部市場（コミュニティ用地等）</v>
      </c>
      <c r="C4308" s="14" t="s">
        <v>1520</v>
      </c>
      <c r="D4308" s="14" t="s">
        <v>168</v>
      </c>
      <c r="E4308" s="1">
        <v>3395.41</v>
      </c>
      <c r="F4308" s="2"/>
      <c r="G4308" s="1"/>
      <c r="H4308" s="3"/>
      <c r="I4308" s="14" t="s">
        <v>5349</v>
      </c>
    </row>
    <row r="4309" spans="1:9" ht="18.75" customHeight="1" x14ac:dyDescent="0.4">
      <c r="A4309" s="14" t="s">
        <v>5537</v>
      </c>
      <c r="B4309" s="16" t="str">
        <f>TRIM("廃道（住之江・コミュニティ用地等）")</f>
        <v>廃道（住之江・コミュニティ用地等）</v>
      </c>
      <c r="C4309" s="14" t="s">
        <v>1520</v>
      </c>
      <c r="D4309" s="14" t="s">
        <v>168</v>
      </c>
      <c r="E4309" s="1">
        <v>466.01</v>
      </c>
      <c r="F4309" s="2"/>
      <c r="G4309" s="1"/>
      <c r="H4309" s="3"/>
      <c r="I4309" s="14" t="s">
        <v>5349</v>
      </c>
    </row>
    <row r="4310" spans="1:9" ht="18.75" customHeight="1" x14ac:dyDescent="0.4">
      <c r="A4310" s="14" t="s">
        <v>5149</v>
      </c>
      <c r="B4310" s="16" t="str">
        <f>TRIM("住之江小学校")</f>
        <v>住之江小学校</v>
      </c>
      <c r="C4310" s="14" t="s">
        <v>1520</v>
      </c>
      <c r="D4310" s="14" t="s">
        <v>382</v>
      </c>
      <c r="E4310" s="1">
        <v>12058.21</v>
      </c>
      <c r="F4310" s="2"/>
      <c r="G4310" s="1">
        <v>7448.01</v>
      </c>
      <c r="H4310" s="3"/>
      <c r="I4310" s="14" t="s">
        <v>4689</v>
      </c>
    </row>
    <row r="4311" spans="1:9" ht="18.75" customHeight="1" x14ac:dyDescent="0.4">
      <c r="A4311" s="14" t="s">
        <v>5239</v>
      </c>
      <c r="B4311" s="16" t="str">
        <f>TRIM("住之江消防署")</f>
        <v>住之江消防署</v>
      </c>
      <c r="C4311" s="14" t="s">
        <v>1520</v>
      </c>
      <c r="D4311" s="14" t="s">
        <v>382</v>
      </c>
      <c r="E4311" s="1">
        <v>2314.04</v>
      </c>
      <c r="F4311" s="2"/>
      <c r="G4311" s="1">
        <v>1819.47</v>
      </c>
      <c r="H4311" s="3"/>
      <c r="I4311" s="14" t="s">
        <v>5219</v>
      </c>
    </row>
    <row r="4312" spans="1:9" ht="18.75" customHeight="1" x14ac:dyDescent="0.4">
      <c r="A4312" s="14" t="s">
        <v>1879</v>
      </c>
      <c r="B4312" s="16" t="str">
        <f>TRIM("住之江区在宅サービスセンター")</f>
        <v>住之江区在宅サービスセンター</v>
      </c>
      <c r="C4312" s="14" t="s">
        <v>1520</v>
      </c>
      <c r="D4312" s="14" t="s">
        <v>382</v>
      </c>
      <c r="E4312" s="1">
        <v>1183.44</v>
      </c>
      <c r="F4312" s="2"/>
      <c r="G4312" s="1"/>
      <c r="H4312" s="3"/>
      <c r="I4312" s="14" t="s">
        <v>1654</v>
      </c>
    </row>
    <row r="4313" spans="1:9" ht="18.75" customHeight="1" x14ac:dyDescent="0.4">
      <c r="A4313" s="14" t="s">
        <v>2019</v>
      </c>
      <c r="B4313" s="16" t="str">
        <f>TRIM("御崎福祉会館")</f>
        <v>御崎福祉会館</v>
      </c>
      <c r="C4313" s="14" t="s">
        <v>1520</v>
      </c>
      <c r="D4313" s="14" t="s">
        <v>382</v>
      </c>
      <c r="E4313" s="1">
        <v>642.98</v>
      </c>
      <c r="F4313" s="2"/>
      <c r="G4313" s="1"/>
      <c r="H4313" s="3"/>
      <c r="I4313" s="14" t="s">
        <v>1994</v>
      </c>
    </row>
    <row r="4314" spans="1:9" ht="18.75" customHeight="1" x14ac:dyDescent="0.4">
      <c r="A4314" s="14" t="s">
        <v>4900</v>
      </c>
      <c r="B4314" s="16" t="str">
        <f>TRIM("清江小学校")</f>
        <v>清江小学校</v>
      </c>
      <c r="C4314" s="14" t="s">
        <v>1520</v>
      </c>
      <c r="D4314" s="14" t="s">
        <v>827</v>
      </c>
      <c r="E4314" s="1">
        <v>8494.67</v>
      </c>
      <c r="F4314" s="2"/>
      <c r="G4314" s="1">
        <v>7811.56</v>
      </c>
      <c r="H4314" s="3"/>
      <c r="I4314" s="14" t="s">
        <v>4689</v>
      </c>
    </row>
    <row r="4315" spans="1:9" ht="18.75" customHeight="1" x14ac:dyDescent="0.4">
      <c r="A4315" s="14" t="s">
        <v>6637</v>
      </c>
      <c r="B4315" s="16" t="str">
        <f>TRIM("敷津浦住宅")</f>
        <v>敷津浦住宅</v>
      </c>
      <c r="C4315" s="14" t="s">
        <v>1520</v>
      </c>
      <c r="D4315" s="14" t="s">
        <v>827</v>
      </c>
      <c r="E4315" s="1">
        <v>4189.6099999999997</v>
      </c>
      <c r="F4315" s="2"/>
      <c r="G4315" s="1">
        <v>9375.8700000000008</v>
      </c>
      <c r="H4315" s="3"/>
      <c r="I4315" s="14" t="s">
        <v>6177</v>
      </c>
    </row>
    <row r="4316" spans="1:9" ht="18.75" customHeight="1" x14ac:dyDescent="0.4">
      <c r="A4316" s="14" t="s">
        <v>2682</v>
      </c>
      <c r="B4316" s="16" t="str">
        <f>TRIM("　御崎中公園")</f>
        <v>御崎中公園</v>
      </c>
      <c r="C4316" s="14" t="s">
        <v>1520</v>
      </c>
      <c r="D4316" s="14" t="s">
        <v>827</v>
      </c>
      <c r="E4316" s="1">
        <v>1437.79</v>
      </c>
      <c r="F4316" s="2"/>
      <c r="G4316" s="1"/>
      <c r="H4316" s="3"/>
      <c r="I4316" s="14" t="s">
        <v>2177</v>
      </c>
    </row>
    <row r="4317" spans="1:9" ht="18.75" customHeight="1" x14ac:dyDescent="0.4">
      <c r="A4317" s="14" t="s">
        <v>5999</v>
      </c>
      <c r="B4317" s="16" t="str">
        <f>TRIM("大気汚染常時監視測定局（清江小学校）")</f>
        <v>大気汚染常時監視測定局（清江小学校）</v>
      </c>
      <c r="C4317" s="14" t="s">
        <v>1520</v>
      </c>
      <c r="D4317" s="14" t="s">
        <v>827</v>
      </c>
      <c r="E4317" s="1"/>
      <c r="F4317" s="2"/>
      <c r="G4317" s="1">
        <v>16</v>
      </c>
      <c r="H4317" s="3"/>
      <c r="I4317" s="14" t="s">
        <v>5977</v>
      </c>
    </row>
    <row r="4318" spans="1:9" ht="18.75" customHeight="1" x14ac:dyDescent="0.4">
      <c r="A4318" s="14" t="s">
        <v>6359</v>
      </c>
      <c r="B4318" s="16" t="str">
        <f>TRIM("御崎第2住宅")</f>
        <v>御崎第2住宅</v>
      </c>
      <c r="C4318" s="14" t="s">
        <v>1520</v>
      </c>
      <c r="D4318" s="14" t="s">
        <v>739</v>
      </c>
      <c r="E4318" s="1">
        <v>3305.78</v>
      </c>
      <c r="F4318" s="2"/>
      <c r="G4318" s="1">
        <v>4004.21</v>
      </c>
      <c r="H4318" s="3"/>
      <c r="I4318" s="14" t="s">
        <v>6177</v>
      </c>
    </row>
    <row r="4319" spans="1:9" ht="18.75" customHeight="1" x14ac:dyDescent="0.4">
      <c r="A4319" s="14" t="s">
        <v>1606</v>
      </c>
      <c r="B4319" s="16" t="str">
        <f>TRIM("もと浪速地区公共施設建設代替地")</f>
        <v>もと浪速地区公共施設建設代替地</v>
      </c>
      <c r="C4319" s="14" t="s">
        <v>1520</v>
      </c>
      <c r="D4319" s="14" t="s">
        <v>106</v>
      </c>
      <c r="E4319" s="1">
        <v>149.24</v>
      </c>
      <c r="F4319" s="2">
        <v>601</v>
      </c>
      <c r="G4319" s="1"/>
      <c r="H4319" s="3"/>
      <c r="I4319" s="14" t="s">
        <v>1598</v>
      </c>
    </row>
    <row r="4320" spans="1:9" ht="18.75" customHeight="1" x14ac:dyDescent="0.4">
      <c r="A4320" s="14" t="s">
        <v>5853</v>
      </c>
      <c r="B4320" s="16" t="str">
        <f>TRIM("御崎保育所")</f>
        <v>御崎保育所</v>
      </c>
      <c r="C4320" s="14" t="s">
        <v>1520</v>
      </c>
      <c r="D4320" s="14" t="s">
        <v>106</v>
      </c>
      <c r="E4320" s="1">
        <v>2982.33</v>
      </c>
      <c r="F4320" s="2"/>
      <c r="G4320" s="1">
        <v>1225.94</v>
      </c>
      <c r="H4320" s="3"/>
      <c r="I4320" s="14" t="s">
        <v>5617</v>
      </c>
    </row>
    <row r="4321" spans="1:9" ht="18.75" customHeight="1" x14ac:dyDescent="0.4">
      <c r="A4321" s="14" t="s">
        <v>6638</v>
      </c>
      <c r="B4321" s="16" t="str">
        <f>TRIM("敷津浦第2住宅")</f>
        <v>敷津浦第2住宅</v>
      </c>
      <c r="C4321" s="14" t="s">
        <v>1520</v>
      </c>
      <c r="D4321" s="14" t="s">
        <v>106</v>
      </c>
      <c r="E4321" s="1">
        <v>3547.47</v>
      </c>
      <c r="F4321" s="2"/>
      <c r="G4321" s="1">
        <v>6165.95</v>
      </c>
      <c r="H4321" s="3"/>
      <c r="I4321" s="14" t="s">
        <v>6177</v>
      </c>
    </row>
    <row r="4322" spans="1:9" ht="18.75" customHeight="1" x14ac:dyDescent="0.4">
      <c r="A4322" s="14" t="s">
        <v>2684</v>
      </c>
      <c r="B4322" s="16" t="str">
        <f>TRIM("　御崎南公園")</f>
        <v>御崎南公園</v>
      </c>
      <c r="C4322" s="14" t="s">
        <v>1520</v>
      </c>
      <c r="D4322" s="14" t="s">
        <v>106</v>
      </c>
      <c r="E4322" s="1">
        <v>8327.27</v>
      </c>
      <c r="F4322" s="2"/>
      <c r="G4322" s="1"/>
      <c r="H4322" s="3"/>
      <c r="I4322" s="14" t="s">
        <v>2177</v>
      </c>
    </row>
    <row r="4323" spans="1:9" ht="18.75" customHeight="1" x14ac:dyDescent="0.4">
      <c r="A4323" s="14" t="s">
        <v>3250</v>
      </c>
      <c r="B4323" s="16" t="str">
        <f>TRIM("　敷津浦東公園")</f>
        <v>敷津浦東公園</v>
      </c>
      <c r="C4323" s="14" t="s">
        <v>1520</v>
      </c>
      <c r="D4323" s="14" t="s">
        <v>106</v>
      </c>
      <c r="E4323" s="1">
        <v>2923.55</v>
      </c>
      <c r="F4323" s="2"/>
      <c r="G4323" s="1"/>
      <c r="H4323" s="3"/>
      <c r="I4323" s="14" t="s">
        <v>2177</v>
      </c>
    </row>
    <row r="4324" spans="1:9" ht="18.75" customHeight="1" x14ac:dyDescent="0.4">
      <c r="A4324" s="14" t="s">
        <v>3666</v>
      </c>
      <c r="B4324" s="16" t="str">
        <f>TRIM("　敷津浦東公園")</f>
        <v>敷津浦東公園</v>
      </c>
      <c r="C4324" s="14" t="s">
        <v>1520</v>
      </c>
      <c r="D4324" s="14" t="s">
        <v>106</v>
      </c>
      <c r="E4324" s="1"/>
      <c r="F4324" s="2"/>
      <c r="G4324" s="1">
        <v>19.2</v>
      </c>
      <c r="H4324" s="3"/>
      <c r="I4324" s="14" t="s">
        <v>2177</v>
      </c>
    </row>
    <row r="4325" spans="1:9" ht="18.75" customHeight="1" x14ac:dyDescent="0.4">
      <c r="A4325" s="14" t="s">
        <v>5412</v>
      </c>
      <c r="B4325" s="16" t="str">
        <f>TRIM("もと大和川Ｗ1住宅")</f>
        <v>もと大和川Ｗ1住宅</v>
      </c>
      <c r="C4325" s="14" t="s">
        <v>1520</v>
      </c>
      <c r="D4325" s="14" t="s">
        <v>106</v>
      </c>
      <c r="E4325" s="1">
        <v>35.56</v>
      </c>
      <c r="F4325" s="2"/>
      <c r="G4325" s="1"/>
      <c r="H4325" s="3"/>
      <c r="I4325" s="14" t="s">
        <v>5349</v>
      </c>
    </row>
    <row r="4326" spans="1:9" ht="18.75" customHeight="1" x14ac:dyDescent="0.4">
      <c r="A4326" s="14" t="s">
        <v>6166</v>
      </c>
      <c r="B4326" s="16" t="str">
        <f>TRIM("北島霊園")</f>
        <v>北島霊園</v>
      </c>
      <c r="C4326" s="14" t="s">
        <v>1520</v>
      </c>
      <c r="D4326" s="14" t="s">
        <v>106</v>
      </c>
      <c r="E4326" s="1">
        <v>1687.45</v>
      </c>
      <c r="F4326" s="2"/>
      <c r="G4326" s="1"/>
      <c r="H4326" s="3"/>
      <c r="I4326" s="14" t="s">
        <v>5977</v>
      </c>
    </row>
    <row r="4327" spans="1:9" ht="18.75" customHeight="1" x14ac:dyDescent="0.4">
      <c r="A4327" s="14" t="s">
        <v>4848</v>
      </c>
      <c r="B4327" s="16" t="str">
        <f>TRIM("住之江中学校")</f>
        <v>住之江中学校</v>
      </c>
      <c r="C4327" s="14" t="s">
        <v>1520</v>
      </c>
      <c r="D4327" s="14" t="s">
        <v>1399</v>
      </c>
      <c r="E4327" s="1">
        <v>15867.66</v>
      </c>
      <c r="F4327" s="2"/>
      <c r="G4327" s="1">
        <v>10772.16</v>
      </c>
      <c r="H4327" s="3"/>
      <c r="I4327" s="14" t="s">
        <v>4689</v>
      </c>
    </row>
    <row r="4328" spans="1:9" ht="18.75" customHeight="1" x14ac:dyDescent="0.4">
      <c r="A4328" s="14" t="s">
        <v>6697</v>
      </c>
      <c r="B4328" s="16" t="str">
        <f>TRIM("緑木住宅")</f>
        <v>緑木住宅</v>
      </c>
      <c r="C4328" s="14" t="s">
        <v>1520</v>
      </c>
      <c r="D4328" s="14" t="s">
        <v>848</v>
      </c>
      <c r="E4328" s="1">
        <v>7236.1</v>
      </c>
      <c r="F4328" s="2"/>
      <c r="G4328" s="1">
        <v>16186.95</v>
      </c>
      <c r="H4328" s="3"/>
      <c r="I4328" s="14" t="s">
        <v>6177</v>
      </c>
    </row>
    <row r="4329" spans="1:9" ht="18.75" customHeight="1" x14ac:dyDescent="0.4">
      <c r="A4329" s="14" t="s">
        <v>3689</v>
      </c>
      <c r="B4329" s="16" t="str">
        <f>TRIM("　緑木検車場内市電保存館")</f>
        <v>緑木検車場内市電保存館</v>
      </c>
      <c r="C4329" s="14" t="s">
        <v>1520</v>
      </c>
      <c r="D4329" s="14" t="s">
        <v>848</v>
      </c>
      <c r="E4329" s="1"/>
      <c r="F4329" s="2"/>
      <c r="G4329" s="1">
        <v>444.05</v>
      </c>
      <c r="H4329" s="3"/>
      <c r="I4329" s="14" t="s">
        <v>2177</v>
      </c>
    </row>
    <row r="4330" spans="1:9" ht="18.75" customHeight="1" x14ac:dyDescent="0.4">
      <c r="A4330" s="14" t="s">
        <v>4849</v>
      </c>
      <c r="B4330" s="16" t="str">
        <f>TRIM("もと住之江特別支援学校")</f>
        <v>もと住之江特別支援学校</v>
      </c>
      <c r="C4330" s="14" t="s">
        <v>1520</v>
      </c>
      <c r="D4330" s="14" t="s">
        <v>848</v>
      </c>
      <c r="E4330" s="1">
        <v>280.48</v>
      </c>
      <c r="F4330" s="2"/>
      <c r="G4330" s="1"/>
      <c r="H4330" s="3"/>
      <c r="I4330" s="14" t="s">
        <v>4689</v>
      </c>
    </row>
    <row r="4331" spans="1:9" ht="18.75" customHeight="1" x14ac:dyDescent="0.4">
      <c r="A4331" s="14" t="s">
        <v>6698</v>
      </c>
      <c r="B4331" s="16" t="str">
        <f>TRIM("緑木第2住宅")</f>
        <v>緑木第2住宅</v>
      </c>
      <c r="C4331" s="14" t="s">
        <v>1520</v>
      </c>
      <c r="D4331" s="14" t="s">
        <v>849</v>
      </c>
      <c r="E4331" s="1">
        <v>1495.91</v>
      </c>
      <c r="F4331" s="2"/>
      <c r="G4331" s="1">
        <v>3648.4</v>
      </c>
      <c r="H4331" s="3"/>
      <c r="I4331" s="14" t="s">
        <v>6177</v>
      </c>
    </row>
    <row r="4332" spans="1:9" ht="18.75" customHeight="1" x14ac:dyDescent="0.4">
      <c r="A4332" s="14" t="s">
        <v>3375</v>
      </c>
      <c r="B4332" s="16" t="str">
        <f>TRIM("　緑木公園")</f>
        <v>緑木公園</v>
      </c>
      <c r="C4332" s="14" t="s">
        <v>1520</v>
      </c>
      <c r="D4332" s="14" t="s">
        <v>849</v>
      </c>
      <c r="E4332" s="1">
        <v>1303.02</v>
      </c>
      <c r="F4332" s="2"/>
      <c r="G4332" s="1"/>
      <c r="H4332" s="3"/>
      <c r="I4332" s="14" t="s">
        <v>2177</v>
      </c>
    </row>
    <row r="4333" spans="1:9" ht="18.75" customHeight="1" x14ac:dyDescent="0.4">
      <c r="A4333" s="14" t="s">
        <v>3724</v>
      </c>
      <c r="B4333" s="16" t="str">
        <f>TRIM(" 住之江公園駅自転車駐車場トイレ")</f>
        <v>住之江公園駅自転車駐車場トイレ</v>
      </c>
      <c r="C4333" s="14" t="s">
        <v>1520</v>
      </c>
      <c r="D4333" s="14" t="s">
        <v>1485</v>
      </c>
      <c r="E4333" s="1"/>
      <c r="F4333" s="2"/>
      <c r="G4333" s="1">
        <v>1.44</v>
      </c>
      <c r="H4333" s="3"/>
      <c r="I4333" s="14" t="s">
        <v>2177</v>
      </c>
    </row>
    <row r="4334" spans="1:9" ht="18.75" customHeight="1" x14ac:dyDescent="0.4">
      <c r="A4334" s="14" t="s">
        <v>3830</v>
      </c>
      <c r="B4334" s="16" t="str">
        <f>TRIM("住之江公園駅自転車駐車場北管理ボックス")</f>
        <v>住之江公園駅自転車駐車場北管理ボックス</v>
      </c>
      <c r="C4334" s="14" t="s">
        <v>1520</v>
      </c>
      <c r="D4334" s="14" t="s">
        <v>1485</v>
      </c>
      <c r="E4334" s="1"/>
      <c r="F4334" s="2"/>
      <c r="G4334" s="1">
        <v>3.89</v>
      </c>
      <c r="H4334" s="3"/>
      <c r="I4334" s="14" t="s">
        <v>2177</v>
      </c>
    </row>
    <row r="4335" spans="1:9" ht="18.75" customHeight="1" x14ac:dyDescent="0.4">
      <c r="A4335" s="14" t="s">
        <v>1755</v>
      </c>
      <c r="B4335" s="16" t="str">
        <f>TRIM("敷津浦学園")</f>
        <v>敷津浦学園</v>
      </c>
      <c r="C4335" s="14" t="s">
        <v>1520</v>
      </c>
      <c r="D4335" s="14" t="s">
        <v>364</v>
      </c>
      <c r="E4335" s="1">
        <v>3621</v>
      </c>
      <c r="F4335" s="2"/>
      <c r="G4335" s="1">
        <v>1700.62</v>
      </c>
      <c r="H4335" s="3"/>
      <c r="I4335" s="14" t="s">
        <v>1654</v>
      </c>
    </row>
    <row r="4336" spans="1:9" ht="18.75" customHeight="1" x14ac:dyDescent="0.4">
      <c r="A4336" s="14" t="s">
        <v>4606</v>
      </c>
      <c r="B4336" s="16" t="str">
        <f>TRIM("住之江会館")</f>
        <v>住之江会館</v>
      </c>
      <c r="C4336" s="14" t="s">
        <v>1520</v>
      </c>
      <c r="D4336" s="14" t="s">
        <v>364</v>
      </c>
      <c r="E4336" s="1">
        <v>1454.36</v>
      </c>
      <c r="F4336" s="2"/>
      <c r="G4336" s="1">
        <v>652.52</v>
      </c>
      <c r="H4336" s="3"/>
      <c r="I4336" s="14" t="s">
        <v>1994</v>
      </c>
    </row>
    <row r="4337" spans="1:9" ht="18.75" customHeight="1" x14ac:dyDescent="0.4">
      <c r="A4337" s="14" t="s">
        <v>1791</v>
      </c>
      <c r="B4337" s="16" t="str">
        <f>TRIM("住之江区老人福祉センター")</f>
        <v>住之江区老人福祉センター</v>
      </c>
      <c r="C4337" s="14" t="s">
        <v>1520</v>
      </c>
      <c r="D4337" s="14" t="s">
        <v>364</v>
      </c>
      <c r="E4337" s="1"/>
      <c r="F4337" s="2"/>
      <c r="G4337" s="1">
        <v>672.23</v>
      </c>
      <c r="H4337" s="3"/>
      <c r="I4337" s="14" t="s">
        <v>1654</v>
      </c>
    </row>
    <row r="4338" spans="1:9" ht="18.75" customHeight="1" x14ac:dyDescent="0.4">
      <c r="A4338" s="14" t="s">
        <v>1918</v>
      </c>
      <c r="B4338" s="16" t="str">
        <f>TRIM("特別養護老人ホームいわき園・住之江地域在宅サービスステーション")</f>
        <v>特別養護老人ホームいわき園・住之江地域在宅サービスステーション</v>
      </c>
      <c r="C4338" s="14" t="s">
        <v>1520</v>
      </c>
      <c r="D4338" s="14" t="s">
        <v>364</v>
      </c>
      <c r="E4338" s="1">
        <v>2389.73</v>
      </c>
      <c r="F4338" s="2"/>
      <c r="G4338" s="1"/>
      <c r="H4338" s="3"/>
      <c r="I4338" s="14" t="s">
        <v>1654</v>
      </c>
    </row>
    <row r="4339" spans="1:9" ht="18.75" customHeight="1" x14ac:dyDescent="0.4">
      <c r="A4339" s="14" t="s">
        <v>3177</v>
      </c>
      <c r="B4339" s="16" t="str">
        <f>TRIM("　南加賀屋公園")</f>
        <v>南加賀屋公園</v>
      </c>
      <c r="C4339" s="14" t="s">
        <v>1520</v>
      </c>
      <c r="D4339" s="14" t="s">
        <v>364</v>
      </c>
      <c r="E4339" s="1">
        <v>1642.97</v>
      </c>
      <c r="F4339" s="2"/>
      <c r="G4339" s="1"/>
      <c r="H4339" s="3"/>
      <c r="I4339" s="14" t="s">
        <v>2177</v>
      </c>
    </row>
    <row r="4340" spans="1:9" ht="18.75" customHeight="1" x14ac:dyDescent="0.4">
      <c r="A4340" s="14" t="s">
        <v>5193</v>
      </c>
      <c r="B4340" s="16" t="str">
        <f>TRIM("住之江図書館")</f>
        <v>住之江図書館</v>
      </c>
      <c r="C4340" s="14" t="s">
        <v>1520</v>
      </c>
      <c r="D4340" s="14" t="s">
        <v>364</v>
      </c>
      <c r="E4340" s="1"/>
      <c r="F4340" s="2"/>
      <c r="G4340" s="1">
        <v>788.53</v>
      </c>
      <c r="H4340" s="3"/>
      <c r="I4340" s="14" t="s">
        <v>4689</v>
      </c>
    </row>
    <row r="4341" spans="1:9" ht="18.75" customHeight="1" x14ac:dyDescent="0.4">
      <c r="A4341" s="14" t="s">
        <v>2522</v>
      </c>
      <c r="B4341" s="16" t="str">
        <f>TRIM("　　加賀屋緑地")</f>
        <v>加賀屋緑地</v>
      </c>
      <c r="C4341" s="14" t="s">
        <v>1520</v>
      </c>
      <c r="D4341" s="14" t="s">
        <v>991</v>
      </c>
      <c r="E4341" s="1">
        <v>4821.5600000000004</v>
      </c>
      <c r="F4341" s="2"/>
      <c r="G4341" s="1"/>
      <c r="H4341" s="3"/>
      <c r="I4341" s="14" t="s">
        <v>2177</v>
      </c>
    </row>
    <row r="4342" spans="1:9" ht="18.75" customHeight="1" x14ac:dyDescent="0.4">
      <c r="A4342" s="14" t="s">
        <v>3178</v>
      </c>
      <c r="B4342" s="16" t="str">
        <f>TRIM("　南加賀屋西公園")</f>
        <v>南加賀屋西公園</v>
      </c>
      <c r="C4342" s="14" t="s">
        <v>1520</v>
      </c>
      <c r="D4342" s="14" t="s">
        <v>991</v>
      </c>
      <c r="E4342" s="1">
        <v>584.5</v>
      </c>
      <c r="F4342" s="2"/>
      <c r="G4342" s="1"/>
      <c r="H4342" s="3"/>
      <c r="I4342" s="14" t="s">
        <v>2177</v>
      </c>
    </row>
    <row r="4343" spans="1:9" ht="18.75" customHeight="1" x14ac:dyDescent="0.4">
      <c r="A4343" s="14" t="s">
        <v>3523</v>
      </c>
      <c r="B4343" s="16" t="str">
        <f>TRIM("　　加賀屋緑地")</f>
        <v>加賀屋緑地</v>
      </c>
      <c r="C4343" s="14" t="s">
        <v>1520</v>
      </c>
      <c r="D4343" s="14" t="s">
        <v>991</v>
      </c>
      <c r="E4343" s="1"/>
      <c r="F4343" s="2"/>
      <c r="G4343" s="1">
        <v>448.89</v>
      </c>
      <c r="H4343" s="3"/>
      <c r="I4343" s="14" t="s">
        <v>2177</v>
      </c>
    </row>
    <row r="4344" spans="1:9" ht="18.75" customHeight="1" x14ac:dyDescent="0.4">
      <c r="A4344" s="14" t="s">
        <v>6479</v>
      </c>
      <c r="B4344" s="16" t="str">
        <f>TRIM("浅香南住宅")</f>
        <v>浅香南住宅</v>
      </c>
      <c r="C4344" s="14" t="s">
        <v>1523</v>
      </c>
      <c r="D4344" s="14" t="s">
        <v>74</v>
      </c>
      <c r="E4344" s="1">
        <v>14548.1</v>
      </c>
      <c r="F4344" s="2"/>
      <c r="G4344" s="1">
        <v>9250.09</v>
      </c>
      <c r="H4344" s="3"/>
      <c r="I4344" s="14" t="s">
        <v>6177</v>
      </c>
    </row>
    <row r="4345" spans="1:9" ht="18.75" customHeight="1" x14ac:dyDescent="0.4">
      <c r="A4345" s="14" t="s">
        <v>6204</v>
      </c>
      <c r="B4345" s="16" t="str">
        <f>TRIM("浅香第2住宅地区改良事業用地")</f>
        <v>浅香第2住宅地区改良事業用地</v>
      </c>
      <c r="C4345" s="14" t="s">
        <v>1523</v>
      </c>
      <c r="D4345" s="14" t="s">
        <v>74</v>
      </c>
      <c r="E4345" s="1">
        <v>146.97999999999999</v>
      </c>
      <c r="F4345" s="2"/>
      <c r="G4345" s="1"/>
      <c r="H4345" s="3"/>
      <c r="I4345" s="14" t="s">
        <v>6177</v>
      </c>
    </row>
    <row r="4346" spans="1:9" ht="18.75" customHeight="1" x14ac:dyDescent="0.4">
      <c r="A4346" s="14" t="s">
        <v>6476</v>
      </c>
      <c r="B4346" s="16" t="str">
        <f>TRIM("浅香第2住宅")</f>
        <v>浅香第2住宅</v>
      </c>
      <c r="C4346" s="14" t="s">
        <v>1523</v>
      </c>
      <c r="D4346" s="14" t="s">
        <v>74</v>
      </c>
      <c r="E4346" s="1">
        <v>10190.14</v>
      </c>
      <c r="F4346" s="2" t="s">
        <v>7347</v>
      </c>
      <c r="G4346" s="1">
        <v>5043.97</v>
      </c>
      <c r="H4346" s="3"/>
      <c r="I4346" s="14" t="s">
        <v>6177</v>
      </c>
    </row>
    <row r="4347" spans="1:9" ht="18.75" customHeight="1" x14ac:dyDescent="0.4">
      <c r="A4347" s="14" t="s">
        <v>3005</v>
      </c>
      <c r="B4347" s="16" t="str">
        <f>TRIM("　大和川公園")</f>
        <v>大和川公園</v>
      </c>
      <c r="C4347" s="14" t="s">
        <v>1523</v>
      </c>
      <c r="D4347" s="14" t="s">
        <v>74</v>
      </c>
      <c r="E4347" s="1">
        <v>60022.78</v>
      </c>
      <c r="F4347" s="2" t="s">
        <v>7332</v>
      </c>
      <c r="G4347" s="1"/>
      <c r="H4347" s="3"/>
      <c r="I4347" s="14" t="s">
        <v>2177</v>
      </c>
    </row>
    <row r="4348" spans="1:9" ht="18.75" customHeight="1" x14ac:dyDescent="0.4">
      <c r="A4348" s="14" t="s">
        <v>4756</v>
      </c>
      <c r="B4348" s="16" t="str">
        <f>TRIM("我孫子南中学校")</f>
        <v>我孫子南中学校</v>
      </c>
      <c r="C4348" s="14" t="s">
        <v>1523</v>
      </c>
      <c r="D4348" s="14" t="s">
        <v>74</v>
      </c>
      <c r="E4348" s="1">
        <v>16000</v>
      </c>
      <c r="F4348" s="2"/>
      <c r="G4348" s="1">
        <v>10717.58</v>
      </c>
      <c r="H4348" s="3"/>
      <c r="I4348" s="14" t="s">
        <v>4689</v>
      </c>
    </row>
    <row r="4349" spans="1:9" ht="18.75" customHeight="1" x14ac:dyDescent="0.4">
      <c r="A4349" s="14" t="s">
        <v>6139</v>
      </c>
      <c r="B4349" s="16" t="str">
        <f>TRIM("浅香霊園")</f>
        <v>浅香霊園</v>
      </c>
      <c r="C4349" s="14" t="s">
        <v>1523</v>
      </c>
      <c r="D4349" s="14" t="s">
        <v>74</v>
      </c>
      <c r="E4349" s="1">
        <v>1418.54</v>
      </c>
      <c r="F4349" s="2"/>
      <c r="G4349" s="1">
        <v>4.4000000000000004</v>
      </c>
      <c r="H4349" s="3"/>
      <c r="I4349" s="14" t="s">
        <v>5977</v>
      </c>
    </row>
    <row r="4350" spans="1:9" ht="18.75" customHeight="1" x14ac:dyDescent="0.4">
      <c r="A4350" s="14" t="s">
        <v>1722</v>
      </c>
      <c r="B4350" s="16" t="str">
        <f>TRIM("障がい福祉サービス事業所　はぁとらんど浅香")</f>
        <v>障がい福祉サービス事業所　はぁとらんど浅香</v>
      </c>
      <c r="C4350" s="14" t="s">
        <v>1523</v>
      </c>
      <c r="D4350" s="14" t="s">
        <v>74</v>
      </c>
      <c r="E4350" s="1">
        <v>950</v>
      </c>
      <c r="F4350" s="2"/>
      <c r="G4350" s="1"/>
      <c r="H4350" s="3"/>
      <c r="I4350" s="14" t="s">
        <v>1654</v>
      </c>
    </row>
    <row r="4351" spans="1:9" ht="18.75" customHeight="1" x14ac:dyDescent="0.4">
      <c r="A4351" s="14" t="s">
        <v>1764</v>
      </c>
      <c r="B4351" s="16" t="str">
        <f>TRIM("障がい福祉サービス事業所 ひかり荘")</f>
        <v>障がい福祉サービス事業所 ひかり荘</v>
      </c>
      <c r="C4351" s="14" t="s">
        <v>1523</v>
      </c>
      <c r="D4351" s="14" t="s">
        <v>74</v>
      </c>
      <c r="E4351" s="1"/>
      <c r="F4351" s="2"/>
      <c r="G4351" s="1">
        <v>205.04</v>
      </c>
      <c r="H4351" s="3"/>
      <c r="I4351" s="14" t="s">
        <v>1654</v>
      </c>
    </row>
    <row r="4352" spans="1:9" ht="18.75" customHeight="1" x14ac:dyDescent="0.4">
      <c r="A4352" s="14" t="s">
        <v>1765</v>
      </c>
      <c r="B4352" s="16" t="str">
        <f>TRIM("障がい福祉サービス事業所　ひかり荘")</f>
        <v>障がい福祉サービス事業所　ひかり荘</v>
      </c>
      <c r="C4352" s="14" t="s">
        <v>1523</v>
      </c>
      <c r="D4352" s="14" t="s">
        <v>74</v>
      </c>
      <c r="E4352" s="1">
        <v>300</v>
      </c>
      <c r="F4352" s="2"/>
      <c r="G4352" s="1"/>
      <c r="H4352" s="3"/>
      <c r="I4352" s="14" t="s">
        <v>1654</v>
      </c>
    </row>
    <row r="4353" spans="1:9" ht="18.75" customHeight="1" x14ac:dyDescent="0.4">
      <c r="A4353" s="14" t="s">
        <v>1773</v>
      </c>
      <c r="B4353" s="16" t="str">
        <f>TRIM("もと地域活動支援プラザ浅香")</f>
        <v>もと地域活動支援プラザ浅香</v>
      </c>
      <c r="C4353" s="14" t="s">
        <v>1523</v>
      </c>
      <c r="D4353" s="14" t="s">
        <v>74</v>
      </c>
      <c r="E4353" s="1">
        <v>65.72</v>
      </c>
      <c r="F4353" s="2"/>
      <c r="G4353" s="1"/>
      <c r="H4353" s="3"/>
      <c r="I4353" s="14" t="s">
        <v>1654</v>
      </c>
    </row>
    <row r="4354" spans="1:9" ht="18.75" customHeight="1" x14ac:dyDescent="0.4">
      <c r="A4354" s="14" t="s">
        <v>1806</v>
      </c>
      <c r="B4354" s="16" t="str">
        <f>TRIM("もと浅香老人憩の家")</f>
        <v>もと浅香老人憩の家</v>
      </c>
      <c r="C4354" s="14" t="s">
        <v>1523</v>
      </c>
      <c r="D4354" s="14" t="s">
        <v>74</v>
      </c>
      <c r="E4354" s="1">
        <v>5.97</v>
      </c>
      <c r="F4354" s="2"/>
      <c r="G4354" s="1"/>
      <c r="H4354" s="3"/>
      <c r="I4354" s="14" t="s">
        <v>1654</v>
      </c>
    </row>
    <row r="4355" spans="1:9" ht="18.75" customHeight="1" x14ac:dyDescent="0.4">
      <c r="A4355" s="14" t="s">
        <v>1878</v>
      </c>
      <c r="B4355" s="16" t="str">
        <f>TRIM("住吉区在宅サービスセンター")</f>
        <v>住吉区在宅サービスセンター</v>
      </c>
      <c r="C4355" s="14" t="s">
        <v>1523</v>
      </c>
      <c r="D4355" s="14" t="s">
        <v>74</v>
      </c>
      <c r="E4355" s="1">
        <v>1400</v>
      </c>
      <c r="F4355" s="2"/>
      <c r="G4355" s="1"/>
      <c r="H4355" s="3"/>
      <c r="I4355" s="14" t="s">
        <v>1654</v>
      </c>
    </row>
    <row r="4356" spans="1:9" ht="18.75" customHeight="1" x14ac:dyDescent="0.4">
      <c r="A4356" s="14" t="s">
        <v>1916</v>
      </c>
      <c r="B4356" s="16" t="str">
        <f>TRIM("特別養護老人ホームアップリケアホーム・軽費老人ホームアップリケアハウス")</f>
        <v>特別養護老人ホームアップリケアホーム・軽費老人ホームアップリケアハウス</v>
      </c>
      <c r="C4356" s="14" t="s">
        <v>1523</v>
      </c>
      <c r="D4356" s="14" t="s">
        <v>74</v>
      </c>
      <c r="E4356" s="1">
        <v>3300</v>
      </c>
      <c r="F4356" s="2"/>
      <c r="G4356" s="1"/>
      <c r="H4356" s="3"/>
      <c r="I4356" s="14" t="s">
        <v>1654</v>
      </c>
    </row>
    <row r="4357" spans="1:9" ht="18.75" customHeight="1" x14ac:dyDescent="0.4">
      <c r="A4357" s="14" t="s">
        <v>2342</v>
      </c>
      <c r="B4357" s="16" t="str">
        <f>TRIM("府道大阪高石線(住吉)(もと交通局)")</f>
        <v>府道大阪高石線(住吉)(もと交通局)</v>
      </c>
      <c r="C4357" s="14" t="s">
        <v>1523</v>
      </c>
      <c r="D4357" s="14" t="s">
        <v>74</v>
      </c>
      <c r="E4357" s="1">
        <v>20153.080000000002</v>
      </c>
      <c r="F4357" s="2"/>
      <c r="G4357" s="1"/>
      <c r="H4357" s="3"/>
      <c r="I4357" s="14" t="s">
        <v>2177</v>
      </c>
    </row>
    <row r="4358" spans="1:9" ht="18.75" customHeight="1" x14ac:dyDescent="0.4">
      <c r="A4358" s="14" t="s">
        <v>2968</v>
      </c>
      <c r="B4358" s="16" t="str">
        <f>TRIM("　浅香中央公園")</f>
        <v>浅香中央公園</v>
      </c>
      <c r="C4358" s="14" t="s">
        <v>1523</v>
      </c>
      <c r="D4358" s="14" t="s">
        <v>74</v>
      </c>
      <c r="E4358" s="1">
        <v>574.87</v>
      </c>
      <c r="F4358" s="2"/>
      <c r="G4358" s="1"/>
      <c r="H4358" s="3"/>
      <c r="I4358" s="14" t="s">
        <v>2177</v>
      </c>
    </row>
    <row r="4359" spans="1:9" ht="18.75" customHeight="1" x14ac:dyDescent="0.4">
      <c r="A4359" s="14" t="s">
        <v>2970</v>
      </c>
      <c r="B4359" s="16" t="str">
        <f>TRIM("　浅香南公園")</f>
        <v>浅香南公園</v>
      </c>
      <c r="C4359" s="14" t="s">
        <v>1523</v>
      </c>
      <c r="D4359" s="14" t="s">
        <v>74</v>
      </c>
      <c r="E4359" s="1">
        <v>494.57</v>
      </c>
      <c r="F4359" s="2"/>
      <c r="G4359" s="1"/>
      <c r="H4359" s="3"/>
      <c r="I4359" s="14" t="s">
        <v>2177</v>
      </c>
    </row>
    <row r="4360" spans="1:9" ht="18.75" customHeight="1" x14ac:dyDescent="0.4">
      <c r="A4360" s="14" t="s">
        <v>3605</v>
      </c>
      <c r="B4360" s="16" t="str">
        <f>TRIM("　浅香中央公園")</f>
        <v>浅香中央公園</v>
      </c>
      <c r="C4360" s="14" t="s">
        <v>1523</v>
      </c>
      <c r="D4360" s="14" t="s">
        <v>74</v>
      </c>
      <c r="E4360" s="1"/>
      <c r="F4360" s="2"/>
      <c r="G4360" s="1">
        <v>167.86</v>
      </c>
      <c r="H4360" s="3"/>
      <c r="I4360" s="14" t="s">
        <v>2177</v>
      </c>
    </row>
    <row r="4361" spans="1:9" ht="18.75" customHeight="1" x14ac:dyDescent="0.4">
      <c r="A4361" s="14" t="s">
        <v>5885</v>
      </c>
      <c r="B4361" s="16" t="str">
        <f>TRIM("もと浅香東保育所")</f>
        <v>もと浅香東保育所</v>
      </c>
      <c r="C4361" s="14" t="s">
        <v>1523</v>
      </c>
      <c r="D4361" s="14" t="s">
        <v>74</v>
      </c>
      <c r="E4361" s="1">
        <v>243.85</v>
      </c>
      <c r="F4361" s="2"/>
      <c r="G4361" s="1"/>
      <c r="H4361" s="3"/>
      <c r="I4361" s="14" t="s">
        <v>5617</v>
      </c>
    </row>
    <row r="4362" spans="1:9" ht="18.75" customHeight="1" x14ac:dyDescent="0.4">
      <c r="A4362" s="14" t="s">
        <v>5952</v>
      </c>
      <c r="B4362" s="16" t="str">
        <f>TRIM("浅香東保育園")</f>
        <v>浅香東保育園</v>
      </c>
      <c r="C4362" s="14" t="s">
        <v>1523</v>
      </c>
      <c r="D4362" s="14" t="s">
        <v>74</v>
      </c>
      <c r="E4362" s="1">
        <v>1133.42</v>
      </c>
      <c r="F4362" s="2"/>
      <c r="G4362" s="1"/>
      <c r="H4362" s="3"/>
      <c r="I4362" s="14" t="s">
        <v>5617</v>
      </c>
    </row>
    <row r="4363" spans="1:9" ht="18.75" customHeight="1" x14ac:dyDescent="0.4">
      <c r="A4363" s="14" t="s">
        <v>6893</v>
      </c>
      <c r="B4363" s="16" t="str">
        <f>TRIM("浅香南住宅")</f>
        <v>浅香南住宅</v>
      </c>
      <c r="C4363" s="14" t="s">
        <v>1523</v>
      </c>
      <c r="D4363" s="14" t="s">
        <v>74</v>
      </c>
      <c r="E4363" s="1">
        <v>403.32</v>
      </c>
      <c r="F4363" s="2" t="s">
        <v>7354</v>
      </c>
      <c r="G4363" s="1"/>
      <c r="H4363" s="3"/>
      <c r="I4363" s="14" t="s">
        <v>6177</v>
      </c>
    </row>
    <row r="4364" spans="1:9" ht="18.75" customHeight="1" x14ac:dyDescent="0.4">
      <c r="A4364" s="14" t="s">
        <v>7101</v>
      </c>
      <c r="B4364" s="16" t="str">
        <f>TRIM("住吉スポーツセンター")</f>
        <v>住吉スポーツセンター</v>
      </c>
      <c r="C4364" s="14" t="s">
        <v>1523</v>
      </c>
      <c r="D4364" s="14" t="s">
        <v>74</v>
      </c>
      <c r="E4364" s="1"/>
      <c r="F4364" s="2"/>
      <c r="G4364" s="1">
        <v>11363.46</v>
      </c>
      <c r="H4364" s="3"/>
      <c r="I4364" s="14" t="s">
        <v>4115</v>
      </c>
    </row>
    <row r="4365" spans="1:9" ht="18.75" customHeight="1" x14ac:dyDescent="0.4">
      <c r="A4365" s="14" t="s">
        <v>7102</v>
      </c>
      <c r="B4365" s="16" t="str">
        <f>TRIM("住吉スポーツセンター・住吉屋内プール")</f>
        <v>住吉スポーツセンター・住吉屋内プール</v>
      </c>
      <c r="C4365" s="14" t="s">
        <v>1523</v>
      </c>
      <c r="D4365" s="14" t="s">
        <v>74</v>
      </c>
      <c r="E4365" s="1">
        <v>9108.0300000000007</v>
      </c>
      <c r="F4365" s="2"/>
      <c r="G4365" s="1"/>
      <c r="H4365" s="3"/>
      <c r="I4365" s="14" t="s">
        <v>4115</v>
      </c>
    </row>
    <row r="4366" spans="1:9" ht="18.75" customHeight="1" x14ac:dyDescent="0.4">
      <c r="A4366" s="14" t="s">
        <v>7103</v>
      </c>
      <c r="B4366" s="16" t="str">
        <f>TRIM("住吉屋内プール")</f>
        <v>住吉屋内プール</v>
      </c>
      <c r="C4366" s="14" t="s">
        <v>1523</v>
      </c>
      <c r="D4366" s="14" t="s">
        <v>74</v>
      </c>
      <c r="E4366" s="1"/>
      <c r="F4366" s="2"/>
      <c r="G4366" s="1">
        <v>2824.14</v>
      </c>
      <c r="H4366" s="3"/>
      <c r="I4366" s="14" t="s">
        <v>4115</v>
      </c>
    </row>
    <row r="4367" spans="1:9" ht="18.75" customHeight="1" x14ac:dyDescent="0.4">
      <c r="A4367" s="14" t="s">
        <v>2967</v>
      </c>
      <c r="B4367" s="16" t="str">
        <f>TRIM("　浅香西公園")</f>
        <v>浅香西公園</v>
      </c>
      <c r="C4367" s="14" t="s">
        <v>1523</v>
      </c>
      <c r="D4367" s="14" t="s">
        <v>100</v>
      </c>
      <c r="E4367" s="1">
        <v>2291.4899999999998</v>
      </c>
      <c r="F4367" s="2">
        <v>607</v>
      </c>
      <c r="G4367" s="1"/>
      <c r="H4367" s="3"/>
      <c r="I4367" s="14" t="s">
        <v>2177</v>
      </c>
    </row>
    <row r="4368" spans="1:9" ht="18.75" customHeight="1" x14ac:dyDescent="0.4">
      <c r="A4368" s="14" t="s">
        <v>6205</v>
      </c>
      <c r="B4368" s="16" t="str">
        <f>TRIM("浅香第3住宅地区改良事業用地")</f>
        <v>浅香第3住宅地区改良事業用地</v>
      </c>
      <c r="C4368" s="14" t="s">
        <v>1523</v>
      </c>
      <c r="D4368" s="14" t="s">
        <v>100</v>
      </c>
      <c r="E4368" s="1">
        <v>4161.01</v>
      </c>
      <c r="F4368" s="2" t="s">
        <v>7360</v>
      </c>
      <c r="G4368" s="1"/>
      <c r="H4368" s="3"/>
      <c r="I4368" s="14" t="s">
        <v>6177</v>
      </c>
    </row>
    <row r="4369" spans="1:9" ht="18.75" customHeight="1" x14ac:dyDescent="0.4">
      <c r="A4369" s="14" t="s">
        <v>1602</v>
      </c>
      <c r="B4369" s="16" t="str">
        <f>TRIM("もと市民交流センターすみよし南")</f>
        <v>もと市民交流センターすみよし南</v>
      </c>
      <c r="C4369" s="14" t="s">
        <v>1523</v>
      </c>
      <c r="D4369" s="14" t="s">
        <v>100</v>
      </c>
      <c r="E4369" s="1">
        <v>9511.0300000000007</v>
      </c>
      <c r="F4369" s="2">
        <v>1730</v>
      </c>
      <c r="G4369" s="1"/>
      <c r="H4369" s="3"/>
      <c r="I4369" s="14" t="s">
        <v>1598</v>
      </c>
    </row>
    <row r="4370" spans="1:9" ht="18.75" customHeight="1" x14ac:dyDescent="0.4">
      <c r="A4370" s="14" t="s">
        <v>6474</v>
      </c>
      <c r="B4370" s="16" t="str">
        <f>TRIM("浅香住宅")</f>
        <v>浅香住宅</v>
      </c>
      <c r="C4370" s="14" t="s">
        <v>1523</v>
      </c>
      <c r="D4370" s="14" t="s">
        <v>100</v>
      </c>
      <c r="E4370" s="1">
        <v>3149.12</v>
      </c>
      <c r="F4370" s="2">
        <v>2031</v>
      </c>
      <c r="G4370" s="1">
        <v>4404.37</v>
      </c>
      <c r="H4370" s="3"/>
      <c r="I4370" s="14" t="s">
        <v>6177</v>
      </c>
    </row>
    <row r="4371" spans="1:9" ht="18.75" customHeight="1" x14ac:dyDescent="0.4">
      <c r="A4371" s="14" t="s">
        <v>6477</v>
      </c>
      <c r="B4371" s="16" t="str">
        <f>TRIM("浅香第3住宅")</f>
        <v>浅香第3住宅</v>
      </c>
      <c r="C4371" s="14" t="s">
        <v>1523</v>
      </c>
      <c r="D4371" s="14" t="s">
        <v>100</v>
      </c>
      <c r="E4371" s="1">
        <v>8053.96</v>
      </c>
      <c r="F4371" s="2"/>
      <c r="G4371" s="1">
        <v>5390.7</v>
      </c>
      <c r="H4371" s="3"/>
      <c r="I4371" s="14" t="s">
        <v>6177</v>
      </c>
    </row>
    <row r="4372" spans="1:9" ht="18.75" customHeight="1" x14ac:dyDescent="0.4">
      <c r="A4372" s="14" t="s">
        <v>6892</v>
      </c>
      <c r="B4372" s="16" t="str">
        <f>TRIM("浅香第3住宅")</f>
        <v>浅香第3住宅</v>
      </c>
      <c r="C4372" s="14" t="s">
        <v>1523</v>
      </c>
      <c r="D4372" s="14" t="s">
        <v>100</v>
      </c>
      <c r="E4372" s="1">
        <v>277.8</v>
      </c>
      <c r="F4372" s="2"/>
      <c r="G4372" s="1"/>
      <c r="H4372" s="3"/>
      <c r="I4372" s="14" t="s">
        <v>6177</v>
      </c>
    </row>
    <row r="4373" spans="1:9" ht="18.75" customHeight="1" x14ac:dyDescent="0.4">
      <c r="A4373" s="14" t="s">
        <v>6475</v>
      </c>
      <c r="B4373" s="16" t="str">
        <f>TRIM("浅香西住宅")</f>
        <v>浅香西住宅</v>
      </c>
      <c r="C4373" s="14" t="s">
        <v>1523</v>
      </c>
      <c r="D4373" s="14" t="s">
        <v>100</v>
      </c>
      <c r="E4373" s="1">
        <v>8998.69</v>
      </c>
      <c r="F4373" s="2"/>
      <c r="G4373" s="1">
        <v>8381.3700000000008</v>
      </c>
      <c r="H4373" s="3"/>
      <c r="I4373" s="14" t="s">
        <v>6177</v>
      </c>
    </row>
    <row r="4374" spans="1:9" ht="18.75" customHeight="1" x14ac:dyDescent="0.4">
      <c r="A4374" s="14" t="s">
        <v>6478</v>
      </c>
      <c r="B4374" s="16" t="str">
        <f>TRIM("浅香中住宅")</f>
        <v>浅香中住宅</v>
      </c>
      <c r="C4374" s="14" t="s">
        <v>1523</v>
      </c>
      <c r="D4374" s="14" t="s">
        <v>100</v>
      </c>
      <c r="E4374" s="1">
        <v>1379.55</v>
      </c>
      <c r="F4374" s="2"/>
      <c r="G4374" s="1">
        <v>4840.7299999999996</v>
      </c>
      <c r="H4374" s="3"/>
      <c r="I4374" s="14" t="s">
        <v>6177</v>
      </c>
    </row>
    <row r="4375" spans="1:9" ht="18.75" customHeight="1" x14ac:dyDescent="0.4">
      <c r="A4375" s="14" t="s">
        <v>2420</v>
      </c>
      <c r="B4375" s="16" t="str">
        <f>TRIM("道路（住吉）（道路課）")</f>
        <v>道路（住吉）（道路課）</v>
      </c>
      <c r="C4375" s="14" t="s">
        <v>1523</v>
      </c>
      <c r="D4375" s="14" t="s">
        <v>100</v>
      </c>
      <c r="E4375" s="1">
        <v>1189.6400000000001</v>
      </c>
      <c r="F4375" s="2"/>
      <c r="G4375" s="1"/>
      <c r="H4375" s="3"/>
      <c r="I4375" s="14" t="s">
        <v>2177</v>
      </c>
    </row>
    <row r="4376" spans="1:9" ht="18.75" customHeight="1" x14ac:dyDescent="0.4">
      <c r="A4376" s="14" t="s">
        <v>2969</v>
      </c>
      <c r="B4376" s="16" t="str">
        <f>TRIM("　浅香町公園")</f>
        <v>浅香町公園</v>
      </c>
      <c r="C4376" s="14" t="s">
        <v>1523</v>
      </c>
      <c r="D4376" s="14" t="s">
        <v>100</v>
      </c>
      <c r="E4376" s="1">
        <v>2759.4</v>
      </c>
      <c r="F4376" s="2"/>
      <c r="G4376" s="1"/>
      <c r="H4376" s="3"/>
      <c r="I4376" s="14" t="s">
        <v>2177</v>
      </c>
    </row>
    <row r="4377" spans="1:9" ht="18.75" customHeight="1" x14ac:dyDescent="0.4">
      <c r="A4377" s="14" t="s">
        <v>6206</v>
      </c>
      <c r="B4377" s="16" t="str">
        <f>TRIM("浅香第3住宅付帯施設用地")</f>
        <v>浅香第3住宅付帯施設用地</v>
      </c>
      <c r="C4377" s="14" t="s">
        <v>1523</v>
      </c>
      <c r="D4377" s="14" t="s">
        <v>100</v>
      </c>
      <c r="E4377" s="1">
        <v>304.14999999999998</v>
      </c>
      <c r="F4377" s="2">
        <v>2030</v>
      </c>
      <c r="G4377" s="1"/>
      <c r="H4377" s="3"/>
      <c r="I4377" s="14" t="s">
        <v>6177</v>
      </c>
    </row>
    <row r="4378" spans="1:9" ht="18.75" customHeight="1" x14ac:dyDescent="0.4">
      <c r="A4378" s="14" t="s">
        <v>6891</v>
      </c>
      <c r="B4378" s="16" t="str">
        <f>TRIM("浅香西地区改良事業用地")</f>
        <v>浅香西地区改良事業用地</v>
      </c>
      <c r="C4378" s="14" t="s">
        <v>1523</v>
      </c>
      <c r="D4378" s="14" t="s">
        <v>100</v>
      </c>
      <c r="E4378" s="1">
        <v>6478.84</v>
      </c>
      <c r="F4378" s="2"/>
      <c r="G4378" s="1"/>
      <c r="H4378" s="3"/>
      <c r="I4378" s="14" t="s">
        <v>6177</v>
      </c>
    </row>
    <row r="4379" spans="1:9" ht="18.75" customHeight="1" x14ac:dyDescent="0.4">
      <c r="A4379" s="14" t="s">
        <v>6336</v>
      </c>
      <c r="B4379" s="16" t="str">
        <f>TRIM("我孫子東第6住宅")</f>
        <v>我孫子東第6住宅</v>
      </c>
      <c r="C4379" s="14" t="s">
        <v>1523</v>
      </c>
      <c r="D4379" s="14" t="s">
        <v>555</v>
      </c>
      <c r="E4379" s="1">
        <v>16559.63</v>
      </c>
      <c r="F4379" s="2">
        <v>608</v>
      </c>
      <c r="G4379" s="1">
        <v>12662.31</v>
      </c>
      <c r="H4379" s="3"/>
      <c r="I4379" s="14" t="s">
        <v>6177</v>
      </c>
    </row>
    <row r="4380" spans="1:9" ht="18.75" customHeight="1" x14ac:dyDescent="0.4">
      <c r="A4380" s="14" t="s">
        <v>6335</v>
      </c>
      <c r="B4380" s="16" t="str">
        <f>TRIM("我孫子第3住宅")</f>
        <v>我孫子第3住宅</v>
      </c>
      <c r="C4380" s="14" t="s">
        <v>1523</v>
      </c>
      <c r="D4380" s="14" t="s">
        <v>555</v>
      </c>
      <c r="E4380" s="1">
        <v>2839.65</v>
      </c>
      <c r="F4380" s="2"/>
      <c r="G4380" s="1">
        <v>4737.55</v>
      </c>
      <c r="H4380" s="3"/>
      <c r="I4380" s="14" t="s">
        <v>6177</v>
      </c>
    </row>
    <row r="4381" spans="1:9" ht="18.75" customHeight="1" x14ac:dyDescent="0.4">
      <c r="A4381" s="14" t="s">
        <v>5773</v>
      </c>
      <c r="B4381" s="16" t="str">
        <f>TRIM("ゆり保育園")</f>
        <v>ゆり保育園</v>
      </c>
      <c r="C4381" s="14" t="s">
        <v>1523</v>
      </c>
      <c r="D4381" s="14" t="s">
        <v>555</v>
      </c>
      <c r="E4381" s="1">
        <v>817.77</v>
      </c>
      <c r="F4381" s="2"/>
      <c r="G4381" s="1"/>
      <c r="H4381" s="3"/>
      <c r="I4381" s="14" t="s">
        <v>5617</v>
      </c>
    </row>
    <row r="4382" spans="1:9" ht="18.75" customHeight="1" x14ac:dyDescent="0.4">
      <c r="A4382" s="14" t="s">
        <v>6249</v>
      </c>
      <c r="B4382" s="16" t="str">
        <f>TRIM("もと我孫子東第６住宅")</f>
        <v>もと我孫子東第６住宅</v>
      </c>
      <c r="C4382" s="14" t="s">
        <v>1523</v>
      </c>
      <c r="D4382" s="14" t="s">
        <v>555</v>
      </c>
      <c r="E4382" s="1">
        <v>42.93</v>
      </c>
      <c r="F4382" s="2"/>
      <c r="G4382" s="1"/>
      <c r="H4382" s="3"/>
      <c r="I4382" s="14" t="s">
        <v>6177</v>
      </c>
    </row>
    <row r="4383" spans="1:9" ht="18.75" customHeight="1" x14ac:dyDescent="0.4">
      <c r="A4383" s="14" t="s">
        <v>4714</v>
      </c>
      <c r="B4383" s="16" t="str">
        <f>TRIM("依羅小学校")</f>
        <v>依羅小学校</v>
      </c>
      <c r="C4383" s="14" t="s">
        <v>1523</v>
      </c>
      <c r="D4383" s="14" t="s">
        <v>128</v>
      </c>
      <c r="E4383" s="1">
        <v>15979.48</v>
      </c>
      <c r="F4383" s="2"/>
      <c r="G4383" s="1">
        <v>14947.33</v>
      </c>
      <c r="H4383" s="3"/>
      <c r="I4383" s="14" t="s">
        <v>4689</v>
      </c>
    </row>
    <row r="4384" spans="1:9" ht="18.75" customHeight="1" x14ac:dyDescent="0.4">
      <c r="A4384" s="14" t="s">
        <v>5363</v>
      </c>
      <c r="B4384" s="16" t="str">
        <f>TRIM("もと依羅派出所")</f>
        <v>もと依羅派出所</v>
      </c>
      <c r="C4384" s="14" t="s">
        <v>1523</v>
      </c>
      <c r="D4384" s="14" t="s">
        <v>128</v>
      </c>
      <c r="E4384" s="1">
        <v>4.03</v>
      </c>
      <c r="F4384" s="2"/>
      <c r="G4384" s="1"/>
      <c r="H4384" s="3"/>
      <c r="I4384" s="14" t="s">
        <v>5349</v>
      </c>
    </row>
    <row r="4385" spans="1:9" ht="18.75" customHeight="1" x14ac:dyDescent="0.4">
      <c r="A4385" s="14" t="s">
        <v>6332</v>
      </c>
      <c r="B4385" s="16" t="str">
        <f>TRIM("我孫子住宅")</f>
        <v>我孫子住宅</v>
      </c>
      <c r="C4385" s="14" t="s">
        <v>1523</v>
      </c>
      <c r="D4385" s="14" t="s">
        <v>731</v>
      </c>
      <c r="E4385" s="1">
        <v>4099.17</v>
      </c>
      <c r="F4385" s="2"/>
      <c r="G4385" s="1">
        <v>4350.58</v>
      </c>
      <c r="H4385" s="3"/>
      <c r="I4385" s="14" t="s">
        <v>6177</v>
      </c>
    </row>
    <row r="4386" spans="1:9" ht="18.75" customHeight="1" x14ac:dyDescent="0.4">
      <c r="A4386" s="14" t="s">
        <v>2619</v>
      </c>
      <c r="B4386" s="16" t="str">
        <f>TRIM("　我孫子公園")</f>
        <v>我孫子公園</v>
      </c>
      <c r="C4386" s="14" t="s">
        <v>1523</v>
      </c>
      <c r="D4386" s="14" t="s">
        <v>731</v>
      </c>
      <c r="E4386" s="1">
        <v>9024.85</v>
      </c>
      <c r="F4386" s="2"/>
      <c r="G4386" s="1"/>
      <c r="H4386" s="3"/>
      <c r="I4386" s="14" t="s">
        <v>2177</v>
      </c>
    </row>
    <row r="4387" spans="1:9" ht="18.75" customHeight="1" x14ac:dyDescent="0.4">
      <c r="A4387" s="14" t="s">
        <v>5047</v>
      </c>
      <c r="B4387" s="16" t="str">
        <f>TRIM("大空小学校")</f>
        <v>大空小学校</v>
      </c>
      <c r="C4387" s="14" t="s">
        <v>1523</v>
      </c>
      <c r="D4387" s="14" t="s">
        <v>407</v>
      </c>
      <c r="E4387" s="1">
        <v>9962.58</v>
      </c>
      <c r="F4387" s="2"/>
      <c r="G4387" s="1">
        <v>6547.49</v>
      </c>
      <c r="H4387" s="3"/>
      <c r="I4387" s="14" t="s">
        <v>4689</v>
      </c>
    </row>
    <row r="4388" spans="1:9" ht="18.75" customHeight="1" x14ac:dyDescent="0.4">
      <c r="A4388" s="14" t="s">
        <v>6333</v>
      </c>
      <c r="B4388" s="16" t="str">
        <f>TRIM("我孫子西住宅")</f>
        <v>我孫子西住宅</v>
      </c>
      <c r="C4388" s="14" t="s">
        <v>1523</v>
      </c>
      <c r="D4388" s="14" t="s">
        <v>407</v>
      </c>
      <c r="E4388" s="1">
        <v>32116.29</v>
      </c>
      <c r="F4388" s="2"/>
      <c r="G4388" s="1">
        <v>33041.129999999997</v>
      </c>
      <c r="H4388" s="3"/>
      <c r="I4388" s="14" t="s">
        <v>6177</v>
      </c>
    </row>
    <row r="4389" spans="1:9" ht="18.75" customHeight="1" x14ac:dyDescent="0.4">
      <c r="A4389" s="14" t="s">
        <v>1920</v>
      </c>
      <c r="B4389" s="16" t="str">
        <f>TRIM("特別養護老人ホームウェルネスあびこ・三稜地域在宅サービスステーション")</f>
        <v>特別養護老人ホームウェルネスあびこ・三稜地域在宅サービスステーション</v>
      </c>
      <c r="C4389" s="14" t="s">
        <v>1523</v>
      </c>
      <c r="D4389" s="14" t="s">
        <v>407</v>
      </c>
      <c r="E4389" s="1">
        <v>2099.92</v>
      </c>
      <c r="F4389" s="2"/>
      <c r="G4389" s="1"/>
      <c r="H4389" s="3"/>
      <c r="I4389" s="14" t="s">
        <v>1654</v>
      </c>
    </row>
    <row r="4390" spans="1:9" ht="18.75" customHeight="1" x14ac:dyDescent="0.4">
      <c r="A4390" s="14" t="s">
        <v>6337</v>
      </c>
      <c r="B4390" s="16" t="str">
        <f>TRIM("我孫子東第7住宅")</f>
        <v>我孫子東第7住宅</v>
      </c>
      <c r="C4390" s="14" t="s">
        <v>1523</v>
      </c>
      <c r="D4390" s="14" t="s">
        <v>371</v>
      </c>
      <c r="E4390" s="1">
        <v>30981.599999999999</v>
      </c>
      <c r="F4390" s="2">
        <v>610</v>
      </c>
      <c r="G4390" s="1">
        <v>45027.07</v>
      </c>
      <c r="H4390" s="3"/>
      <c r="I4390" s="14" t="s">
        <v>6177</v>
      </c>
    </row>
    <row r="4391" spans="1:9" ht="18.75" customHeight="1" x14ac:dyDescent="0.4">
      <c r="A4391" s="14" t="s">
        <v>1856</v>
      </c>
      <c r="B4391" s="16" t="str">
        <f>TRIM("我孫子地域在宅サービスステーション")</f>
        <v>我孫子地域在宅サービスステーション</v>
      </c>
      <c r="C4391" s="14" t="s">
        <v>1523</v>
      </c>
      <c r="D4391" s="14" t="s">
        <v>371</v>
      </c>
      <c r="E4391" s="1">
        <v>441.02</v>
      </c>
      <c r="F4391" s="2"/>
      <c r="G4391" s="1">
        <v>805.26</v>
      </c>
      <c r="H4391" s="3"/>
      <c r="I4391" s="14" t="s">
        <v>1654</v>
      </c>
    </row>
    <row r="4392" spans="1:9" ht="18.75" customHeight="1" x14ac:dyDescent="0.4">
      <c r="A4392" s="14" t="s">
        <v>4755</v>
      </c>
      <c r="B4392" s="16" t="str">
        <f>TRIM("我孫子中学校")</f>
        <v>我孫子中学校</v>
      </c>
      <c r="C4392" s="14" t="s">
        <v>1523</v>
      </c>
      <c r="D4392" s="14" t="s">
        <v>371</v>
      </c>
      <c r="E4392" s="1">
        <v>16237.77</v>
      </c>
      <c r="F4392" s="2"/>
      <c r="G4392" s="1">
        <v>14283.71</v>
      </c>
      <c r="H4392" s="3"/>
      <c r="I4392" s="14" t="s">
        <v>4689</v>
      </c>
    </row>
    <row r="4393" spans="1:9" ht="18.75" customHeight="1" x14ac:dyDescent="0.4">
      <c r="A4393" s="14" t="s">
        <v>6334</v>
      </c>
      <c r="B4393" s="16" t="str">
        <f>TRIM("我孫子第2住宅")</f>
        <v>我孫子第2住宅</v>
      </c>
      <c r="C4393" s="14" t="s">
        <v>1523</v>
      </c>
      <c r="D4393" s="14" t="s">
        <v>371</v>
      </c>
      <c r="E4393" s="1">
        <v>22060.05</v>
      </c>
      <c r="F4393" s="2"/>
      <c r="G4393" s="1">
        <v>32250.76</v>
      </c>
      <c r="H4393" s="3"/>
      <c r="I4393" s="14" t="s">
        <v>6177</v>
      </c>
    </row>
    <row r="4394" spans="1:9" ht="18.75" customHeight="1" x14ac:dyDescent="0.4">
      <c r="A4394" s="14" t="s">
        <v>5978</v>
      </c>
      <c r="B4394" s="16" t="str">
        <f>TRIM("大気汚染常時監視測定局（我孫子中学校）")</f>
        <v>大気汚染常時監視測定局（我孫子中学校）</v>
      </c>
      <c r="C4394" s="14" t="s">
        <v>1523</v>
      </c>
      <c r="D4394" s="14" t="s">
        <v>371</v>
      </c>
      <c r="E4394" s="1"/>
      <c r="F4394" s="2"/>
      <c r="G4394" s="1">
        <v>10</v>
      </c>
      <c r="H4394" s="3"/>
      <c r="I4394" s="14" t="s">
        <v>5977</v>
      </c>
    </row>
    <row r="4395" spans="1:9" ht="18.75" customHeight="1" x14ac:dyDescent="0.4">
      <c r="A4395" s="14" t="s">
        <v>6108</v>
      </c>
      <c r="B4395" s="16" t="str">
        <f>TRIM("我孫子霊園")</f>
        <v>我孫子霊園</v>
      </c>
      <c r="C4395" s="14" t="s">
        <v>1523</v>
      </c>
      <c r="D4395" s="14" t="s">
        <v>371</v>
      </c>
      <c r="E4395" s="1">
        <v>1073</v>
      </c>
      <c r="F4395" s="2"/>
      <c r="G4395" s="1"/>
      <c r="H4395" s="3"/>
      <c r="I4395" s="14" t="s">
        <v>5977</v>
      </c>
    </row>
    <row r="4396" spans="1:9" ht="18.75" customHeight="1" x14ac:dyDescent="0.4">
      <c r="A4396" s="14" t="s">
        <v>2620</v>
      </c>
      <c r="B4396" s="16" t="str">
        <f>TRIM("　我孫子東公園")</f>
        <v>我孫子東公園</v>
      </c>
      <c r="C4396" s="14" t="s">
        <v>1523</v>
      </c>
      <c r="D4396" s="14" t="s">
        <v>1018</v>
      </c>
      <c r="E4396" s="1">
        <v>606.25</v>
      </c>
      <c r="F4396" s="2"/>
      <c r="G4396" s="1"/>
      <c r="H4396" s="3"/>
      <c r="I4396" s="14" t="s">
        <v>2177</v>
      </c>
    </row>
    <row r="4397" spans="1:9" ht="18.75" customHeight="1" x14ac:dyDescent="0.4">
      <c r="A4397" s="14" t="s">
        <v>3766</v>
      </c>
      <c r="B4397" s="16" t="str">
        <f>TRIM("あびこ駅自転車駐車場管理事務所")</f>
        <v>あびこ駅自転車駐車場管理事務所</v>
      </c>
      <c r="C4397" s="14" t="s">
        <v>1523</v>
      </c>
      <c r="D4397" s="14" t="s">
        <v>1018</v>
      </c>
      <c r="E4397" s="1"/>
      <c r="F4397" s="2"/>
      <c r="G4397" s="1">
        <v>12.56</v>
      </c>
      <c r="H4397" s="3"/>
      <c r="I4397" s="14" t="s">
        <v>2177</v>
      </c>
    </row>
    <row r="4398" spans="1:9" ht="18.75" customHeight="1" x14ac:dyDescent="0.4">
      <c r="A4398" s="14" t="s">
        <v>6338</v>
      </c>
      <c r="B4398" s="16" t="str">
        <f>TRIM("我孫子南住宅")</f>
        <v>我孫子南住宅</v>
      </c>
      <c r="C4398" s="14" t="s">
        <v>1523</v>
      </c>
      <c r="D4398" s="14" t="s">
        <v>732</v>
      </c>
      <c r="E4398" s="1">
        <v>32674.17</v>
      </c>
      <c r="F4398" s="2"/>
      <c r="G4398" s="1">
        <v>57805.74</v>
      </c>
      <c r="H4398" s="3"/>
      <c r="I4398" s="14" t="s">
        <v>6177</v>
      </c>
    </row>
    <row r="4399" spans="1:9" ht="18.75" customHeight="1" x14ac:dyDescent="0.4">
      <c r="A4399" s="14" t="s">
        <v>1790</v>
      </c>
      <c r="B4399" s="16" t="str">
        <f>TRIM("住吉区老人福祉センター")</f>
        <v>住吉区老人福祉センター</v>
      </c>
      <c r="C4399" s="14" t="s">
        <v>1523</v>
      </c>
      <c r="D4399" s="14" t="s">
        <v>443</v>
      </c>
      <c r="E4399" s="1">
        <v>875.24</v>
      </c>
      <c r="F4399" s="2"/>
      <c r="G4399" s="1">
        <v>1067.5</v>
      </c>
      <c r="H4399" s="3"/>
      <c r="I4399" s="14" t="s">
        <v>1654</v>
      </c>
    </row>
    <row r="4400" spans="1:9" ht="18.75" customHeight="1" x14ac:dyDescent="0.4">
      <c r="A4400" s="14" t="s">
        <v>5189</v>
      </c>
      <c r="B4400" s="16" t="str">
        <f>TRIM("もと住吉図書館")</f>
        <v>もと住吉図書館</v>
      </c>
      <c r="C4400" s="14" t="s">
        <v>1523</v>
      </c>
      <c r="D4400" s="14" t="s">
        <v>443</v>
      </c>
      <c r="E4400" s="1">
        <v>549.71</v>
      </c>
      <c r="F4400" s="2"/>
      <c r="G4400" s="1">
        <v>659.43</v>
      </c>
      <c r="H4400" s="3" t="s">
        <v>7353</v>
      </c>
      <c r="I4400" s="14" t="s">
        <v>4689</v>
      </c>
    </row>
    <row r="4401" spans="1:9" ht="18.75" customHeight="1" x14ac:dyDescent="0.4">
      <c r="A4401" s="14" t="s">
        <v>5236</v>
      </c>
      <c r="B4401" s="16" t="str">
        <f>TRIM("住吉消防署")</f>
        <v>住吉消防署</v>
      </c>
      <c r="C4401" s="14" t="s">
        <v>1523</v>
      </c>
      <c r="D4401" s="14" t="s">
        <v>443</v>
      </c>
      <c r="E4401" s="1">
        <v>1652.88</v>
      </c>
      <c r="F4401" s="2"/>
      <c r="G4401" s="1">
        <v>3375.22</v>
      </c>
      <c r="H4401" s="3"/>
      <c r="I4401" s="14" t="s">
        <v>5219</v>
      </c>
    </row>
    <row r="4402" spans="1:9" ht="18.75" customHeight="1" x14ac:dyDescent="0.4">
      <c r="A4402" s="14" t="s">
        <v>5726</v>
      </c>
      <c r="B4402" s="16" t="str">
        <f>TRIM("遠里小野保育園")</f>
        <v>遠里小野保育園</v>
      </c>
      <c r="C4402" s="14" t="s">
        <v>1523</v>
      </c>
      <c r="D4402" s="14" t="s">
        <v>443</v>
      </c>
      <c r="E4402" s="1">
        <v>369.36</v>
      </c>
      <c r="F4402" s="2"/>
      <c r="G4402" s="1">
        <v>444.9</v>
      </c>
      <c r="H4402" s="3"/>
      <c r="I4402" s="14" t="s">
        <v>5617</v>
      </c>
    </row>
    <row r="4403" spans="1:9" ht="18.75" customHeight="1" x14ac:dyDescent="0.4">
      <c r="A4403" s="14" t="s">
        <v>3787</v>
      </c>
      <c r="B4403" s="16" t="str">
        <f>TRIM("我孫子前駅自転車駐車場管理事務所")</f>
        <v>我孫子前駅自転車駐車場管理事務所</v>
      </c>
      <c r="C4403" s="14" t="s">
        <v>1523</v>
      </c>
      <c r="D4403" s="14" t="s">
        <v>443</v>
      </c>
      <c r="E4403" s="1"/>
      <c r="F4403" s="2"/>
      <c r="G4403" s="1">
        <v>12.56</v>
      </c>
      <c r="H4403" s="3"/>
      <c r="I4403" s="14" t="s">
        <v>2177</v>
      </c>
    </row>
    <row r="4404" spans="1:9" ht="18.75" customHeight="1" x14ac:dyDescent="0.4">
      <c r="A4404" s="14" t="s">
        <v>4949</v>
      </c>
      <c r="B4404" s="16" t="str">
        <f>TRIM("大和川中学校")</f>
        <v>大和川中学校</v>
      </c>
      <c r="C4404" s="14" t="s">
        <v>1523</v>
      </c>
      <c r="D4404" s="14" t="s">
        <v>418</v>
      </c>
      <c r="E4404" s="1">
        <v>14960.16</v>
      </c>
      <c r="F4404" s="2"/>
      <c r="G4404" s="1">
        <v>7540.66</v>
      </c>
      <c r="H4404" s="3"/>
      <c r="I4404" s="14" t="s">
        <v>4689</v>
      </c>
    </row>
    <row r="4405" spans="1:9" ht="18.75" customHeight="1" x14ac:dyDescent="0.4">
      <c r="A4405" s="14" t="s">
        <v>6299</v>
      </c>
      <c r="B4405" s="16" t="str">
        <f>TRIM("遠里小野住宅")</f>
        <v>遠里小野住宅</v>
      </c>
      <c r="C4405" s="14" t="s">
        <v>1523</v>
      </c>
      <c r="D4405" s="14" t="s">
        <v>418</v>
      </c>
      <c r="E4405" s="1">
        <v>17610.68</v>
      </c>
      <c r="F4405" s="2"/>
      <c r="G4405" s="1">
        <v>20774.669999999998</v>
      </c>
      <c r="H4405" s="3"/>
      <c r="I4405" s="14" t="s">
        <v>6177</v>
      </c>
    </row>
    <row r="4406" spans="1:9" ht="18.75" customHeight="1" x14ac:dyDescent="0.4">
      <c r="A4406" s="14" t="s">
        <v>1939</v>
      </c>
      <c r="B4406" s="16" t="str">
        <f>TRIM("特別養護老人ホームゆうけい創和・養護老人ホームゆうけいハートフル・社会福祉法人宥恵会グループホーム ゆうけいスマイル")</f>
        <v>特別養護老人ホームゆうけい創和・養護老人ホームゆうけいハートフル・社会福祉法人宥恵会グループホーム ゆうけいスマイル</v>
      </c>
      <c r="C4406" s="14" t="s">
        <v>1523</v>
      </c>
      <c r="D4406" s="14" t="s">
        <v>418</v>
      </c>
      <c r="E4406" s="1">
        <v>2642.58</v>
      </c>
      <c r="F4406" s="2"/>
      <c r="G4406" s="1"/>
      <c r="H4406" s="3"/>
      <c r="I4406" s="14" t="s">
        <v>1654</v>
      </c>
    </row>
    <row r="4407" spans="1:9" ht="18.75" customHeight="1" x14ac:dyDescent="0.4">
      <c r="A4407" s="14" t="s">
        <v>2298</v>
      </c>
      <c r="B4407" s="16" t="str">
        <f>TRIM("道路（住吉）（管財課）")</f>
        <v>道路（住吉）（管財課）</v>
      </c>
      <c r="C4407" s="14" t="s">
        <v>1523</v>
      </c>
      <c r="D4407" s="14" t="s">
        <v>906</v>
      </c>
      <c r="E4407" s="1">
        <v>290700.3</v>
      </c>
      <c r="F4407" s="2" t="s">
        <v>7315</v>
      </c>
      <c r="G4407" s="1"/>
      <c r="H4407" s="3"/>
      <c r="I4407" s="14" t="s">
        <v>2177</v>
      </c>
    </row>
    <row r="4408" spans="1:9" ht="18.75" customHeight="1" x14ac:dyDescent="0.4">
      <c r="A4408" s="14" t="s">
        <v>2194</v>
      </c>
      <c r="B4408" s="16" t="str">
        <f>TRIM("天王寺大和川線（基金）")</f>
        <v>天王寺大和川線（基金）</v>
      </c>
      <c r="C4408" s="14" t="s">
        <v>1523</v>
      </c>
      <c r="D4408" s="14" t="s">
        <v>906</v>
      </c>
      <c r="E4408" s="1">
        <v>87.39</v>
      </c>
      <c r="F4408" s="2"/>
      <c r="G4408" s="1"/>
      <c r="H4408" s="3"/>
      <c r="I4408" s="14" t="s">
        <v>2177</v>
      </c>
    </row>
    <row r="4409" spans="1:9" ht="18.75" customHeight="1" x14ac:dyDescent="0.4">
      <c r="A4409" s="14" t="s">
        <v>2585</v>
      </c>
      <c r="B4409" s="16" t="str">
        <f>TRIM("　遠里小野公園")</f>
        <v>遠里小野公園</v>
      </c>
      <c r="C4409" s="14" t="s">
        <v>1523</v>
      </c>
      <c r="D4409" s="14" t="s">
        <v>1010</v>
      </c>
      <c r="E4409" s="1">
        <v>646.11</v>
      </c>
      <c r="F4409" s="2"/>
      <c r="G4409" s="1"/>
      <c r="H4409" s="3"/>
      <c r="I4409" s="14" t="s">
        <v>2177</v>
      </c>
    </row>
    <row r="4410" spans="1:9" ht="18.75" customHeight="1" x14ac:dyDescent="0.4">
      <c r="A4410" s="14" t="s">
        <v>4736</v>
      </c>
      <c r="B4410" s="16" t="str">
        <f>TRIM("遠里小野小学校")</f>
        <v>遠里小野小学校</v>
      </c>
      <c r="C4410" s="14" t="s">
        <v>1523</v>
      </c>
      <c r="D4410" s="14" t="s">
        <v>1384</v>
      </c>
      <c r="E4410" s="1">
        <v>6013.21</v>
      </c>
      <c r="F4410" s="2"/>
      <c r="G4410" s="1">
        <v>5486.75</v>
      </c>
      <c r="H4410" s="3"/>
      <c r="I4410" s="14" t="s">
        <v>4689</v>
      </c>
    </row>
    <row r="4411" spans="1:9" ht="18.75" customHeight="1" x14ac:dyDescent="0.4">
      <c r="A4411" s="14" t="s">
        <v>6739</v>
      </c>
      <c r="B4411" s="16" t="str">
        <f>TRIM("遠里小野第2住宅")</f>
        <v>遠里小野第2住宅</v>
      </c>
      <c r="C4411" s="14" t="s">
        <v>1523</v>
      </c>
      <c r="D4411" s="14" t="s">
        <v>995</v>
      </c>
      <c r="E4411" s="1">
        <v>4511.3500000000004</v>
      </c>
      <c r="F4411" s="2"/>
      <c r="G4411" s="1">
        <v>6853.6</v>
      </c>
      <c r="H4411" s="3"/>
      <c r="I4411" s="14" t="s">
        <v>6177</v>
      </c>
    </row>
    <row r="4412" spans="1:9" ht="18.75" customHeight="1" x14ac:dyDescent="0.4">
      <c r="A4412" s="14" t="s">
        <v>2537</v>
      </c>
      <c r="B4412" s="16" t="str">
        <f>TRIM("　おりおの南公園")</f>
        <v>おりおの南公園</v>
      </c>
      <c r="C4412" s="14" t="s">
        <v>1523</v>
      </c>
      <c r="D4412" s="14" t="s">
        <v>995</v>
      </c>
      <c r="E4412" s="1">
        <v>4042.97</v>
      </c>
      <c r="F4412" s="2"/>
      <c r="G4412" s="1"/>
      <c r="H4412" s="3"/>
      <c r="I4412" s="14" t="s">
        <v>2177</v>
      </c>
    </row>
    <row r="4413" spans="1:9" ht="18.75" customHeight="1" x14ac:dyDescent="0.4">
      <c r="A4413" s="14" t="s">
        <v>3526</v>
      </c>
      <c r="B4413" s="16" t="str">
        <f>TRIM("　おりおの南公園")</f>
        <v>おりおの南公園</v>
      </c>
      <c r="C4413" s="14" t="s">
        <v>1523</v>
      </c>
      <c r="D4413" s="14" t="s">
        <v>995</v>
      </c>
      <c r="E4413" s="1"/>
      <c r="F4413" s="2"/>
      <c r="G4413" s="1">
        <v>6.17</v>
      </c>
      <c r="H4413" s="3"/>
      <c r="I4413" s="14" t="s">
        <v>2177</v>
      </c>
    </row>
    <row r="4414" spans="1:9" ht="18.75" customHeight="1" x14ac:dyDescent="0.4">
      <c r="A4414" s="14" t="s">
        <v>6423</v>
      </c>
      <c r="B4414" s="16" t="str">
        <f>TRIM("上住吉住宅")</f>
        <v>上住吉住宅</v>
      </c>
      <c r="C4414" s="14" t="s">
        <v>1523</v>
      </c>
      <c r="D4414" s="14" t="s">
        <v>761</v>
      </c>
      <c r="E4414" s="1">
        <v>9252.33</v>
      </c>
      <c r="F4414" s="2"/>
      <c r="G4414" s="1">
        <v>6866.66</v>
      </c>
      <c r="H4414" s="3"/>
      <c r="I4414" s="14" t="s">
        <v>6177</v>
      </c>
    </row>
    <row r="4415" spans="1:9" ht="18.75" customHeight="1" x14ac:dyDescent="0.4">
      <c r="A4415" s="14" t="s">
        <v>2821</v>
      </c>
      <c r="B4415" s="16" t="str">
        <f>TRIM("　上住吉東公園")</f>
        <v>上住吉東公園</v>
      </c>
      <c r="C4415" s="14" t="s">
        <v>1523</v>
      </c>
      <c r="D4415" s="14" t="s">
        <v>761</v>
      </c>
      <c r="E4415" s="1">
        <v>1364.91</v>
      </c>
      <c r="F4415" s="2"/>
      <c r="G4415" s="1"/>
      <c r="H4415" s="3"/>
      <c r="I4415" s="14" t="s">
        <v>2177</v>
      </c>
    </row>
    <row r="4416" spans="1:9" ht="18.75" customHeight="1" x14ac:dyDescent="0.4">
      <c r="A4416" s="14" t="s">
        <v>2820</v>
      </c>
      <c r="B4416" s="16" t="str">
        <f>TRIM("　上住吉西公園")</f>
        <v>上住吉西公園</v>
      </c>
      <c r="C4416" s="14" t="s">
        <v>1523</v>
      </c>
      <c r="D4416" s="14" t="s">
        <v>1085</v>
      </c>
      <c r="E4416" s="1">
        <v>994.13</v>
      </c>
      <c r="F4416" s="2"/>
      <c r="G4416" s="1"/>
      <c r="H4416" s="3"/>
      <c r="I4416" s="14" t="s">
        <v>2177</v>
      </c>
    </row>
    <row r="4417" spans="1:9" ht="18.75" customHeight="1" x14ac:dyDescent="0.4">
      <c r="A4417" s="14" t="s">
        <v>4617</v>
      </c>
      <c r="B4417" s="16" t="str">
        <f>TRIM("墨江北福祉会館")</f>
        <v>墨江北福祉会館</v>
      </c>
      <c r="C4417" s="14" t="s">
        <v>1523</v>
      </c>
      <c r="D4417" s="14" t="s">
        <v>1085</v>
      </c>
      <c r="E4417" s="1">
        <v>359.1</v>
      </c>
      <c r="F4417" s="2"/>
      <c r="G4417" s="1"/>
      <c r="H4417" s="3"/>
      <c r="I4417" s="14" t="s">
        <v>2003</v>
      </c>
    </row>
    <row r="4418" spans="1:9" ht="18.75" customHeight="1" x14ac:dyDescent="0.4">
      <c r="A4418" s="14" t="s">
        <v>4763</v>
      </c>
      <c r="B4418" s="16" t="str">
        <f>TRIM("苅田北小学校")</f>
        <v>苅田北小学校</v>
      </c>
      <c r="C4418" s="14" t="s">
        <v>1523</v>
      </c>
      <c r="D4418" s="14" t="s">
        <v>1389</v>
      </c>
      <c r="E4418" s="1">
        <v>10945.65</v>
      </c>
      <c r="F4418" s="2"/>
      <c r="G4418" s="1">
        <v>5679.45</v>
      </c>
      <c r="H4418" s="3"/>
      <c r="I4418" s="14" t="s">
        <v>4689</v>
      </c>
    </row>
    <row r="4419" spans="1:9" ht="18.75" customHeight="1" x14ac:dyDescent="0.4">
      <c r="A4419" s="14" t="s">
        <v>5016</v>
      </c>
      <c r="B4419" s="16" t="str">
        <f>TRIM("東我孫子中学校")</f>
        <v>東我孫子中学校</v>
      </c>
      <c r="C4419" s="14" t="s">
        <v>1523</v>
      </c>
      <c r="D4419" s="14" t="s">
        <v>1389</v>
      </c>
      <c r="E4419" s="1">
        <v>16592.009999999998</v>
      </c>
      <c r="F4419" s="2"/>
      <c r="G4419" s="1">
        <v>13032.39</v>
      </c>
      <c r="H4419" s="3"/>
      <c r="I4419" s="14" t="s">
        <v>4689</v>
      </c>
    </row>
    <row r="4420" spans="1:9" ht="18.75" customHeight="1" x14ac:dyDescent="0.4">
      <c r="A4420" s="14" t="s">
        <v>6179</v>
      </c>
      <c r="B4420" s="16" t="str">
        <f>TRIM("もと浅香第4住宅")</f>
        <v>もと浅香第4住宅</v>
      </c>
      <c r="C4420" s="14" t="s">
        <v>1523</v>
      </c>
      <c r="D4420" s="14" t="s">
        <v>29</v>
      </c>
      <c r="E4420" s="1">
        <v>907.99</v>
      </c>
      <c r="F4420" s="2">
        <v>623</v>
      </c>
      <c r="G4420" s="1"/>
      <c r="H4420" s="3"/>
      <c r="I4420" s="14" t="s">
        <v>6177</v>
      </c>
    </row>
    <row r="4421" spans="1:9" ht="18.75" customHeight="1" x14ac:dyDescent="0.4">
      <c r="A4421" s="14" t="s">
        <v>4762</v>
      </c>
      <c r="B4421" s="16" t="str">
        <f>TRIM("苅田南小学校")</f>
        <v>苅田南小学校</v>
      </c>
      <c r="C4421" s="14" t="s">
        <v>1523</v>
      </c>
      <c r="D4421" s="14" t="s">
        <v>29</v>
      </c>
      <c r="E4421" s="1">
        <v>10810.64</v>
      </c>
      <c r="F4421" s="2"/>
      <c r="G4421" s="1">
        <v>7024.18</v>
      </c>
      <c r="H4421" s="3"/>
      <c r="I4421" s="14" t="s">
        <v>4689</v>
      </c>
    </row>
    <row r="4422" spans="1:9" ht="18.75" customHeight="1" x14ac:dyDescent="0.4">
      <c r="A4422" s="14" t="s">
        <v>6180</v>
      </c>
      <c r="B4422" s="16" t="str">
        <f>TRIM("もと浅香第4住宅用地")</f>
        <v>もと浅香第4住宅用地</v>
      </c>
      <c r="C4422" s="14" t="s">
        <v>1523</v>
      </c>
      <c r="D4422" s="14" t="s">
        <v>29</v>
      </c>
      <c r="E4422" s="1">
        <v>394.22</v>
      </c>
      <c r="F4422" s="2"/>
      <c r="G4422" s="1">
        <v>55</v>
      </c>
      <c r="H4422" s="3"/>
      <c r="I4422" s="14" t="s">
        <v>6177</v>
      </c>
    </row>
    <row r="4423" spans="1:9" ht="18.75" customHeight="1" x14ac:dyDescent="0.4">
      <c r="A4423" s="14" t="s">
        <v>2629</v>
      </c>
      <c r="B4423" s="16" t="str">
        <f>TRIM("　苅田10公園")</f>
        <v>苅田10公園</v>
      </c>
      <c r="C4423" s="14" t="s">
        <v>1523</v>
      </c>
      <c r="D4423" s="14" t="s">
        <v>29</v>
      </c>
      <c r="E4423" s="1">
        <v>1676.93</v>
      </c>
      <c r="F4423" s="2"/>
      <c r="G4423" s="1"/>
      <c r="H4423" s="3"/>
      <c r="I4423" s="14" t="s">
        <v>2177</v>
      </c>
    </row>
    <row r="4424" spans="1:9" ht="18.75" customHeight="1" x14ac:dyDescent="0.4">
      <c r="A4424" s="14" t="s">
        <v>3463</v>
      </c>
      <c r="B4424" s="16" t="str">
        <f>TRIM("大和川公園整備事業")</f>
        <v>大和川公園整備事業</v>
      </c>
      <c r="C4424" s="14" t="s">
        <v>1523</v>
      </c>
      <c r="D4424" s="14" t="s">
        <v>29</v>
      </c>
      <c r="E4424" s="1">
        <v>2132.25</v>
      </c>
      <c r="F4424" s="2"/>
      <c r="G4424" s="1"/>
      <c r="H4424" s="3"/>
      <c r="I4424" s="14" t="s">
        <v>2177</v>
      </c>
    </row>
    <row r="4425" spans="1:9" ht="18.75" customHeight="1" x14ac:dyDescent="0.4">
      <c r="A4425" s="14" t="s">
        <v>6207</v>
      </c>
      <c r="B4425" s="16" t="str">
        <f>TRIM("浅香第4住宅")</f>
        <v>浅香第4住宅</v>
      </c>
      <c r="C4425" s="14" t="s">
        <v>1523</v>
      </c>
      <c r="D4425" s="14" t="s">
        <v>29</v>
      </c>
      <c r="E4425" s="1">
        <v>33.53</v>
      </c>
      <c r="F4425" s="2"/>
      <c r="G4425" s="1"/>
      <c r="H4425" s="3"/>
      <c r="I4425" s="14" t="s">
        <v>6177</v>
      </c>
    </row>
    <row r="4426" spans="1:9" ht="18.75" customHeight="1" x14ac:dyDescent="0.4">
      <c r="A4426" s="14" t="s">
        <v>7043</v>
      </c>
      <c r="B4426" s="16" t="str">
        <f>TRIM("もと浅香資源再生共同作業場")</f>
        <v>もと浅香資源再生共同作業場</v>
      </c>
      <c r="C4426" s="14" t="s">
        <v>1523</v>
      </c>
      <c r="D4426" s="14" t="s">
        <v>29</v>
      </c>
      <c r="E4426" s="1">
        <v>104.69</v>
      </c>
      <c r="F4426" s="2"/>
      <c r="G4426" s="1"/>
      <c r="H4426" s="3"/>
      <c r="I4426" s="14" t="s">
        <v>4115</v>
      </c>
    </row>
    <row r="4427" spans="1:9" ht="18.75" customHeight="1" x14ac:dyDescent="0.4">
      <c r="A4427" s="14" t="s">
        <v>2632</v>
      </c>
      <c r="B4427" s="16" t="str">
        <f>TRIM("　苅田北公園")</f>
        <v>苅田北公園</v>
      </c>
      <c r="C4427" s="14" t="s">
        <v>1523</v>
      </c>
      <c r="D4427" s="14" t="s">
        <v>630</v>
      </c>
      <c r="E4427" s="1">
        <v>978</v>
      </c>
      <c r="F4427" s="2"/>
      <c r="G4427" s="1"/>
      <c r="H4427" s="3"/>
      <c r="I4427" s="14" t="s">
        <v>2177</v>
      </c>
    </row>
    <row r="4428" spans="1:9" ht="18.75" customHeight="1" x14ac:dyDescent="0.4">
      <c r="A4428" s="14" t="s">
        <v>4612</v>
      </c>
      <c r="B4428" s="16" t="str">
        <f>TRIM("苅北地域コミュニティ会館")</f>
        <v>苅北地域コミュニティ会館</v>
      </c>
      <c r="C4428" s="14" t="s">
        <v>1523</v>
      </c>
      <c r="D4428" s="14" t="s">
        <v>630</v>
      </c>
      <c r="E4428" s="1">
        <v>161.13</v>
      </c>
      <c r="F4428" s="2"/>
      <c r="G4428" s="1"/>
      <c r="H4428" s="3"/>
      <c r="I4428" s="14" t="s">
        <v>2003</v>
      </c>
    </row>
    <row r="4429" spans="1:9" ht="18.75" customHeight="1" x14ac:dyDescent="0.4">
      <c r="A4429" s="14" t="s">
        <v>6053</v>
      </c>
      <c r="B4429" s="16" t="str">
        <f>TRIM("もと我孫子詰所")</f>
        <v>もと我孫子詰所</v>
      </c>
      <c r="C4429" s="14" t="s">
        <v>1523</v>
      </c>
      <c r="D4429" s="14" t="s">
        <v>630</v>
      </c>
      <c r="E4429" s="1">
        <v>4.7300000000000004</v>
      </c>
      <c r="F4429" s="2"/>
      <c r="G4429" s="1"/>
      <c r="H4429" s="3"/>
      <c r="I4429" s="14" t="s">
        <v>5977</v>
      </c>
    </row>
    <row r="4430" spans="1:9" ht="18.75" customHeight="1" x14ac:dyDescent="0.4">
      <c r="A4430" s="14" t="s">
        <v>6109</v>
      </c>
      <c r="B4430" s="16" t="str">
        <f>TRIM("苅田霊園")</f>
        <v>苅田霊園</v>
      </c>
      <c r="C4430" s="14" t="s">
        <v>1523</v>
      </c>
      <c r="D4430" s="14" t="s">
        <v>630</v>
      </c>
      <c r="E4430" s="1">
        <v>2086.4</v>
      </c>
      <c r="F4430" s="2"/>
      <c r="G4430" s="1"/>
      <c r="H4430" s="3"/>
      <c r="I4430" s="14" t="s">
        <v>5977</v>
      </c>
    </row>
    <row r="4431" spans="1:9" ht="18.75" customHeight="1" x14ac:dyDescent="0.4">
      <c r="A4431" s="14" t="s">
        <v>4761</v>
      </c>
      <c r="B4431" s="16" t="str">
        <f>TRIM("苅田小学校")</f>
        <v>苅田小学校</v>
      </c>
      <c r="C4431" s="14" t="s">
        <v>1523</v>
      </c>
      <c r="D4431" s="14" t="s">
        <v>1272</v>
      </c>
      <c r="E4431" s="1">
        <v>10813.19</v>
      </c>
      <c r="F4431" s="2"/>
      <c r="G4431" s="1">
        <v>6739.03</v>
      </c>
      <c r="H4431" s="3"/>
      <c r="I4431" s="14" t="s">
        <v>4689</v>
      </c>
    </row>
    <row r="4432" spans="1:9" ht="18.75" customHeight="1" x14ac:dyDescent="0.4">
      <c r="A4432" s="14" t="s">
        <v>3413</v>
      </c>
      <c r="B4432" s="16" t="str">
        <f>TRIM("苅田どんぐり公園")</f>
        <v>苅田どんぐり公園</v>
      </c>
      <c r="C4432" s="14" t="s">
        <v>1523</v>
      </c>
      <c r="D4432" s="14" t="s">
        <v>1272</v>
      </c>
      <c r="E4432" s="1">
        <v>1397.25</v>
      </c>
      <c r="F4432" s="2"/>
      <c r="G4432" s="1"/>
      <c r="H4432" s="3"/>
      <c r="I4432" s="14" t="s">
        <v>2177</v>
      </c>
    </row>
    <row r="4433" spans="1:9" ht="18.75" customHeight="1" x14ac:dyDescent="0.4">
      <c r="A4433" s="14" t="s">
        <v>6766</v>
      </c>
      <c r="B4433" s="16" t="str">
        <f>TRIM("苅田北住宅")</f>
        <v>苅田北住宅</v>
      </c>
      <c r="C4433" s="14" t="s">
        <v>1523</v>
      </c>
      <c r="D4433" s="14" t="s">
        <v>401</v>
      </c>
      <c r="E4433" s="1">
        <v>31516.05</v>
      </c>
      <c r="F4433" s="2"/>
      <c r="G4433" s="1">
        <v>34721.760000000002</v>
      </c>
      <c r="H4433" s="3"/>
      <c r="I4433" s="14" t="s">
        <v>6177</v>
      </c>
    </row>
    <row r="4434" spans="1:9" ht="18.75" customHeight="1" x14ac:dyDescent="0.4">
      <c r="A4434" s="14" t="s">
        <v>1910</v>
      </c>
      <c r="B4434" s="16" t="str">
        <f>TRIM("東我孫子地域在宅サービスステーション")</f>
        <v>東我孫子地域在宅サービスステーション</v>
      </c>
      <c r="C4434" s="14" t="s">
        <v>1523</v>
      </c>
      <c r="D4434" s="14" t="s">
        <v>401</v>
      </c>
      <c r="E4434" s="1">
        <v>577</v>
      </c>
      <c r="F4434" s="2"/>
      <c r="G4434" s="1"/>
      <c r="H4434" s="3"/>
      <c r="I4434" s="14" t="s">
        <v>1654</v>
      </c>
    </row>
    <row r="4435" spans="1:9" ht="18.75" customHeight="1" x14ac:dyDescent="0.4">
      <c r="A4435" s="14" t="s">
        <v>5735</v>
      </c>
      <c r="B4435" s="16" t="str">
        <f>TRIM("四恩るり保育園")</f>
        <v>四恩るり保育園</v>
      </c>
      <c r="C4435" s="14" t="s">
        <v>1523</v>
      </c>
      <c r="D4435" s="14" t="s">
        <v>401</v>
      </c>
      <c r="E4435" s="1">
        <v>861.91</v>
      </c>
      <c r="F4435" s="2"/>
      <c r="G4435" s="1"/>
      <c r="H4435" s="3"/>
      <c r="I4435" s="14" t="s">
        <v>5617</v>
      </c>
    </row>
    <row r="4436" spans="1:9" ht="18.75" customHeight="1" x14ac:dyDescent="0.4">
      <c r="A4436" s="14" t="s">
        <v>2227</v>
      </c>
      <c r="B4436" s="16" t="str">
        <f>TRIM("住吉八尾線（住吉）（管財課）")</f>
        <v>住吉八尾線（住吉）（管財課）</v>
      </c>
      <c r="C4436" s="14" t="s">
        <v>1523</v>
      </c>
      <c r="D4436" s="14" t="s">
        <v>918</v>
      </c>
      <c r="E4436" s="1">
        <v>3170.14</v>
      </c>
      <c r="F4436" s="2"/>
      <c r="G4436" s="1"/>
      <c r="H4436" s="3"/>
      <c r="I4436" s="14" t="s">
        <v>2177</v>
      </c>
    </row>
    <row r="4437" spans="1:9" ht="18.75" customHeight="1" x14ac:dyDescent="0.4">
      <c r="A4437" s="14" t="s">
        <v>2451</v>
      </c>
      <c r="B4437" s="16" t="str">
        <f>TRIM("大和川北岸線")</f>
        <v>大和川北岸線</v>
      </c>
      <c r="C4437" s="14" t="s">
        <v>1523</v>
      </c>
      <c r="D4437" s="14" t="s">
        <v>918</v>
      </c>
      <c r="E4437" s="1">
        <v>388.39</v>
      </c>
      <c r="F4437" s="2"/>
      <c r="G4437" s="1"/>
      <c r="H4437" s="3"/>
      <c r="I4437" s="14" t="s">
        <v>2177</v>
      </c>
    </row>
    <row r="4438" spans="1:9" ht="18.75" customHeight="1" x14ac:dyDescent="0.4">
      <c r="A4438" s="14" t="s">
        <v>2630</v>
      </c>
      <c r="B4438" s="16" t="str">
        <f>TRIM("　苅田中公園")</f>
        <v>苅田中公園</v>
      </c>
      <c r="C4438" s="14" t="s">
        <v>1523</v>
      </c>
      <c r="D4438" s="14" t="s">
        <v>918</v>
      </c>
      <c r="E4438" s="1">
        <v>991.23</v>
      </c>
      <c r="F4438" s="2"/>
      <c r="G4438" s="1"/>
      <c r="H4438" s="3"/>
      <c r="I4438" s="14" t="s">
        <v>2177</v>
      </c>
    </row>
    <row r="4439" spans="1:9" ht="18.75" customHeight="1" x14ac:dyDescent="0.4">
      <c r="A4439" s="14" t="s">
        <v>6339</v>
      </c>
      <c r="B4439" s="16" t="str">
        <f>TRIM("苅田住宅")</f>
        <v>苅田住宅</v>
      </c>
      <c r="C4439" s="14" t="s">
        <v>1523</v>
      </c>
      <c r="D4439" s="14" t="s">
        <v>564</v>
      </c>
      <c r="E4439" s="1">
        <v>3615.16</v>
      </c>
      <c r="F4439" s="2">
        <v>613</v>
      </c>
      <c r="G4439" s="1">
        <v>4433.5</v>
      </c>
      <c r="H4439" s="3"/>
      <c r="I4439" s="14" t="s">
        <v>6177</v>
      </c>
    </row>
    <row r="4440" spans="1:9" ht="18.75" customHeight="1" x14ac:dyDescent="0.4">
      <c r="A4440" s="14" t="s">
        <v>5237</v>
      </c>
      <c r="B4440" s="16" t="str">
        <f>TRIM("住吉消防署苅田出張所")</f>
        <v>住吉消防署苅田出張所</v>
      </c>
      <c r="C4440" s="14" t="s">
        <v>1523</v>
      </c>
      <c r="D4440" s="14" t="s">
        <v>564</v>
      </c>
      <c r="E4440" s="1">
        <v>495.5</v>
      </c>
      <c r="F4440" s="2"/>
      <c r="G4440" s="1">
        <v>236.41</v>
      </c>
      <c r="H4440" s="3"/>
      <c r="I4440" s="14" t="s">
        <v>5219</v>
      </c>
    </row>
    <row r="4441" spans="1:9" ht="18.75" customHeight="1" x14ac:dyDescent="0.4">
      <c r="A4441" s="14" t="s">
        <v>5847</v>
      </c>
      <c r="B4441" s="16" t="str">
        <f>TRIM("苅田南保育所")</f>
        <v>苅田南保育所</v>
      </c>
      <c r="C4441" s="14" t="s">
        <v>1523</v>
      </c>
      <c r="D4441" s="14" t="s">
        <v>564</v>
      </c>
      <c r="E4441" s="1">
        <v>991.73</v>
      </c>
      <c r="F4441" s="2"/>
      <c r="G4441" s="1">
        <v>420.7</v>
      </c>
      <c r="H4441" s="3"/>
      <c r="I4441" s="14" t="s">
        <v>5617</v>
      </c>
    </row>
    <row r="4442" spans="1:9" ht="18.75" customHeight="1" x14ac:dyDescent="0.4">
      <c r="A4442" s="14" t="s">
        <v>6722</v>
      </c>
      <c r="B4442" s="16" t="str">
        <f>TRIM("苅田南住宅")</f>
        <v>苅田南住宅</v>
      </c>
      <c r="C4442" s="14" t="s">
        <v>1523</v>
      </c>
      <c r="D4442" s="14" t="s">
        <v>564</v>
      </c>
      <c r="E4442" s="1">
        <v>11645.4</v>
      </c>
      <c r="F4442" s="2"/>
      <c r="G4442" s="1">
        <v>15951.7</v>
      </c>
      <c r="H4442" s="3"/>
      <c r="I4442" s="14" t="s">
        <v>6177</v>
      </c>
    </row>
    <row r="4443" spans="1:9" ht="18.75" customHeight="1" x14ac:dyDescent="0.4">
      <c r="A4443" s="14" t="s">
        <v>2002</v>
      </c>
      <c r="B4443" s="16" t="str">
        <f>TRIM("苅田南老人憩の家")</f>
        <v>苅田南老人憩の家</v>
      </c>
      <c r="C4443" s="14" t="s">
        <v>1523</v>
      </c>
      <c r="D4443" s="14" t="s">
        <v>564</v>
      </c>
      <c r="E4443" s="1"/>
      <c r="F4443" s="2"/>
      <c r="G4443" s="1">
        <v>81.7</v>
      </c>
      <c r="H4443" s="3"/>
      <c r="I4443" s="14" t="s">
        <v>2003</v>
      </c>
    </row>
    <row r="4444" spans="1:9" ht="18.75" customHeight="1" x14ac:dyDescent="0.4">
      <c r="A4444" s="14" t="s">
        <v>2631</v>
      </c>
      <c r="B4444" s="16" t="str">
        <f>TRIM("　苅田南公園")</f>
        <v>苅田南公園</v>
      </c>
      <c r="C4444" s="14" t="s">
        <v>1523</v>
      </c>
      <c r="D4444" s="14" t="s">
        <v>564</v>
      </c>
      <c r="E4444" s="1">
        <v>1652.92</v>
      </c>
      <c r="F4444" s="2"/>
      <c r="G4444" s="1"/>
      <c r="H4444" s="3"/>
      <c r="I4444" s="14" t="s">
        <v>2177</v>
      </c>
    </row>
    <row r="4445" spans="1:9" ht="18.75" customHeight="1" x14ac:dyDescent="0.4">
      <c r="A4445" s="14" t="s">
        <v>3746</v>
      </c>
      <c r="B4445" s="16" t="str">
        <f>TRIM("（地）我孫子駅自転車駐車場")</f>
        <v>（地）我孫子駅自転車駐車場</v>
      </c>
      <c r="C4445" s="14" t="s">
        <v>1523</v>
      </c>
      <c r="D4445" s="14" t="s">
        <v>564</v>
      </c>
      <c r="E4445" s="1"/>
      <c r="F4445" s="2"/>
      <c r="G4445" s="1">
        <v>1349.04</v>
      </c>
      <c r="H4445" s="3"/>
      <c r="I4445" s="14" t="s">
        <v>2177</v>
      </c>
    </row>
    <row r="4446" spans="1:9" ht="18.75" customHeight="1" x14ac:dyDescent="0.4">
      <c r="A4446" s="14" t="s">
        <v>3786</v>
      </c>
      <c r="B4446" s="16" t="str">
        <f>TRIM("我孫子自転車駐車場")</f>
        <v>我孫子自転車駐車場</v>
      </c>
      <c r="C4446" s="14" t="s">
        <v>1523</v>
      </c>
      <c r="D4446" s="14" t="s">
        <v>564</v>
      </c>
      <c r="E4446" s="1">
        <v>636.98</v>
      </c>
      <c r="F4446" s="2"/>
      <c r="G4446" s="1"/>
      <c r="H4446" s="3"/>
      <c r="I4446" s="14" t="s">
        <v>2177</v>
      </c>
    </row>
    <row r="4447" spans="1:9" ht="18.75" customHeight="1" x14ac:dyDescent="0.4">
      <c r="A4447" s="14" t="s">
        <v>6795</v>
      </c>
      <c r="B4447" s="16" t="str">
        <f>TRIM("公社賃貸住宅用地（コーシャハイツ苅田）")</f>
        <v>公社賃貸住宅用地（コーシャハイツ苅田）</v>
      </c>
      <c r="C4447" s="14" t="s">
        <v>1523</v>
      </c>
      <c r="D4447" s="14" t="s">
        <v>564</v>
      </c>
      <c r="E4447" s="1">
        <v>4790.75</v>
      </c>
      <c r="F4447" s="2"/>
      <c r="G4447" s="1"/>
      <c r="H4447" s="3"/>
      <c r="I4447" s="14" t="s">
        <v>6177</v>
      </c>
    </row>
    <row r="4448" spans="1:9" ht="18.75" customHeight="1" x14ac:dyDescent="0.4">
      <c r="A4448" s="14" t="s">
        <v>2058</v>
      </c>
      <c r="B4448" s="16" t="str">
        <f>TRIM("清水丘会館")</f>
        <v>清水丘会館</v>
      </c>
      <c r="C4448" s="14" t="s">
        <v>1523</v>
      </c>
      <c r="D4448" s="14" t="s">
        <v>1315</v>
      </c>
      <c r="E4448" s="1">
        <v>219.26</v>
      </c>
      <c r="F4448" s="2"/>
      <c r="G4448" s="1"/>
      <c r="H4448" s="3"/>
      <c r="I4448" s="14" t="s">
        <v>2003</v>
      </c>
    </row>
    <row r="4449" spans="1:9" ht="18.75" customHeight="1" x14ac:dyDescent="0.4">
      <c r="A4449" s="14" t="s">
        <v>4007</v>
      </c>
      <c r="B4449" s="16" t="str">
        <f>TRIM("もと墨江材料置場")</f>
        <v>もと墨江材料置場</v>
      </c>
      <c r="C4449" s="14" t="s">
        <v>1523</v>
      </c>
      <c r="D4449" s="14" t="s">
        <v>1315</v>
      </c>
      <c r="E4449" s="1">
        <v>12.98</v>
      </c>
      <c r="F4449" s="2"/>
      <c r="G4449" s="1"/>
      <c r="H4449" s="3"/>
      <c r="I4449" s="14" t="s">
        <v>2177</v>
      </c>
    </row>
    <row r="4450" spans="1:9" ht="18.75" customHeight="1" x14ac:dyDescent="0.4">
      <c r="A4450" s="14" t="s">
        <v>4621</v>
      </c>
      <c r="B4450" s="16" t="str">
        <f>TRIM("もと清水丘会館")</f>
        <v>もと清水丘会館</v>
      </c>
      <c r="C4450" s="14" t="s">
        <v>1523</v>
      </c>
      <c r="D4450" s="14" t="s">
        <v>1315</v>
      </c>
      <c r="E4450" s="1"/>
      <c r="F4450" s="2"/>
      <c r="G4450" s="1">
        <v>214.25</v>
      </c>
      <c r="H4450" s="3"/>
      <c r="I4450" s="14" t="s">
        <v>2003</v>
      </c>
    </row>
    <row r="4451" spans="1:9" ht="18.75" customHeight="1" x14ac:dyDescent="0.4">
      <c r="A4451" s="14" t="s">
        <v>4901</v>
      </c>
      <c r="B4451" s="16" t="str">
        <f>TRIM("清水丘小学校")</f>
        <v>清水丘小学校</v>
      </c>
      <c r="C4451" s="14" t="s">
        <v>1523</v>
      </c>
      <c r="D4451" s="14" t="s">
        <v>1009</v>
      </c>
      <c r="E4451" s="1">
        <v>9756.2000000000007</v>
      </c>
      <c r="F4451" s="2"/>
      <c r="G4451" s="1">
        <v>5967.05</v>
      </c>
      <c r="H4451" s="3"/>
      <c r="I4451" s="14" t="s">
        <v>4689</v>
      </c>
    </row>
    <row r="4452" spans="1:9" ht="18.75" customHeight="1" x14ac:dyDescent="0.4">
      <c r="A4452" s="14" t="s">
        <v>2584</v>
      </c>
      <c r="B4452" s="16" t="str">
        <f>TRIM("　遠沢公園")</f>
        <v>遠沢公園</v>
      </c>
      <c r="C4452" s="14" t="s">
        <v>1523</v>
      </c>
      <c r="D4452" s="14" t="s">
        <v>1009</v>
      </c>
      <c r="E4452" s="1">
        <v>3897.52</v>
      </c>
      <c r="F4452" s="2"/>
      <c r="G4452" s="1"/>
      <c r="H4452" s="3"/>
      <c r="I4452" s="14" t="s">
        <v>2177</v>
      </c>
    </row>
    <row r="4453" spans="1:9" ht="18.75" customHeight="1" x14ac:dyDescent="0.4">
      <c r="A4453" s="14" t="s">
        <v>2896</v>
      </c>
      <c r="B4453" s="16" t="str">
        <f>TRIM("　清水丘公園")</f>
        <v>清水丘公園</v>
      </c>
      <c r="C4453" s="14" t="s">
        <v>1523</v>
      </c>
      <c r="D4453" s="14" t="s">
        <v>1009</v>
      </c>
      <c r="E4453" s="1">
        <v>3054.54</v>
      </c>
      <c r="F4453" s="2"/>
      <c r="G4453" s="1"/>
      <c r="H4453" s="3"/>
      <c r="I4453" s="14" t="s">
        <v>2177</v>
      </c>
    </row>
    <row r="4454" spans="1:9" ht="18.75" customHeight="1" x14ac:dyDescent="0.4">
      <c r="A4454" s="14" t="s">
        <v>3592</v>
      </c>
      <c r="B4454" s="16" t="str">
        <f>TRIM("　清水丘公園")</f>
        <v>清水丘公園</v>
      </c>
      <c r="C4454" s="14" t="s">
        <v>1523</v>
      </c>
      <c r="D4454" s="14" t="s">
        <v>1009</v>
      </c>
      <c r="E4454" s="1"/>
      <c r="F4454" s="2"/>
      <c r="G4454" s="1">
        <v>6.17</v>
      </c>
      <c r="H4454" s="3"/>
      <c r="I4454" s="14" t="s">
        <v>2177</v>
      </c>
    </row>
    <row r="4455" spans="1:9" ht="18.75" customHeight="1" x14ac:dyDescent="0.4">
      <c r="A4455" s="14" t="s">
        <v>6770</v>
      </c>
      <c r="B4455" s="16" t="str">
        <f>TRIM("清水丘住宅")</f>
        <v>清水丘住宅</v>
      </c>
      <c r="C4455" s="14" t="s">
        <v>1523</v>
      </c>
      <c r="D4455" s="14" t="s">
        <v>432</v>
      </c>
      <c r="E4455" s="1">
        <v>5144.5200000000004</v>
      </c>
      <c r="F4455" s="2"/>
      <c r="G4455" s="1">
        <v>8472.2999999999993</v>
      </c>
      <c r="H4455" s="3"/>
      <c r="I4455" s="14" t="s">
        <v>6177</v>
      </c>
    </row>
    <row r="4456" spans="1:9" ht="18.75" customHeight="1" x14ac:dyDescent="0.4">
      <c r="A4456" s="14" t="s">
        <v>1970</v>
      </c>
      <c r="B4456" s="16" t="str">
        <f>TRIM("墨江丘地域在宅サービスステーション")</f>
        <v>墨江丘地域在宅サービスステーション</v>
      </c>
      <c r="C4456" s="14" t="s">
        <v>1523</v>
      </c>
      <c r="D4456" s="14" t="s">
        <v>432</v>
      </c>
      <c r="E4456" s="1">
        <v>465.39</v>
      </c>
      <c r="F4456" s="2"/>
      <c r="G4456" s="1"/>
      <c r="H4456" s="3"/>
      <c r="I4456" s="14" t="s">
        <v>1654</v>
      </c>
    </row>
    <row r="4457" spans="1:9" ht="18.75" customHeight="1" x14ac:dyDescent="0.4">
      <c r="A4457" s="14" t="s">
        <v>2409</v>
      </c>
      <c r="B4457" s="16" t="str">
        <f>TRIM("大和川北岸線アンダーパスポンプ場")</f>
        <v>大和川北岸線アンダーパスポンプ場</v>
      </c>
      <c r="C4457" s="14" t="s">
        <v>1523</v>
      </c>
      <c r="D4457" s="14" t="s">
        <v>432</v>
      </c>
      <c r="E4457" s="1"/>
      <c r="F4457" s="2"/>
      <c r="G4457" s="1">
        <v>46.92</v>
      </c>
      <c r="H4457" s="3"/>
      <c r="I4457" s="14" t="s">
        <v>2177</v>
      </c>
    </row>
    <row r="4458" spans="1:9" ht="18.75" customHeight="1" x14ac:dyDescent="0.4">
      <c r="A4458" s="14" t="s">
        <v>2895</v>
      </c>
      <c r="B4458" s="16" t="str">
        <f>TRIM("　清水丘ふれあい公園")</f>
        <v>清水丘ふれあい公園</v>
      </c>
      <c r="C4458" s="14" t="s">
        <v>1523</v>
      </c>
      <c r="D4458" s="14" t="s">
        <v>432</v>
      </c>
      <c r="E4458" s="1">
        <v>2251.23</v>
      </c>
      <c r="F4458" s="2"/>
      <c r="G4458" s="1"/>
      <c r="H4458" s="3"/>
      <c r="I4458" s="14" t="s">
        <v>2177</v>
      </c>
    </row>
    <row r="4459" spans="1:9" ht="18.75" customHeight="1" x14ac:dyDescent="0.4">
      <c r="A4459" s="14" t="s">
        <v>6440</v>
      </c>
      <c r="B4459" s="16" t="str">
        <f>TRIM("杉本住宅")</f>
        <v>杉本住宅</v>
      </c>
      <c r="C4459" s="14" t="s">
        <v>1523</v>
      </c>
      <c r="D4459" s="14" t="s">
        <v>769</v>
      </c>
      <c r="E4459" s="1">
        <v>6357.28</v>
      </c>
      <c r="F4459" s="2"/>
      <c r="G4459" s="1">
        <v>4524.16</v>
      </c>
      <c r="H4459" s="3"/>
      <c r="I4459" s="14" t="s">
        <v>6177</v>
      </c>
    </row>
    <row r="4460" spans="1:9" ht="18.75" customHeight="1" x14ac:dyDescent="0.4">
      <c r="A4460" s="14" t="s">
        <v>6876</v>
      </c>
      <c r="B4460" s="16" t="str">
        <f>TRIM("もと浅香住宅")</f>
        <v>もと浅香住宅</v>
      </c>
      <c r="C4460" s="14" t="s">
        <v>1523</v>
      </c>
      <c r="D4460" s="14" t="s">
        <v>769</v>
      </c>
      <c r="E4460" s="1">
        <v>871.71</v>
      </c>
      <c r="F4460" s="2"/>
      <c r="G4460" s="1"/>
      <c r="H4460" s="3"/>
      <c r="I4460" s="14" t="s">
        <v>6177</v>
      </c>
    </row>
    <row r="4461" spans="1:9" ht="18.75" customHeight="1" x14ac:dyDescent="0.4">
      <c r="A4461" s="14" t="s">
        <v>2879</v>
      </c>
      <c r="B4461" s="16" t="str">
        <f>TRIM("　杉本町公園")</f>
        <v>杉本町公園</v>
      </c>
      <c r="C4461" s="14" t="s">
        <v>1523</v>
      </c>
      <c r="D4461" s="14" t="s">
        <v>649</v>
      </c>
      <c r="E4461" s="1">
        <v>5023.2299999999996</v>
      </c>
      <c r="F4461" s="2"/>
      <c r="G4461" s="1"/>
      <c r="H4461" s="3"/>
      <c r="I4461" s="14" t="s">
        <v>2177</v>
      </c>
    </row>
    <row r="4462" spans="1:9" ht="18.75" customHeight="1" x14ac:dyDescent="0.4">
      <c r="A4462" s="14" t="s">
        <v>6133</v>
      </c>
      <c r="B4462" s="16" t="str">
        <f>TRIM("杉本霊園")</f>
        <v>杉本霊園</v>
      </c>
      <c r="C4462" s="14" t="s">
        <v>1523</v>
      </c>
      <c r="D4462" s="14" t="s">
        <v>649</v>
      </c>
      <c r="E4462" s="1">
        <v>4179.3</v>
      </c>
      <c r="F4462" s="2"/>
      <c r="G4462" s="1"/>
      <c r="H4462" s="3"/>
      <c r="I4462" s="14" t="s">
        <v>5977</v>
      </c>
    </row>
    <row r="4463" spans="1:9" ht="18.75" customHeight="1" x14ac:dyDescent="0.4">
      <c r="A4463" s="14" t="s">
        <v>3863</v>
      </c>
      <c r="B4463" s="16" t="str">
        <f>TRIM("杉本町駅自転車駐車場管理事務所")</f>
        <v>杉本町駅自転車駐車場管理事務所</v>
      </c>
      <c r="C4463" s="14" t="s">
        <v>1523</v>
      </c>
      <c r="D4463" s="14" t="s">
        <v>1493</v>
      </c>
      <c r="E4463" s="1"/>
      <c r="F4463" s="2"/>
      <c r="G4463" s="1">
        <v>10.8</v>
      </c>
      <c r="H4463" s="3"/>
      <c r="I4463" s="14" t="s">
        <v>2177</v>
      </c>
    </row>
    <row r="4464" spans="1:9" ht="18.75" customHeight="1" x14ac:dyDescent="0.4">
      <c r="A4464" s="14" t="s">
        <v>2474</v>
      </c>
      <c r="B4464" s="16" t="str">
        <f>TRIM("河川敷（住吉）")</f>
        <v>河川敷（住吉）</v>
      </c>
      <c r="C4464" s="14" t="s">
        <v>1523</v>
      </c>
      <c r="D4464" s="14" t="s">
        <v>1246</v>
      </c>
      <c r="E4464" s="1">
        <v>51.96</v>
      </c>
      <c r="F4464" s="2"/>
      <c r="G4464" s="1"/>
      <c r="H4464" s="3"/>
      <c r="I4464" s="14" t="s">
        <v>2177</v>
      </c>
    </row>
    <row r="4465" spans="1:9" ht="18.75" customHeight="1" x14ac:dyDescent="0.4">
      <c r="A4465" s="14" t="s">
        <v>3322</v>
      </c>
      <c r="B4465" s="16" t="str">
        <f>TRIM("　墨江1公園")</f>
        <v>墨江1公園</v>
      </c>
      <c r="C4465" s="14" t="s">
        <v>1523</v>
      </c>
      <c r="D4465" s="14" t="s">
        <v>1246</v>
      </c>
      <c r="E4465" s="1">
        <v>240.48</v>
      </c>
      <c r="F4465" s="2"/>
      <c r="G4465" s="1"/>
      <c r="H4465" s="3"/>
      <c r="I4465" s="14" t="s">
        <v>2177</v>
      </c>
    </row>
    <row r="4466" spans="1:9" ht="18.75" customHeight="1" x14ac:dyDescent="0.4">
      <c r="A4466" s="14" t="s">
        <v>5111</v>
      </c>
      <c r="B4466" s="16" t="str">
        <f>TRIM("墨江小学校")</f>
        <v>墨江小学校</v>
      </c>
      <c r="C4466" s="14" t="s">
        <v>1523</v>
      </c>
      <c r="D4466" s="14" t="s">
        <v>522</v>
      </c>
      <c r="E4466" s="1">
        <v>10094.299999999999</v>
      </c>
      <c r="F4466" s="2"/>
      <c r="G4466" s="1">
        <v>7324.46</v>
      </c>
      <c r="H4466" s="3"/>
      <c r="I4466" s="14" t="s">
        <v>4689</v>
      </c>
    </row>
    <row r="4467" spans="1:9" ht="18.75" customHeight="1" x14ac:dyDescent="0.4">
      <c r="A4467" s="14" t="s">
        <v>5819</v>
      </c>
      <c r="B4467" s="16" t="str">
        <f>TRIM("墨江幼稚園")</f>
        <v>墨江幼稚園</v>
      </c>
      <c r="C4467" s="14" t="s">
        <v>1523</v>
      </c>
      <c r="D4467" s="14" t="s">
        <v>522</v>
      </c>
      <c r="E4467" s="1">
        <v>1634</v>
      </c>
      <c r="F4467" s="2"/>
      <c r="G4467" s="1">
        <v>732.56</v>
      </c>
      <c r="H4467" s="3"/>
      <c r="I4467" s="14" t="s">
        <v>5617</v>
      </c>
    </row>
    <row r="4468" spans="1:9" ht="18.75" customHeight="1" x14ac:dyDescent="0.4">
      <c r="A4468" s="14" t="s">
        <v>6762</v>
      </c>
      <c r="B4468" s="16" t="str">
        <f>TRIM("墨江住宅")</f>
        <v>墨江住宅</v>
      </c>
      <c r="C4468" s="14" t="s">
        <v>1523</v>
      </c>
      <c r="D4468" s="14" t="s">
        <v>522</v>
      </c>
      <c r="E4468" s="1">
        <v>3497.6</v>
      </c>
      <c r="F4468" s="2"/>
      <c r="G4468" s="1">
        <v>2409</v>
      </c>
      <c r="H4468" s="3"/>
      <c r="I4468" s="14" t="s">
        <v>6177</v>
      </c>
    </row>
    <row r="4469" spans="1:9" ht="18.75" customHeight="1" x14ac:dyDescent="0.4">
      <c r="A4469" s="14" t="s">
        <v>5110</v>
      </c>
      <c r="B4469" s="16" t="str">
        <f>TRIM("墨江丘中学校")</f>
        <v>墨江丘中学校</v>
      </c>
      <c r="C4469" s="14" t="s">
        <v>1523</v>
      </c>
      <c r="D4469" s="14" t="s">
        <v>467</v>
      </c>
      <c r="E4469" s="1">
        <v>15999.54</v>
      </c>
      <c r="F4469" s="2"/>
      <c r="G4469" s="1">
        <v>7210.79</v>
      </c>
      <c r="H4469" s="3"/>
      <c r="I4469" s="14" t="s">
        <v>4689</v>
      </c>
    </row>
    <row r="4470" spans="1:9" ht="18.75" customHeight="1" x14ac:dyDescent="0.4">
      <c r="A4470" s="14" t="s">
        <v>1762</v>
      </c>
      <c r="B4470" s="16" t="str">
        <f>TRIM("多機能型　すみえ")</f>
        <v>多機能型　すみえ</v>
      </c>
      <c r="C4470" s="14" t="s">
        <v>1523</v>
      </c>
      <c r="D4470" s="14" t="s">
        <v>467</v>
      </c>
      <c r="E4470" s="1">
        <v>237.35</v>
      </c>
      <c r="F4470" s="2"/>
      <c r="G4470" s="1"/>
      <c r="H4470" s="3"/>
      <c r="I4470" s="14" t="s">
        <v>1654</v>
      </c>
    </row>
    <row r="4471" spans="1:9" ht="18.75" customHeight="1" x14ac:dyDescent="0.4">
      <c r="A4471" s="14" t="s">
        <v>3323</v>
      </c>
      <c r="B4471" s="16" t="str">
        <f>TRIM("　墨江丘公園")</f>
        <v>墨江丘公園</v>
      </c>
      <c r="C4471" s="14" t="s">
        <v>1523</v>
      </c>
      <c r="D4471" s="14" t="s">
        <v>467</v>
      </c>
      <c r="E4471" s="1">
        <v>1415.88</v>
      </c>
      <c r="F4471" s="2"/>
      <c r="G4471" s="1"/>
      <c r="H4471" s="3"/>
      <c r="I4471" s="14" t="s">
        <v>2177</v>
      </c>
    </row>
    <row r="4472" spans="1:9" ht="18.75" customHeight="1" x14ac:dyDescent="0.4">
      <c r="A4472" s="14" t="s">
        <v>3891</v>
      </c>
      <c r="B4472" s="16" t="str">
        <f>TRIM("沢ノ町駅自転車駐車場管理ボックス")</f>
        <v>沢ノ町駅自転車駐車場管理ボックス</v>
      </c>
      <c r="C4472" s="14" t="s">
        <v>1523</v>
      </c>
      <c r="D4472" s="14" t="s">
        <v>467</v>
      </c>
      <c r="E4472" s="1"/>
      <c r="F4472" s="2"/>
      <c r="G4472" s="1">
        <v>1.44</v>
      </c>
      <c r="H4472" s="3"/>
      <c r="I4472" s="14" t="s">
        <v>2177</v>
      </c>
    </row>
    <row r="4473" spans="1:9" ht="18.75" customHeight="1" x14ac:dyDescent="0.4">
      <c r="A4473" s="14" t="s">
        <v>4620</v>
      </c>
      <c r="B4473" s="16" t="str">
        <f>TRIM("墨江福祉会館")</f>
        <v>墨江福祉会館</v>
      </c>
      <c r="C4473" s="14" t="s">
        <v>1523</v>
      </c>
      <c r="D4473" s="14" t="s">
        <v>467</v>
      </c>
      <c r="E4473" s="1">
        <v>438.03</v>
      </c>
      <c r="F4473" s="2"/>
      <c r="G4473" s="1"/>
      <c r="H4473" s="3"/>
      <c r="I4473" s="14" t="s">
        <v>2003</v>
      </c>
    </row>
    <row r="4474" spans="1:9" ht="18.75" customHeight="1" x14ac:dyDescent="0.4">
      <c r="A4474" s="14" t="s">
        <v>2528</v>
      </c>
      <c r="B4474" s="16" t="str">
        <f>TRIM("　　住吉一二三公園")</f>
        <v>住吉一二三公園</v>
      </c>
      <c r="C4474" s="14" t="s">
        <v>1523</v>
      </c>
      <c r="D4474" s="14" t="s">
        <v>993</v>
      </c>
      <c r="E4474" s="1">
        <v>717.78</v>
      </c>
      <c r="F4474" s="2"/>
      <c r="G4474" s="1"/>
      <c r="H4474" s="3"/>
      <c r="I4474" s="14" t="s">
        <v>2177</v>
      </c>
    </row>
    <row r="4475" spans="1:9" ht="18.75" customHeight="1" x14ac:dyDescent="0.4">
      <c r="A4475" s="14" t="s">
        <v>4613</v>
      </c>
      <c r="B4475" s="16" t="str">
        <f>TRIM("住吉コミュニティ会館・住吉老人憩の家")</f>
        <v>住吉コミュニティ会館・住吉老人憩の家</v>
      </c>
      <c r="C4475" s="14" t="s">
        <v>1523</v>
      </c>
      <c r="D4475" s="14" t="s">
        <v>993</v>
      </c>
      <c r="E4475" s="1">
        <v>199.9</v>
      </c>
      <c r="F4475" s="2"/>
      <c r="G4475" s="1"/>
      <c r="H4475" s="3"/>
      <c r="I4475" s="14" t="s">
        <v>2003</v>
      </c>
    </row>
    <row r="4476" spans="1:9" ht="18.75" customHeight="1" x14ac:dyDescent="0.4">
      <c r="A4476" s="14" t="s">
        <v>4834</v>
      </c>
      <c r="B4476" s="16" t="str">
        <f>TRIM("三稜中学校")</f>
        <v>三稜中学校</v>
      </c>
      <c r="C4476" s="14" t="s">
        <v>1523</v>
      </c>
      <c r="D4476" s="14" t="s">
        <v>652</v>
      </c>
      <c r="E4476" s="1">
        <v>16555.37</v>
      </c>
      <c r="F4476" s="2"/>
      <c r="G4476" s="1">
        <v>10347.82</v>
      </c>
      <c r="H4476" s="3"/>
      <c r="I4476" s="14" t="s">
        <v>4689</v>
      </c>
    </row>
    <row r="4477" spans="1:9" ht="18.75" customHeight="1" x14ac:dyDescent="0.4">
      <c r="A4477" s="14" t="s">
        <v>6137</v>
      </c>
      <c r="B4477" s="16" t="str">
        <f>TRIM("千躰霊園")</f>
        <v>千躰霊園</v>
      </c>
      <c r="C4477" s="14" t="s">
        <v>1523</v>
      </c>
      <c r="D4477" s="14" t="s">
        <v>652</v>
      </c>
      <c r="E4477" s="1">
        <v>1371.9</v>
      </c>
      <c r="F4477" s="2"/>
      <c r="G4477" s="1"/>
      <c r="H4477" s="3"/>
      <c r="I4477" s="14" t="s">
        <v>5977</v>
      </c>
    </row>
    <row r="4478" spans="1:9" ht="18.75" customHeight="1" x14ac:dyDescent="0.4">
      <c r="A4478" s="14" t="s">
        <v>6975</v>
      </c>
      <c r="B4478" s="16" t="str">
        <f>TRIM("もと沢之町休日急病診療所")</f>
        <v>もと沢之町休日急病診療所</v>
      </c>
      <c r="C4478" s="14" t="s">
        <v>1523</v>
      </c>
      <c r="D4478" s="14" t="s">
        <v>473</v>
      </c>
      <c r="E4478" s="1">
        <v>273.61</v>
      </c>
      <c r="F4478" s="2">
        <v>1943</v>
      </c>
      <c r="G4478" s="1">
        <v>233.21</v>
      </c>
      <c r="H4478" s="3" t="s">
        <v>7353</v>
      </c>
      <c r="I4478" s="14" t="s">
        <v>2402</v>
      </c>
    </row>
    <row r="4479" spans="1:9" ht="18.75" customHeight="1" x14ac:dyDescent="0.4">
      <c r="A4479" s="14" t="s">
        <v>6466</v>
      </c>
      <c r="B4479" s="16" t="str">
        <f>TRIM("千躰住宅")</f>
        <v>千躰住宅</v>
      </c>
      <c r="C4479" s="14" t="s">
        <v>1523</v>
      </c>
      <c r="D4479" s="14" t="s">
        <v>473</v>
      </c>
      <c r="E4479" s="1">
        <v>5014.87</v>
      </c>
      <c r="F4479" s="2"/>
      <c r="G4479" s="1">
        <v>5322.16</v>
      </c>
      <c r="H4479" s="3"/>
      <c r="I4479" s="14" t="s">
        <v>6177</v>
      </c>
    </row>
    <row r="4480" spans="1:9" ht="18.75" customHeight="1" x14ac:dyDescent="0.4">
      <c r="A4480" s="14" t="s">
        <v>2959</v>
      </c>
      <c r="B4480" s="16" t="str">
        <f>TRIM("　千躰公園")</f>
        <v>千躰公園</v>
      </c>
      <c r="C4480" s="14" t="s">
        <v>1523</v>
      </c>
      <c r="D4480" s="14" t="s">
        <v>473</v>
      </c>
      <c r="E4480" s="1">
        <v>1370.02</v>
      </c>
      <c r="F4480" s="2"/>
      <c r="G4480" s="1"/>
      <c r="H4480" s="3"/>
      <c r="I4480" s="14" t="s">
        <v>2177</v>
      </c>
    </row>
    <row r="4481" spans="1:9" ht="18.75" customHeight="1" x14ac:dyDescent="0.4">
      <c r="A4481" s="14" t="s">
        <v>4947</v>
      </c>
      <c r="B4481" s="16" t="str">
        <f>TRIM("大領小学校")</f>
        <v>大領小学校</v>
      </c>
      <c r="C4481" s="14" t="s">
        <v>1523</v>
      </c>
      <c r="D4481" s="14" t="s">
        <v>1412</v>
      </c>
      <c r="E4481" s="1">
        <v>11447.14</v>
      </c>
      <c r="F4481" s="2"/>
      <c r="G4481" s="1">
        <v>6290.02</v>
      </c>
      <c r="H4481" s="3"/>
      <c r="I4481" s="14" t="s">
        <v>4689</v>
      </c>
    </row>
    <row r="4482" spans="1:9" ht="18.75" customHeight="1" x14ac:dyDescent="0.4">
      <c r="A4482" s="14" t="s">
        <v>4948</v>
      </c>
      <c r="B4482" s="16" t="str">
        <f>TRIM("大領中学校")</f>
        <v>大領中学校</v>
      </c>
      <c r="C4482" s="14" t="s">
        <v>1523</v>
      </c>
      <c r="D4482" s="14" t="s">
        <v>783</v>
      </c>
      <c r="E4482" s="1">
        <v>14233.69</v>
      </c>
      <c r="F4482" s="2"/>
      <c r="G4482" s="1">
        <v>6958.46</v>
      </c>
      <c r="H4482" s="3"/>
      <c r="I4482" s="14" t="s">
        <v>4689</v>
      </c>
    </row>
    <row r="4483" spans="1:9" ht="18.75" customHeight="1" x14ac:dyDescent="0.4">
      <c r="A4483" s="14" t="s">
        <v>6489</v>
      </c>
      <c r="B4483" s="16" t="str">
        <f>TRIM("大領東住宅")</f>
        <v>大領東住宅</v>
      </c>
      <c r="C4483" s="14" t="s">
        <v>1523</v>
      </c>
      <c r="D4483" s="14" t="s">
        <v>783</v>
      </c>
      <c r="E4483" s="1">
        <v>6076.34</v>
      </c>
      <c r="F4483" s="2"/>
      <c r="G4483" s="1">
        <v>4855.5</v>
      </c>
      <c r="H4483" s="3"/>
      <c r="I4483" s="14" t="s">
        <v>6177</v>
      </c>
    </row>
    <row r="4484" spans="1:9" ht="18.75" customHeight="1" x14ac:dyDescent="0.4">
      <c r="A4484" s="14" t="s">
        <v>6490</v>
      </c>
      <c r="B4484" s="16" t="str">
        <f>TRIM("大領北住宅")</f>
        <v>大領北住宅</v>
      </c>
      <c r="C4484" s="14" t="s">
        <v>1523</v>
      </c>
      <c r="D4484" s="14" t="s">
        <v>783</v>
      </c>
      <c r="E4484" s="1">
        <v>4135.53</v>
      </c>
      <c r="F4484" s="2"/>
      <c r="G4484" s="1">
        <v>3595.85</v>
      </c>
      <c r="H4484" s="3"/>
      <c r="I4484" s="14" t="s">
        <v>6177</v>
      </c>
    </row>
    <row r="4485" spans="1:9" ht="18.75" customHeight="1" x14ac:dyDescent="0.4">
      <c r="A4485" s="14" t="s">
        <v>6488</v>
      </c>
      <c r="B4485" s="16" t="str">
        <f>TRIM("大領住宅")</f>
        <v>大領住宅</v>
      </c>
      <c r="C4485" s="14" t="s">
        <v>1523</v>
      </c>
      <c r="D4485" s="14" t="s">
        <v>782</v>
      </c>
      <c r="E4485" s="1">
        <v>2592.25</v>
      </c>
      <c r="F4485" s="2"/>
      <c r="G4485" s="1">
        <v>1822.63</v>
      </c>
      <c r="H4485" s="3"/>
      <c r="I4485" s="14" t="s">
        <v>6177</v>
      </c>
    </row>
    <row r="4486" spans="1:9" ht="18.75" customHeight="1" x14ac:dyDescent="0.4">
      <c r="A4486" s="14" t="s">
        <v>3906</v>
      </c>
      <c r="B4486" s="16" t="str">
        <f>TRIM("帝塚山駅自転車駐車場管理事務所")</f>
        <v>帝塚山駅自転車駐車場管理事務所</v>
      </c>
      <c r="C4486" s="14" t="s">
        <v>1523</v>
      </c>
      <c r="D4486" s="14" t="s">
        <v>1500</v>
      </c>
      <c r="E4486" s="1"/>
      <c r="F4486" s="2"/>
      <c r="G4486" s="1">
        <v>3.89</v>
      </c>
      <c r="H4486" s="3"/>
      <c r="I4486" s="14" t="s">
        <v>2177</v>
      </c>
    </row>
    <row r="4487" spans="1:9" ht="18.75" customHeight="1" x14ac:dyDescent="0.4">
      <c r="A4487" s="14" t="s">
        <v>3098</v>
      </c>
      <c r="B4487" s="16" t="str">
        <f>TRIM("　帝塚山小公園")</f>
        <v>帝塚山小公園</v>
      </c>
      <c r="C4487" s="14" t="s">
        <v>1523</v>
      </c>
      <c r="D4487" s="14" t="s">
        <v>1171</v>
      </c>
      <c r="E4487" s="1">
        <v>404.82</v>
      </c>
      <c r="F4487" s="2"/>
      <c r="G4487" s="1"/>
      <c r="H4487" s="3"/>
      <c r="I4487" s="14" t="s">
        <v>2177</v>
      </c>
    </row>
    <row r="4488" spans="1:9" ht="18.75" customHeight="1" x14ac:dyDescent="0.4">
      <c r="A4488" s="14" t="s">
        <v>4844</v>
      </c>
      <c r="B4488" s="16" t="str">
        <f>TRIM("住吉小学校")</f>
        <v>住吉小学校</v>
      </c>
      <c r="C4488" s="14" t="s">
        <v>1523</v>
      </c>
      <c r="D4488" s="14" t="s">
        <v>1398</v>
      </c>
      <c r="E4488" s="1">
        <v>18827.43</v>
      </c>
      <c r="F4488" s="2"/>
      <c r="G4488" s="1">
        <v>15868.39</v>
      </c>
      <c r="H4488" s="3"/>
      <c r="I4488" s="14" t="s">
        <v>4689</v>
      </c>
    </row>
    <row r="4489" spans="1:9" ht="18.75" customHeight="1" x14ac:dyDescent="0.4">
      <c r="A4489" s="14" t="s">
        <v>4847</v>
      </c>
      <c r="B4489" s="16" t="str">
        <f>TRIM("住吉中学校")</f>
        <v>住吉中学校</v>
      </c>
      <c r="C4489" s="14" t="s">
        <v>1523</v>
      </c>
      <c r="D4489" s="14" t="s">
        <v>1398</v>
      </c>
      <c r="E4489" s="1">
        <v>23921.8</v>
      </c>
      <c r="F4489" s="2"/>
      <c r="G4489" s="1">
        <v>14754.86</v>
      </c>
      <c r="H4489" s="3"/>
      <c r="I4489" s="14" t="s">
        <v>4689</v>
      </c>
    </row>
    <row r="4490" spans="1:9" ht="18.75" customHeight="1" x14ac:dyDescent="0.4">
      <c r="A4490" s="14" t="s">
        <v>5790</v>
      </c>
      <c r="B4490" s="16" t="str">
        <f>TRIM("住吉幼稚園")</f>
        <v>住吉幼稚園</v>
      </c>
      <c r="C4490" s="14" t="s">
        <v>1523</v>
      </c>
      <c r="D4490" s="14" t="s">
        <v>503</v>
      </c>
      <c r="E4490" s="1">
        <v>3224.63</v>
      </c>
      <c r="F4490" s="2"/>
      <c r="G4490" s="1">
        <v>909</v>
      </c>
      <c r="H4490" s="3"/>
      <c r="I4490" s="14" t="s">
        <v>5617</v>
      </c>
    </row>
    <row r="4491" spans="1:9" ht="18.75" customHeight="1" x14ac:dyDescent="0.4">
      <c r="A4491" s="14" t="s">
        <v>1906</v>
      </c>
      <c r="B4491" s="16" t="str">
        <f>TRIM("帝塚山特別養護老人ホーム・住吉地域在宅サービスステーション")</f>
        <v>帝塚山特別養護老人ホーム・住吉地域在宅サービスステーション</v>
      </c>
      <c r="C4491" s="14" t="s">
        <v>1523</v>
      </c>
      <c r="D4491" s="14" t="s">
        <v>398</v>
      </c>
      <c r="E4491" s="1">
        <v>3500</v>
      </c>
      <c r="F4491" s="2"/>
      <c r="G4491" s="1"/>
      <c r="H4491" s="3"/>
      <c r="I4491" s="14" t="s">
        <v>1654</v>
      </c>
    </row>
    <row r="4492" spans="1:9" ht="18.75" customHeight="1" x14ac:dyDescent="0.4">
      <c r="A4492" s="14" t="s">
        <v>6397</v>
      </c>
      <c r="B4492" s="16" t="str">
        <f>TRIM("住吉住宅")</f>
        <v>住吉住宅</v>
      </c>
      <c r="C4492" s="14" t="s">
        <v>1523</v>
      </c>
      <c r="D4492" s="14" t="s">
        <v>101</v>
      </c>
      <c r="E4492" s="1">
        <v>24761.97</v>
      </c>
      <c r="F4492" s="2"/>
      <c r="G4492" s="1">
        <v>33699.82</v>
      </c>
      <c r="H4492" s="3"/>
      <c r="I4492" s="14" t="s">
        <v>6177</v>
      </c>
    </row>
    <row r="4493" spans="1:9" ht="18.75" customHeight="1" x14ac:dyDescent="0.4">
      <c r="A4493" s="14" t="s">
        <v>5171</v>
      </c>
      <c r="B4493" s="16" t="str">
        <f>TRIM("もと住吉青少年会館")</f>
        <v>もと住吉青少年会館</v>
      </c>
      <c r="C4493" s="14" t="s">
        <v>1523</v>
      </c>
      <c r="D4493" s="14" t="s">
        <v>101</v>
      </c>
      <c r="E4493" s="1">
        <v>3167.84</v>
      </c>
      <c r="F4493" s="2">
        <v>1134</v>
      </c>
      <c r="G4493" s="1">
        <v>2118.39</v>
      </c>
      <c r="H4493" s="3" t="s">
        <v>7353</v>
      </c>
      <c r="I4493" s="14" t="s">
        <v>4689</v>
      </c>
    </row>
    <row r="4494" spans="1:9" ht="18.75" customHeight="1" x14ac:dyDescent="0.4">
      <c r="A4494" s="14" t="s">
        <v>1603</v>
      </c>
      <c r="B4494" s="16" t="str">
        <f>TRIM("もと市民交流センターすみよし北")</f>
        <v>もと市民交流センターすみよし北</v>
      </c>
      <c r="C4494" s="14" t="s">
        <v>1523</v>
      </c>
      <c r="D4494" s="14" t="s">
        <v>101</v>
      </c>
      <c r="E4494" s="1">
        <v>2797.4</v>
      </c>
      <c r="F4494" s="2">
        <v>1732</v>
      </c>
      <c r="G4494" s="1"/>
      <c r="H4494" s="3"/>
      <c r="I4494" s="14" t="s">
        <v>1598</v>
      </c>
    </row>
    <row r="4495" spans="1:9" ht="18.75" customHeight="1" x14ac:dyDescent="0.4">
      <c r="A4495" s="14" t="s">
        <v>5864</v>
      </c>
      <c r="B4495" s="16" t="str">
        <f>TRIM("住吉乳児保育所")</f>
        <v>住吉乳児保育所</v>
      </c>
      <c r="C4495" s="14" t="s">
        <v>1523</v>
      </c>
      <c r="D4495" s="14" t="s">
        <v>101</v>
      </c>
      <c r="E4495" s="1">
        <v>1986.78</v>
      </c>
      <c r="F4495" s="2"/>
      <c r="G4495" s="1">
        <v>987.38</v>
      </c>
      <c r="H4495" s="3"/>
      <c r="I4495" s="14" t="s">
        <v>5617</v>
      </c>
    </row>
    <row r="4496" spans="1:9" ht="18.75" customHeight="1" x14ac:dyDescent="0.4">
      <c r="A4496" s="14" t="s">
        <v>5865</v>
      </c>
      <c r="B4496" s="16" t="str">
        <f>TRIM("住吉保育所")</f>
        <v>住吉保育所</v>
      </c>
      <c r="C4496" s="14" t="s">
        <v>1523</v>
      </c>
      <c r="D4496" s="14" t="s">
        <v>101</v>
      </c>
      <c r="E4496" s="1">
        <v>1692.78</v>
      </c>
      <c r="F4496" s="2"/>
      <c r="G4496" s="1">
        <v>1223.21</v>
      </c>
      <c r="H4496" s="3"/>
      <c r="I4496" s="14" t="s">
        <v>5617</v>
      </c>
    </row>
    <row r="4497" spans="1:9" ht="18.75" customHeight="1" x14ac:dyDescent="0.4">
      <c r="A4497" s="14" t="s">
        <v>1702</v>
      </c>
      <c r="B4497" s="16" t="str">
        <f>TRIM("   住吉総合福祉センター")</f>
        <v>住吉総合福祉センター</v>
      </c>
      <c r="C4497" s="14" t="s">
        <v>1523</v>
      </c>
      <c r="D4497" s="14" t="s">
        <v>101</v>
      </c>
      <c r="E4497" s="1"/>
      <c r="F4497" s="2"/>
      <c r="G4497" s="1">
        <v>1764.59</v>
      </c>
      <c r="H4497" s="3"/>
      <c r="I4497" s="14" t="s">
        <v>1654</v>
      </c>
    </row>
    <row r="4498" spans="1:9" ht="18.75" customHeight="1" x14ac:dyDescent="0.4">
      <c r="A4498" s="14" t="s">
        <v>1703</v>
      </c>
      <c r="B4498" s="16" t="str">
        <f>TRIM(" 　 住吉総合福祉センター")</f>
        <v>住吉総合福祉センター</v>
      </c>
      <c r="C4498" s="14" t="s">
        <v>1523</v>
      </c>
      <c r="D4498" s="14" t="s">
        <v>101</v>
      </c>
      <c r="E4498" s="1">
        <v>2237.7199999999998</v>
      </c>
      <c r="F4498" s="2"/>
      <c r="G4498" s="1"/>
      <c r="H4498" s="3"/>
      <c r="I4498" s="14" t="s">
        <v>1654</v>
      </c>
    </row>
    <row r="4499" spans="1:9" ht="18.75" customHeight="1" x14ac:dyDescent="0.4">
      <c r="A4499" s="14" t="s">
        <v>1730</v>
      </c>
      <c r="B4499" s="16" t="str">
        <f>TRIM("障がい福祉サービス事業所　障がい者活動センターオガリ作業所")</f>
        <v>障がい福祉サービス事業所　障がい者活動センターオガリ作業所</v>
      </c>
      <c r="C4499" s="14" t="s">
        <v>1523</v>
      </c>
      <c r="D4499" s="14" t="s">
        <v>101</v>
      </c>
      <c r="E4499" s="1"/>
      <c r="F4499" s="2"/>
      <c r="G4499" s="1">
        <v>581.95000000000005</v>
      </c>
      <c r="H4499" s="3"/>
      <c r="I4499" s="14" t="s">
        <v>1654</v>
      </c>
    </row>
    <row r="4500" spans="1:9" ht="18.75" customHeight="1" x14ac:dyDescent="0.4">
      <c r="A4500" s="14" t="s">
        <v>1846</v>
      </c>
      <c r="B4500" s="16" t="str">
        <f>TRIM("住吉総合福祉センター（小規模多機能型居宅介護拠点）")</f>
        <v>住吉総合福祉センター（小規模多機能型居宅介護拠点）</v>
      </c>
      <c r="C4500" s="14" t="s">
        <v>1523</v>
      </c>
      <c r="D4500" s="14" t="s">
        <v>101</v>
      </c>
      <c r="E4500" s="1"/>
      <c r="F4500" s="2"/>
      <c r="G4500" s="1">
        <v>262.29000000000002</v>
      </c>
      <c r="H4500" s="3"/>
      <c r="I4500" s="14" t="s">
        <v>1654</v>
      </c>
    </row>
    <row r="4501" spans="1:9" ht="18.75" customHeight="1" x14ac:dyDescent="0.4">
      <c r="A4501" s="14" t="s">
        <v>1934</v>
      </c>
      <c r="B4501" s="16" t="str">
        <f>TRIM("特別養護老人ホームなごみ・住吉第2地域在宅サービスステーション")</f>
        <v>特別養護老人ホームなごみ・住吉第2地域在宅サービスステーション</v>
      </c>
      <c r="C4501" s="14" t="s">
        <v>1523</v>
      </c>
      <c r="D4501" s="14" t="s">
        <v>101</v>
      </c>
      <c r="E4501" s="1">
        <v>1477.73</v>
      </c>
      <c r="F4501" s="2"/>
      <c r="G4501" s="1"/>
      <c r="H4501" s="3"/>
      <c r="I4501" s="14" t="s">
        <v>1654</v>
      </c>
    </row>
    <row r="4502" spans="1:9" ht="18.75" customHeight="1" x14ac:dyDescent="0.4">
      <c r="A4502" s="14" t="s">
        <v>2872</v>
      </c>
      <c r="B4502" s="16" t="str">
        <f>TRIM("　神ノ木公園")</f>
        <v>神ノ木公園</v>
      </c>
      <c r="C4502" s="14" t="s">
        <v>1523</v>
      </c>
      <c r="D4502" s="14" t="s">
        <v>101</v>
      </c>
      <c r="E4502" s="1">
        <v>2880.97</v>
      </c>
      <c r="F4502" s="2"/>
      <c r="G4502" s="1"/>
      <c r="H4502" s="3"/>
      <c r="I4502" s="14" t="s">
        <v>2177</v>
      </c>
    </row>
    <row r="4503" spans="1:9" ht="18.75" customHeight="1" x14ac:dyDescent="0.4">
      <c r="A4503" s="14" t="s">
        <v>3826</v>
      </c>
      <c r="B4503" s="16" t="str">
        <f>TRIM("住吉東駅自転車駐車場管理事務所")</f>
        <v>住吉東駅自転車駐車場管理事務所</v>
      </c>
      <c r="C4503" s="14" t="s">
        <v>1523</v>
      </c>
      <c r="D4503" s="14" t="s">
        <v>101</v>
      </c>
      <c r="E4503" s="1"/>
      <c r="F4503" s="2"/>
      <c r="G4503" s="1">
        <v>12.56</v>
      </c>
      <c r="H4503" s="3"/>
      <c r="I4503" s="14" t="s">
        <v>2177</v>
      </c>
    </row>
    <row r="4504" spans="1:9" ht="18.75" customHeight="1" x14ac:dyDescent="0.4">
      <c r="A4504" s="14" t="s">
        <v>5172</v>
      </c>
      <c r="B4504" s="16" t="str">
        <f>TRIM("もと住吉青少年会館付設体育館")</f>
        <v>もと住吉青少年会館付設体育館</v>
      </c>
      <c r="C4504" s="14" t="s">
        <v>1523</v>
      </c>
      <c r="D4504" s="14" t="s">
        <v>101</v>
      </c>
      <c r="E4504" s="1"/>
      <c r="F4504" s="2"/>
      <c r="G4504" s="1">
        <v>1593.36</v>
      </c>
      <c r="H4504" s="3" t="s">
        <v>7353</v>
      </c>
      <c r="I4504" s="14" t="s">
        <v>4689</v>
      </c>
    </row>
    <row r="4505" spans="1:9" ht="18.75" customHeight="1" x14ac:dyDescent="0.4">
      <c r="A4505" s="14" t="s">
        <v>6234</v>
      </c>
      <c r="B4505" s="16" t="str">
        <f>TRIM("住吉住宅")</f>
        <v>住吉住宅</v>
      </c>
      <c r="C4505" s="14" t="s">
        <v>1523</v>
      </c>
      <c r="D4505" s="14" t="s">
        <v>101</v>
      </c>
      <c r="E4505" s="1">
        <v>871.85</v>
      </c>
      <c r="F4505" s="2"/>
      <c r="G4505" s="1"/>
      <c r="H4505" s="3"/>
      <c r="I4505" s="14" t="s">
        <v>6177</v>
      </c>
    </row>
    <row r="4506" spans="1:9" ht="18.75" customHeight="1" x14ac:dyDescent="0.4">
      <c r="A4506" s="14" t="s">
        <v>6251</v>
      </c>
      <c r="B4506" s="16" t="str">
        <f>TRIM("もと住吉住宅")</f>
        <v>もと住吉住宅</v>
      </c>
      <c r="C4506" s="14" t="s">
        <v>1523</v>
      </c>
      <c r="D4506" s="14" t="s">
        <v>101</v>
      </c>
      <c r="E4506" s="1">
        <v>33.479999999999997</v>
      </c>
      <c r="F4506" s="2"/>
      <c r="G4506" s="1"/>
      <c r="H4506" s="3"/>
      <c r="I4506" s="14" t="s">
        <v>6177</v>
      </c>
    </row>
    <row r="4507" spans="1:9" ht="18.75" customHeight="1" x14ac:dyDescent="0.4">
      <c r="A4507" s="14" t="s">
        <v>6398</v>
      </c>
      <c r="B4507" s="16" t="str">
        <f>TRIM("住吉住宅地区改良事業用地")</f>
        <v>住吉住宅地区改良事業用地</v>
      </c>
      <c r="C4507" s="14" t="s">
        <v>1523</v>
      </c>
      <c r="D4507" s="14" t="s">
        <v>101</v>
      </c>
      <c r="E4507" s="1">
        <v>284.66000000000003</v>
      </c>
      <c r="F4507" s="2"/>
      <c r="G4507" s="1"/>
      <c r="H4507" s="3"/>
      <c r="I4507" s="14" t="s">
        <v>6177</v>
      </c>
    </row>
    <row r="4508" spans="1:9" ht="18.75" customHeight="1" x14ac:dyDescent="0.4">
      <c r="A4508" s="14" t="s">
        <v>6889</v>
      </c>
      <c r="B4508" s="16" t="str">
        <f>TRIM("住吉住宅")</f>
        <v>住吉住宅</v>
      </c>
      <c r="C4508" s="14" t="s">
        <v>1523</v>
      </c>
      <c r="D4508" s="14" t="s">
        <v>101</v>
      </c>
      <c r="E4508" s="1">
        <v>266.31</v>
      </c>
      <c r="F4508" s="2">
        <v>627</v>
      </c>
      <c r="G4508" s="1"/>
      <c r="H4508" s="3"/>
      <c r="I4508" s="14" t="s">
        <v>6177</v>
      </c>
    </row>
    <row r="4509" spans="1:9" ht="18.75" customHeight="1" x14ac:dyDescent="0.4">
      <c r="A4509" s="14" t="s">
        <v>6984</v>
      </c>
      <c r="B4509" s="16" t="str">
        <f>TRIM("住吉診療所")</f>
        <v>住吉診療所</v>
      </c>
      <c r="C4509" s="14" t="s">
        <v>1523</v>
      </c>
      <c r="D4509" s="14" t="s">
        <v>101</v>
      </c>
      <c r="E4509" s="1"/>
      <c r="F4509" s="2"/>
      <c r="G4509" s="1">
        <v>489.56</v>
      </c>
      <c r="H4509" s="3"/>
      <c r="I4509" s="14" t="s">
        <v>2402</v>
      </c>
    </row>
    <row r="4510" spans="1:9" ht="18.75" customHeight="1" x14ac:dyDescent="0.4">
      <c r="A4510" s="14" t="s">
        <v>7050</v>
      </c>
      <c r="B4510" s="16" t="str">
        <f>TRIM("住吉商業施設 9号館")</f>
        <v>住吉商業施設 9号館</v>
      </c>
      <c r="C4510" s="14" t="s">
        <v>1523</v>
      </c>
      <c r="D4510" s="14" t="s">
        <v>101</v>
      </c>
      <c r="E4510" s="1"/>
      <c r="F4510" s="2"/>
      <c r="G4510" s="1">
        <v>225.05</v>
      </c>
      <c r="H4510" s="3"/>
      <c r="I4510" s="14" t="s">
        <v>4115</v>
      </c>
    </row>
    <row r="4511" spans="1:9" ht="18.75" customHeight="1" x14ac:dyDescent="0.4">
      <c r="A4511" s="14" t="s">
        <v>3892</v>
      </c>
      <c r="B4511" s="16" t="str">
        <f>TRIM("沢ノ町駅自転車駐車場管理事務所")</f>
        <v>沢ノ町駅自転車駐車場管理事務所</v>
      </c>
      <c r="C4511" s="14" t="s">
        <v>1523</v>
      </c>
      <c r="D4511" s="14" t="s">
        <v>1496</v>
      </c>
      <c r="E4511" s="1"/>
      <c r="F4511" s="2"/>
      <c r="G4511" s="1">
        <v>3.89</v>
      </c>
      <c r="H4511" s="3"/>
      <c r="I4511" s="14" t="s">
        <v>2177</v>
      </c>
    </row>
    <row r="4512" spans="1:9" ht="18.75" customHeight="1" x14ac:dyDescent="0.4">
      <c r="A4512" s="14" t="s">
        <v>6533</v>
      </c>
      <c r="B4512" s="16" t="str">
        <f>TRIM("長居住宅")</f>
        <v>長居住宅</v>
      </c>
      <c r="C4512" s="14" t="s">
        <v>1523</v>
      </c>
      <c r="D4512" s="14" t="s">
        <v>795</v>
      </c>
      <c r="E4512" s="1">
        <v>7033.67</v>
      </c>
      <c r="F4512" s="2"/>
      <c r="G4512" s="1">
        <v>9028.1</v>
      </c>
      <c r="H4512" s="3"/>
      <c r="I4512" s="14" t="s">
        <v>6177</v>
      </c>
    </row>
    <row r="4513" spans="1:9" ht="18.75" customHeight="1" x14ac:dyDescent="0.4">
      <c r="A4513" s="14" t="s">
        <v>6750</v>
      </c>
      <c r="B4513" s="16" t="str">
        <f>TRIM("鶴ヶ丘住宅")</f>
        <v>鶴ヶ丘住宅</v>
      </c>
      <c r="C4513" s="14" t="s">
        <v>1523</v>
      </c>
      <c r="D4513" s="14" t="s">
        <v>795</v>
      </c>
      <c r="E4513" s="1">
        <v>34765.47</v>
      </c>
      <c r="F4513" s="2"/>
      <c r="G4513" s="1">
        <v>26559.18</v>
      </c>
      <c r="H4513" s="3"/>
      <c r="I4513" s="14" t="s">
        <v>6177</v>
      </c>
    </row>
    <row r="4514" spans="1:9" ht="18.75" customHeight="1" x14ac:dyDescent="0.4">
      <c r="A4514" s="14" t="s">
        <v>2261</v>
      </c>
      <c r="B4514" s="16" t="str">
        <f>TRIM("大阪高石線（住吉）（管財課）")</f>
        <v>大阪高石線（住吉）（管財課）</v>
      </c>
      <c r="C4514" s="14" t="s">
        <v>1523</v>
      </c>
      <c r="D4514" s="14" t="s">
        <v>795</v>
      </c>
      <c r="E4514" s="1">
        <v>13616.66</v>
      </c>
      <c r="F4514" s="2"/>
      <c r="G4514" s="1"/>
      <c r="H4514" s="3"/>
      <c r="I4514" s="14" t="s">
        <v>2177</v>
      </c>
    </row>
    <row r="4515" spans="1:9" ht="18.75" customHeight="1" x14ac:dyDescent="0.4">
      <c r="A4515" s="14" t="s">
        <v>6749</v>
      </c>
      <c r="B4515" s="16" t="str">
        <f>TRIM("長居１丁目住宅")</f>
        <v>長居１丁目住宅</v>
      </c>
      <c r="C4515" s="14" t="s">
        <v>1523</v>
      </c>
      <c r="D4515" s="14" t="s">
        <v>795</v>
      </c>
      <c r="E4515" s="1"/>
      <c r="F4515" s="2"/>
      <c r="G4515" s="1">
        <v>7239.26</v>
      </c>
      <c r="H4515" s="3"/>
      <c r="I4515" s="14" t="s">
        <v>6177</v>
      </c>
    </row>
    <row r="4516" spans="1:9" ht="18.75" customHeight="1" x14ac:dyDescent="0.4">
      <c r="A4516" s="14" t="s">
        <v>2178</v>
      </c>
      <c r="B4516" s="16" t="str">
        <f>TRIM("ＪＲ阪和線連続立体交差事業")</f>
        <v>ＪＲ阪和線連続立体交差事業</v>
      </c>
      <c r="C4516" s="14" t="s">
        <v>1523</v>
      </c>
      <c r="D4516" s="14" t="s">
        <v>901</v>
      </c>
      <c r="E4516" s="1">
        <v>18.7</v>
      </c>
      <c r="F4516" s="2"/>
      <c r="G4516" s="1"/>
      <c r="H4516" s="3"/>
      <c r="I4516" s="14" t="s">
        <v>2177</v>
      </c>
    </row>
    <row r="4517" spans="1:9" ht="18.75" customHeight="1" x14ac:dyDescent="0.4">
      <c r="A4517" s="14" t="s">
        <v>2433</v>
      </c>
      <c r="B4517" s="16" t="str">
        <f>TRIM("天王寺大和川線（住吉区）")</f>
        <v>天王寺大和川線（住吉区）</v>
      </c>
      <c r="C4517" s="14" t="s">
        <v>1523</v>
      </c>
      <c r="D4517" s="14" t="s">
        <v>985</v>
      </c>
      <c r="E4517" s="1">
        <v>9821.52</v>
      </c>
      <c r="F4517" s="2"/>
      <c r="G4517" s="1"/>
      <c r="H4517" s="3"/>
      <c r="I4517" s="14" t="s">
        <v>2177</v>
      </c>
    </row>
    <row r="4518" spans="1:9" ht="18.75" customHeight="1" x14ac:dyDescent="0.4">
      <c r="A4518" s="14" t="s">
        <v>6767</v>
      </c>
      <c r="B4518" s="16" t="str">
        <f>TRIM("長居西第2住宅")</f>
        <v>長居西第2住宅</v>
      </c>
      <c r="C4518" s="14" t="s">
        <v>1523</v>
      </c>
      <c r="D4518" s="14" t="s">
        <v>867</v>
      </c>
      <c r="E4518" s="1">
        <v>20819.25</v>
      </c>
      <c r="F4518" s="2"/>
      <c r="G4518" s="1">
        <v>15340.12</v>
      </c>
      <c r="H4518" s="3"/>
      <c r="I4518" s="14" t="s">
        <v>6177</v>
      </c>
    </row>
    <row r="4519" spans="1:9" ht="18.75" customHeight="1" x14ac:dyDescent="0.4">
      <c r="A4519" s="14" t="s">
        <v>2933</v>
      </c>
      <c r="B4519" s="16" t="str">
        <f>TRIM("　西長居公園")</f>
        <v>西長居公園</v>
      </c>
      <c r="C4519" s="14" t="s">
        <v>1523</v>
      </c>
      <c r="D4519" s="14" t="s">
        <v>867</v>
      </c>
      <c r="E4519" s="1">
        <v>5715.7</v>
      </c>
      <c r="F4519" s="2"/>
      <c r="G4519" s="1"/>
      <c r="H4519" s="3"/>
      <c r="I4519" s="14" t="s">
        <v>2177</v>
      </c>
    </row>
    <row r="4520" spans="1:9" ht="18.75" customHeight="1" x14ac:dyDescent="0.4">
      <c r="A4520" s="14" t="s">
        <v>6534</v>
      </c>
      <c r="B4520" s="16" t="str">
        <f>TRIM("長居西住宅")</f>
        <v>長居西住宅</v>
      </c>
      <c r="C4520" s="14" t="s">
        <v>1523</v>
      </c>
      <c r="D4520" s="14" t="s">
        <v>396</v>
      </c>
      <c r="E4520" s="1">
        <v>6434.87</v>
      </c>
      <c r="F4520" s="2"/>
      <c r="G4520" s="1">
        <v>5787.78</v>
      </c>
      <c r="H4520" s="3"/>
      <c r="I4520" s="14" t="s">
        <v>6177</v>
      </c>
    </row>
    <row r="4521" spans="1:9" ht="18.75" customHeight="1" x14ac:dyDescent="0.4">
      <c r="A4521" s="14" t="s">
        <v>1903</v>
      </c>
      <c r="B4521" s="16" t="str">
        <f>TRIM("長居西地域在宅サービスステーション")</f>
        <v>長居西地域在宅サービスステーション</v>
      </c>
      <c r="C4521" s="14" t="s">
        <v>1523</v>
      </c>
      <c r="D4521" s="14" t="s">
        <v>396</v>
      </c>
      <c r="E4521" s="1">
        <v>352.72</v>
      </c>
      <c r="F4521" s="2"/>
      <c r="G4521" s="1"/>
      <c r="H4521" s="3"/>
      <c r="I4521" s="14" t="s">
        <v>1654</v>
      </c>
    </row>
    <row r="4522" spans="1:9" ht="18.75" customHeight="1" x14ac:dyDescent="0.4">
      <c r="A4522" s="14" t="s">
        <v>3065</v>
      </c>
      <c r="B4522" s="16" t="str">
        <f>TRIM("　長居東公園")</f>
        <v>長居東公園</v>
      </c>
      <c r="C4522" s="14" t="s">
        <v>1523</v>
      </c>
      <c r="D4522" s="14" t="s">
        <v>1161</v>
      </c>
      <c r="E4522" s="1">
        <v>261.74</v>
      </c>
      <c r="F4522" s="2"/>
      <c r="G4522" s="1"/>
      <c r="H4522" s="3"/>
      <c r="I4522" s="14" t="s">
        <v>2177</v>
      </c>
    </row>
    <row r="4523" spans="1:9" ht="18.75" customHeight="1" x14ac:dyDescent="0.4">
      <c r="A4523" s="14" t="s">
        <v>4981</v>
      </c>
      <c r="B4523" s="16" t="str">
        <f>TRIM("長居小学校")</f>
        <v>長居小学校</v>
      </c>
      <c r="C4523" s="14" t="s">
        <v>1523</v>
      </c>
      <c r="D4523" s="14" t="s">
        <v>809</v>
      </c>
      <c r="E4523" s="1">
        <v>11038.36</v>
      </c>
      <c r="F4523" s="2"/>
      <c r="G4523" s="1">
        <v>8596.57</v>
      </c>
      <c r="H4523" s="3"/>
      <c r="I4523" s="14" t="s">
        <v>4689</v>
      </c>
    </row>
    <row r="4524" spans="1:9" ht="18.75" customHeight="1" x14ac:dyDescent="0.4">
      <c r="A4524" s="14" t="s">
        <v>6582</v>
      </c>
      <c r="B4524" s="16" t="str">
        <f>TRIM("東長居住宅")</f>
        <v>東長居住宅</v>
      </c>
      <c r="C4524" s="14" t="s">
        <v>1523</v>
      </c>
      <c r="D4524" s="14" t="s">
        <v>809</v>
      </c>
      <c r="E4524" s="1">
        <v>6472.72</v>
      </c>
      <c r="F4524" s="2"/>
      <c r="G4524" s="1">
        <v>5738.23</v>
      </c>
      <c r="H4524" s="3"/>
      <c r="I4524" s="14" t="s">
        <v>6177</v>
      </c>
    </row>
    <row r="4525" spans="1:9" ht="18.75" customHeight="1" x14ac:dyDescent="0.4">
      <c r="A4525" s="14" t="s">
        <v>6748</v>
      </c>
      <c r="B4525" s="16" t="str">
        <f>TRIM("長居第2住宅")</f>
        <v>長居第2住宅</v>
      </c>
      <c r="C4525" s="14" t="s">
        <v>1523</v>
      </c>
      <c r="D4525" s="14" t="s">
        <v>809</v>
      </c>
      <c r="E4525" s="1">
        <v>12728.93</v>
      </c>
      <c r="F4525" s="2"/>
      <c r="G4525" s="1">
        <v>10036.61</v>
      </c>
      <c r="H4525" s="3"/>
      <c r="I4525" s="14" t="s">
        <v>6177</v>
      </c>
    </row>
    <row r="4526" spans="1:9" ht="18.75" customHeight="1" x14ac:dyDescent="0.4">
      <c r="A4526" s="14" t="s">
        <v>6583</v>
      </c>
      <c r="B4526" s="16" t="str">
        <f>TRIM("東長居第2住宅")</f>
        <v>東長居第2住宅</v>
      </c>
      <c r="C4526" s="14" t="s">
        <v>1523</v>
      </c>
      <c r="D4526" s="14" t="s">
        <v>810</v>
      </c>
      <c r="E4526" s="1">
        <v>2147.1999999999998</v>
      </c>
      <c r="F4526" s="2"/>
      <c r="G4526" s="1">
        <v>1732.93</v>
      </c>
      <c r="H4526" s="3"/>
      <c r="I4526" s="14" t="s">
        <v>6177</v>
      </c>
    </row>
    <row r="4527" spans="1:9" ht="18.75" customHeight="1" x14ac:dyDescent="0.4">
      <c r="A4527" s="14" t="s">
        <v>3758</v>
      </c>
      <c r="B4527" s="16" t="str">
        <f>TRIM("ＪＲ長居駅自転車駐車場管理ボックス")</f>
        <v>ＪＲ長居駅自転車駐車場管理ボックス</v>
      </c>
      <c r="C4527" s="14" t="s">
        <v>1523</v>
      </c>
      <c r="D4527" s="14" t="s">
        <v>810</v>
      </c>
      <c r="E4527" s="1"/>
      <c r="F4527" s="2"/>
      <c r="G4527" s="1">
        <v>1.44</v>
      </c>
      <c r="H4527" s="3"/>
      <c r="I4527" s="14" t="s">
        <v>2177</v>
      </c>
    </row>
    <row r="4528" spans="1:9" ht="18.75" customHeight="1" x14ac:dyDescent="0.4">
      <c r="A4528" s="14" t="s">
        <v>3759</v>
      </c>
      <c r="B4528" s="16" t="str">
        <f>TRIM("ＪＲ長居駅自転車駐車場管理事務所")</f>
        <v>ＪＲ長居駅自転車駐車場管理事務所</v>
      </c>
      <c r="C4528" s="14" t="s">
        <v>1523</v>
      </c>
      <c r="D4528" s="14" t="s">
        <v>810</v>
      </c>
      <c r="E4528" s="1"/>
      <c r="F4528" s="2"/>
      <c r="G4528" s="1">
        <v>12.56</v>
      </c>
      <c r="H4528" s="3"/>
      <c r="I4528" s="14" t="s">
        <v>2177</v>
      </c>
    </row>
    <row r="4529" spans="1:9" ht="18.75" customHeight="1" x14ac:dyDescent="0.4">
      <c r="A4529" s="14" t="s">
        <v>3824</v>
      </c>
      <c r="B4529" s="16" t="str">
        <f>TRIM("住吉大社駅南自転車駐車場管理事務所")</f>
        <v>住吉大社駅南自転車駐車場管理事務所</v>
      </c>
      <c r="C4529" s="14" t="s">
        <v>1523</v>
      </c>
      <c r="D4529" s="14" t="s">
        <v>1487</v>
      </c>
      <c r="E4529" s="1"/>
      <c r="F4529" s="2"/>
      <c r="G4529" s="1">
        <v>13.39</v>
      </c>
      <c r="H4529" s="3"/>
      <c r="I4529" s="14" t="s">
        <v>2177</v>
      </c>
    </row>
    <row r="4530" spans="1:9" ht="18.75" customHeight="1" x14ac:dyDescent="0.4">
      <c r="A4530" s="14" t="s">
        <v>3825</v>
      </c>
      <c r="B4530" s="16" t="str">
        <f>TRIM("住吉大社駅北自転車駐車場管理事務所")</f>
        <v>住吉大社駅北自転車駐車場管理事務所</v>
      </c>
      <c r="C4530" s="14" t="s">
        <v>1523</v>
      </c>
      <c r="D4530" s="14" t="s">
        <v>1487</v>
      </c>
      <c r="E4530" s="1"/>
      <c r="F4530" s="2"/>
      <c r="G4530" s="1">
        <v>13.39</v>
      </c>
      <c r="H4530" s="3"/>
      <c r="I4530" s="14" t="s">
        <v>2177</v>
      </c>
    </row>
    <row r="4531" spans="1:9" ht="18.75" customHeight="1" x14ac:dyDescent="0.4">
      <c r="A4531" s="14" t="s">
        <v>6135</v>
      </c>
      <c r="B4531" s="16" t="str">
        <f>TRIM("西長居霊園")</f>
        <v>西長居霊園</v>
      </c>
      <c r="C4531" s="14" t="s">
        <v>1523</v>
      </c>
      <c r="D4531" s="14" t="s">
        <v>651</v>
      </c>
      <c r="E4531" s="1">
        <v>154.44</v>
      </c>
      <c r="F4531" s="2"/>
      <c r="G4531" s="1"/>
      <c r="H4531" s="3"/>
      <c r="I4531" s="14" t="s">
        <v>5977</v>
      </c>
    </row>
    <row r="4532" spans="1:9" ht="18.75" customHeight="1" x14ac:dyDescent="0.4">
      <c r="A4532" s="14" t="s">
        <v>4615</v>
      </c>
      <c r="B4532" s="16" t="str">
        <f>TRIM("庭井会館")</f>
        <v>庭井会館</v>
      </c>
      <c r="C4532" s="14" t="s">
        <v>1523</v>
      </c>
      <c r="D4532" s="14" t="s">
        <v>1467</v>
      </c>
      <c r="E4532" s="1">
        <v>259.52999999999997</v>
      </c>
      <c r="F4532" s="2"/>
      <c r="G4532" s="1"/>
      <c r="H4532" s="3"/>
      <c r="I4532" s="14" t="s">
        <v>2003</v>
      </c>
    </row>
    <row r="4533" spans="1:9" ht="18.75" customHeight="1" x14ac:dyDescent="0.4">
      <c r="A4533" s="14" t="s">
        <v>2321</v>
      </c>
      <c r="B4533" s="16" t="str">
        <f>TRIM("廃道（住吉）")</f>
        <v>廃道（住吉）</v>
      </c>
      <c r="C4533" s="14" t="s">
        <v>1523</v>
      </c>
      <c r="D4533" s="14" t="s">
        <v>661</v>
      </c>
      <c r="E4533" s="1">
        <v>770.69</v>
      </c>
      <c r="F4533" s="2">
        <v>2098</v>
      </c>
      <c r="G4533" s="1"/>
      <c r="H4533" s="3"/>
      <c r="I4533" s="14" t="s">
        <v>2177</v>
      </c>
    </row>
    <row r="4534" spans="1:9" ht="18.75" customHeight="1" x14ac:dyDescent="0.4">
      <c r="A4534" s="14" t="s">
        <v>3099</v>
      </c>
      <c r="B4534" s="16" t="str">
        <f>TRIM("　庭井公園")</f>
        <v>庭井公園</v>
      </c>
      <c r="C4534" s="14" t="s">
        <v>1523</v>
      </c>
      <c r="D4534" s="14" t="s">
        <v>661</v>
      </c>
      <c r="E4534" s="1">
        <v>1545.38</v>
      </c>
      <c r="F4534" s="2"/>
      <c r="G4534" s="1"/>
      <c r="H4534" s="3"/>
      <c r="I4534" s="14" t="s">
        <v>2177</v>
      </c>
    </row>
    <row r="4535" spans="1:9" ht="18.75" customHeight="1" x14ac:dyDescent="0.4">
      <c r="A4535" s="14" t="s">
        <v>6151</v>
      </c>
      <c r="B4535" s="16" t="str">
        <f>TRIM("庭井霊園")</f>
        <v>庭井霊園</v>
      </c>
      <c r="C4535" s="14" t="s">
        <v>1523</v>
      </c>
      <c r="D4535" s="14" t="s">
        <v>661</v>
      </c>
      <c r="E4535" s="1">
        <v>502.43</v>
      </c>
      <c r="F4535" s="2"/>
      <c r="G4535" s="1"/>
      <c r="H4535" s="3"/>
      <c r="I4535" s="14" t="s">
        <v>5977</v>
      </c>
    </row>
    <row r="4536" spans="1:9" ht="18.75" customHeight="1" x14ac:dyDescent="0.4">
      <c r="A4536" s="14" t="s">
        <v>3155</v>
      </c>
      <c r="B4536" s="16" t="str">
        <f>TRIM("　東粉浜1公園")</f>
        <v>東粉浜1公園</v>
      </c>
      <c r="C4536" s="14" t="s">
        <v>1523</v>
      </c>
      <c r="D4536" s="14" t="s">
        <v>1195</v>
      </c>
      <c r="E4536" s="1">
        <v>433.82</v>
      </c>
      <c r="F4536" s="2"/>
      <c r="G4536" s="1"/>
      <c r="H4536" s="3"/>
      <c r="I4536" s="14" t="s">
        <v>2177</v>
      </c>
    </row>
    <row r="4537" spans="1:9" ht="18.75" customHeight="1" x14ac:dyDescent="0.4">
      <c r="A4537" s="14" t="s">
        <v>3801</v>
      </c>
      <c r="B4537" s="16" t="str">
        <f>TRIM("玉出駅自転車駐車場管理事務所")</f>
        <v>玉出駅自転車駐車場管理事務所</v>
      </c>
      <c r="C4537" s="14" t="s">
        <v>1523</v>
      </c>
      <c r="D4537" s="14" t="s">
        <v>1195</v>
      </c>
      <c r="E4537" s="1"/>
      <c r="F4537" s="2"/>
      <c r="G4537" s="1">
        <v>12.96</v>
      </c>
      <c r="H4537" s="3"/>
      <c r="I4537" s="14" t="s">
        <v>2177</v>
      </c>
    </row>
    <row r="4538" spans="1:9" ht="18.75" customHeight="1" x14ac:dyDescent="0.4">
      <c r="A4538" s="14" t="s">
        <v>5031</v>
      </c>
      <c r="B4538" s="16" t="str">
        <f>TRIM("東粉浜小学校")</f>
        <v>東粉浜小学校</v>
      </c>
      <c r="C4538" s="14" t="s">
        <v>1523</v>
      </c>
      <c r="D4538" s="14" t="s">
        <v>1422</v>
      </c>
      <c r="E4538" s="1">
        <v>9313.07</v>
      </c>
      <c r="F4538" s="2"/>
      <c r="G4538" s="1">
        <v>6428.82</v>
      </c>
      <c r="H4538" s="3"/>
      <c r="I4538" s="14" t="s">
        <v>4689</v>
      </c>
    </row>
    <row r="4539" spans="1:9" ht="18.75" customHeight="1" x14ac:dyDescent="0.4">
      <c r="A4539" s="14" t="s">
        <v>3932</v>
      </c>
      <c r="B4539" s="16" t="str">
        <f>TRIM("粉浜駅自転車駐車場管理事務所")</f>
        <v>粉浜駅自転車駐車場管理事務所</v>
      </c>
      <c r="C4539" s="14" t="s">
        <v>1523</v>
      </c>
      <c r="D4539" s="14" t="s">
        <v>1422</v>
      </c>
      <c r="E4539" s="1"/>
      <c r="F4539" s="2"/>
      <c r="G4539" s="1">
        <v>13.39</v>
      </c>
      <c r="H4539" s="3"/>
      <c r="I4539" s="14" t="s">
        <v>2177</v>
      </c>
    </row>
    <row r="4540" spans="1:9" ht="18.75" customHeight="1" x14ac:dyDescent="0.4">
      <c r="A4540" s="14" t="s">
        <v>3156</v>
      </c>
      <c r="B4540" s="16" t="str">
        <f>TRIM("　東粉浜公園")</f>
        <v>東粉浜公園</v>
      </c>
      <c r="C4540" s="14" t="s">
        <v>1523</v>
      </c>
      <c r="D4540" s="14" t="s">
        <v>224</v>
      </c>
      <c r="E4540" s="1">
        <v>1540.48</v>
      </c>
      <c r="F4540" s="2"/>
      <c r="G4540" s="1"/>
      <c r="H4540" s="3"/>
      <c r="I4540" s="14" t="s">
        <v>2177</v>
      </c>
    </row>
    <row r="4541" spans="1:9" ht="18.75" customHeight="1" x14ac:dyDescent="0.4">
      <c r="A4541" s="14" t="s">
        <v>4014</v>
      </c>
      <c r="B4541" s="16" t="str">
        <f>TRIM("下水道用地（住吉）")</f>
        <v>下水道用地（住吉）</v>
      </c>
      <c r="C4541" s="14" t="s">
        <v>1523</v>
      </c>
      <c r="D4541" s="14" t="s">
        <v>224</v>
      </c>
      <c r="E4541" s="1">
        <v>1178.3699999999999</v>
      </c>
      <c r="F4541" s="2"/>
      <c r="G4541" s="1"/>
      <c r="H4541" s="3"/>
      <c r="I4541" s="14" t="s">
        <v>2177</v>
      </c>
    </row>
    <row r="4542" spans="1:9" ht="18.75" customHeight="1" x14ac:dyDescent="0.4">
      <c r="A4542" s="14" t="s">
        <v>5489</v>
      </c>
      <c r="B4542" s="16" t="str">
        <f>TRIM("住吉警察署")</f>
        <v>住吉警察署</v>
      </c>
      <c r="C4542" s="14" t="s">
        <v>1523</v>
      </c>
      <c r="D4542" s="14" t="s">
        <v>224</v>
      </c>
      <c r="E4542" s="1">
        <v>2027.9</v>
      </c>
      <c r="F4542" s="2"/>
      <c r="G4542" s="1"/>
      <c r="H4542" s="3"/>
      <c r="I4542" s="14" t="s">
        <v>5349</v>
      </c>
    </row>
    <row r="4543" spans="1:9" ht="18.75" customHeight="1" x14ac:dyDescent="0.4">
      <c r="A4543" s="14" t="s">
        <v>6665</v>
      </c>
      <c r="B4543" s="16" t="str">
        <f>TRIM("万代住宅")</f>
        <v>万代住宅</v>
      </c>
      <c r="C4543" s="14" t="s">
        <v>1523</v>
      </c>
      <c r="D4543" s="14" t="s">
        <v>842</v>
      </c>
      <c r="E4543" s="1">
        <v>4360.33</v>
      </c>
      <c r="F4543" s="2"/>
      <c r="G4543" s="1">
        <v>5207.7700000000004</v>
      </c>
      <c r="H4543" s="3"/>
      <c r="I4543" s="14" t="s">
        <v>6177</v>
      </c>
    </row>
    <row r="4544" spans="1:9" ht="18.75" customHeight="1" x14ac:dyDescent="0.4">
      <c r="A4544" s="14" t="s">
        <v>2256</v>
      </c>
      <c r="B4544" s="16" t="str">
        <f>TRIM("大阪港八尾線（住吉）（管財課）")</f>
        <v>大阪港八尾線（住吉）（管財課）</v>
      </c>
      <c r="C4544" s="14" t="s">
        <v>1523</v>
      </c>
      <c r="D4544" s="14" t="s">
        <v>842</v>
      </c>
      <c r="E4544" s="1">
        <v>5624.45</v>
      </c>
      <c r="F4544" s="2"/>
      <c r="G4544" s="1"/>
      <c r="H4544" s="3"/>
      <c r="I4544" s="14" t="s">
        <v>2177</v>
      </c>
    </row>
    <row r="4545" spans="1:9" ht="18.75" customHeight="1" x14ac:dyDescent="0.4">
      <c r="A4545" s="14" t="s">
        <v>3680</v>
      </c>
      <c r="B4545" s="16" t="str">
        <f>TRIM("　万代池公園")</f>
        <v>万代池公園</v>
      </c>
      <c r="C4545" s="14" t="s">
        <v>1523</v>
      </c>
      <c r="D4545" s="14" t="s">
        <v>1483</v>
      </c>
      <c r="E4545" s="1"/>
      <c r="F4545" s="2"/>
      <c r="G4545" s="1">
        <v>219.2</v>
      </c>
      <c r="H4545" s="3"/>
      <c r="I4545" s="14" t="s">
        <v>2177</v>
      </c>
    </row>
    <row r="4546" spans="1:9" ht="18.75" customHeight="1" x14ac:dyDescent="0.4">
      <c r="A4546" s="14" t="s">
        <v>5535</v>
      </c>
      <c r="B4546" s="16" t="str">
        <f>TRIM("廃道（住吉）")</f>
        <v>廃道（住吉）</v>
      </c>
      <c r="C4546" s="14" t="s">
        <v>1523</v>
      </c>
      <c r="D4546" s="14" t="s">
        <v>151</v>
      </c>
      <c r="E4546" s="1">
        <v>58.24</v>
      </c>
      <c r="F4546" s="2">
        <v>2098</v>
      </c>
      <c r="G4546" s="1"/>
      <c r="H4546" s="3"/>
      <c r="I4546" s="14" t="s">
        <v>5349</v>
      </c>
    </row>
    <row r="4547" spans="1:9" ht="18.75" customHeight="1" x14ac:dyDescent="0.4">
      <c r="A4547" s="14" t="s">
        <v>5391</v>
      </c>
      <c r="B4547" s="16" t="str">
        <f>TRIM("もと住吉消防署万代出張所（児童遊園）")</f>
        <v>もと住吉消防署万代出張所（児童遊園）</v>
      </c>
      <c r="C4547" s="14" t="s">
        <v>1523</v>
      </c>
      <c r="D4547" s="14" t="s">
        <v>151</v>
      </c>
      <c r="E4547" s="1">
        <v>477.38</v>
      </c>
      <c r="F4547" s="2"/>
      <c r="G4547" s="1"/>
      <c r="H4547" s="3"/>
      <c r="I4547" s="14" t="s">
        <v>5349</v>
      </c>
    </row>
    <row r="4548" spans="1:9" ht="18.75" customHeight="1" x14ac:dyDescent="0.4">
      <c r="A4548" s="14" t="s">
        <v>5442</v>
      </c>
      <c r="B4548" s="16" t="str">
        <f>TRIM("もと万代児童遊園地（児童遊園）")</f>
        <v>もと万代児童遊園地（児童遊園）</v>
      </c>
      <c r="C4548" s="14" t="s">
        <v>1523</v>
      </c>
      <c r="D4548" s="14" t="s">
        <v>151</v>
      </c>
      <c r="E4548" s="1">
        <v>234.71</v>
      </c>
      <c r="F4548" s="2"/>
      <c r="G4548" s="1"/>
      <c r="H4548" s="3"/>
      <c r="I4548" s="14" t="s">
        <v>5349</v>
      </c>
    </row>
    <row r="4549" spans="1:9" ht="18.75" customHeight="1" x14ac:dyDescent="0.4">
      <c r="A4549" s="14" t="s">
        <v>6193</v>
      </c>
      <c r="B4549" s="16" t="str">
        <f>TRIM("住吉地区改良事業用地")</f>
        <v>住吉地区改良事業用地</v>
      </c>
      <c r="C4549" s="14" t="s">
        <v>1523</v>
      </c>
      <c r="D4549" s="14" t="s">
        <v>151</v>
      </c>
      <c r="E4549" s="1">
        <v>3174.98</v>
      </c>
      <c r="F4549" s="2"/>
      <c r="G4549" s="1"/>
      <c r="H4549" s="3"/>
      <c r="I4549" s="14" t="s">
        <v>6177</v>
      </c>
    </row>
    <row r="4550" spans="1:9" ht="18.75" customHeight="1" x14ac:dyDescent="0.4">
      <c r="A4550" s="14" t="s">
        <v>3331</v>
      </c>
      <c r="B4550" s="16" t="str">
        <f>TRIM("　万代東公園")</f>
        <v>万代東公園</v>
      </c>
      <c r="C4550" s="14" t="s">
        <v>1523</v>
      </c>
      <c r="D4550" s="14" t="s">
        <v>1251</v>
      </c>
      <c r="E4550" s="1">
        <v>1947.42</v>
      </c>
      <c r="F4550" s="2"/>
      <c r="G4550" s="1"/>
      <c r="H4550" s="3"/>
      <c r="I4550" s="14" t="s">
        <v>2177</v>
      </c>
    </row>
    <row r="4551" spans="1:9" ht="18.75" customHeight="1" x14ac:dyDescent="0.4">
      <c r="A4551" s="14" t="s">
        <v>2282</v>
      </c>
      <c r="B4551" s="16" t="str">
        <f>TRIM("大阪和泉泉南線（住吉）（管財課）")</f>
        <v>大阪和泉泉南線（住吉）（管財課）</v>
      </c>
      <c r="C4551" s="14" t="s">
        <v>1523</v>
      </c>
      <c r="D4551" s="14" t="s">
        <v>948</v>
      </c>
      <c r="E4551" s="1">
        <v>64.52</v>
      </c>
      <c r="F4551" s="2"/>
      <c r="G4551" s="1"/>
      <c r="H4551" s="3"/>
      <c r="I4551" s="14" t="s">
        <v>2177</v>
      </c>
    </row>
    <row r="4552" spans="1:9" ht="18.75" customHeight="1" x14ac:dyDescent="0.4">
      <c r="A4552" s="14" t="s">
        <v>3501</v>
      </c>
      <c r="B4552" s="16" t="str">
        <f>TRIM("万領中央公園")</f>
        <v>万領中央公園</v>
      </c>
      <c r="C4552" s="14" t="s">
        <v>1523</v>
      </c>
      <c r="D4552" s="14" t="s">
        <v>948</v>
      </c>
      <c r="E4552" s="1">
        <v>7269.99</v>
      </c>
      <c r="F4552" s="2"/>
      <c r="G4552" s="1"/>
      <c r="H4552" s="3"/>
      <c r="I4552" s="14" t="s">
        <v>2177</v>
      </c>
    </row>
    <row r="4553" spans="1:9" ht="18.75" customHeight="1" x14ac:dyDescent="0.4">
      <c r="A4553" s="14" t="s">
        <v>3699</v>
      </c>
      <c r="B4553" s="16" t="str">
        <f>TRIM("万領中央公園")</f>
        <v>万領中央公園</v>
      </c>
      <c r="C4553" s="14" t="s">
        <v>1523</v>
      </c>
      <c r="D4553" s="14" t="s">
        <v>948</v>
      </c>
      <c r="E4553" s="1"/>
      <c r="F4553" s="2"/>
      <c r="G4553" s="1">
        <v>19.2</v>
      </c>
      <c r="H4553" s="3"/>
      <c r="I4553" s="14" t="s">
        <v>2177</v>
      </c>
    </row>
    <row r="4554" spans="1:9" ht="18.75" customHeight="1" x14ac:dyDescent="0.4">
      <c r="A4554" s="14" t="s">
        <v>5238</v>
      </c>
      <c r="B4554" s="16" t="str">
        <f>TRIM("住吉消防署万代出張所")</f>
        <v>住吉消防署万代出張所</v>
      </c>
      <c r="C4554" s="14" t="s">
        <v>1523</v>
      </c>
      <c r="D4554" s="14" t="s">
        <v>600</v>
      </c>
      <c r="E4554" s="1">
        <v>479.78</v>
      </c>
      <c r="F4554" s="2"/>
      <c r="G4554" s="1">
        <v>917.48</v>
      </c>
      <c r="H4554" s="3"/>
      <c r="I4554" s="14" t="s">
        <v>5219</v>
      </c>
    </row>
    <row r="4555" spans="1:9" ht="18.75" customHeight="1" x14ac:dyDescent="0.4">
      <c r="A4555" s="14" t="s">
        <v>5929</v>
      </c>
      <c r="B4555" s="16" t="str">
        <f>TRIM("万領保育所")</f>
        <v>万領保育所</v>
      </c>
      <c r="C4555" s="14" t="s">
        <v>1523</v>
      </c>
      <c r="D4555" s="14" t="s">
        <v>600</v>
      </c>
      <c r="E4555" s="1">
        <v>700.41</v>
      </c>
      <c r="F4555" s="2"/>
      <c r="G4555" s="1">
        <v>349.83</v>
      </c>
      <c r="H4555" s="3"/>
      <c r="I4555" s="14" t="s">
        <v>5617</v>
      </c>
    </row>
    <row r="4556" spans="1:9" ht="18.75" customHeight="1" x14ac:dyDescent="0.4">
      <c r="A4556" s="14" t="s">
        <v>2153</v>
      </c>
      <c r="B4556" s="16" t="str">
        <f>TRIM("万領会館老人憩の家")</f>
        <v>万領会館老人憩の家</v>
      </c>
      <c r="C4556" s="14" t="s">
        <v>1523</v>
      </c>
      <c r="D4556" s="14" t="s">
        <v>600</v>
      </c>
      <c r="E4556" s="1">
        <v>337.17</v>
      </c>
      <c r="F4556" s="2"/>
      <c r="G4556" s="1"/>
      <c r="H4556" s="3"/>
      <c r="I4556" s="14" t="s">
        <v>2003</v>
      </c>
    </row>
    <row r="4557" spans="1:9" ht="18.75" customHeight="1" x14ac:dyDescent="0.4">
      <c r="A4557" s="14" t="s">
        <v>3211</v>
      </c>
      <c r="B4557" s="16" t="str">
        <f>TRIM("　南万領公園")</f>
        <v>南万領公園</v>
      </c>
      <c r="C4557" s="14" t="s">
        <v>1523</v>
      </c>
      <c r="D4557" s="14" t="s">
        <v>600</v>
      </c>
      <c r="E4557" s="1">
        <v>875.3</v>
      </c>
      <c r="F4557" s="2"/>
      <c r="G4557" s="1"/>
      <c r="H4557" s="3"/>
      <c r="I4557" s="14" t="s">
        <v>2177</v>
      </c>
    </row>
    <row r="4558" spans="1:9" ht="18.75" customHeight="1" x14ac:dyDescent="0.4">
      <c r="A4558" s="14" t="s">
        <v>6124</v>
      </c>
      <c r="B4558" s="16" t="str">
        <f>TRIM("住吉霊園")</f>
        <v>住吉霊園</v>
      </c>
      <c r="C4558" s="14" t="s">
        <v>1523</v>
      </c>
      <c r="D4558" s="14" t="s">
        <v>600</v>
      </c>
      <c r="E4558" s="1">
        <v>2542.1799999999998</v>
      </c>
      <c r="F4558" s="2"/>
      <c r="G4558" s="1"/>
      <c r="H4558" s="3"/>
      <c r="I4558" s="14" t="s">
        <v>5977</v>
      </c>
    </row>
    <row r="4559" spans="1:9" ht="18.75" customHeight="1" x14ac:dyDescent="0.4">
      <c r="A4559" s="14" t="s">
        <v>6601</v>
      </c>
      <c r="B4559" s="16" t="str">
        <f>TRIM("南住吉第9住宅")</f>
        <v>南住吉第9住宅</v>
      </c>
      <c r="C4559" s="14" t="s">
        <v>1523</v>
      </c>
      <c r="D4559" s="14" t="s">
        <v>820</v>
      </c>
      <c r="E4559" s="1">
        <v>19648.47</v>
      </c>
      <c r="F4559" s="2">
        <v>638</v>
      </c>
      <c r="G4559" s="1">
        <v>20168.05</v>
      </c>
      <c r="H4559" s="3"/>
      <c r="I4559" s="14" t="s">
        <v>6177</v>
      </c>
    </row>
    <row r="4560" spans="1:9" ht="18.75" customHeight="1" x14ac:dyDescent="0.4">
      <c r="A4560" s="14" t="s">
        <v>2220</v>
      </c>
      <c r="B4560" s="16" t="str">
        <f>TRIM("国道４７９号（住吉）（管財課）")</f>
        <v>国道４７９号（住吉）（管財課）</v>
      </c>
      <c r="C4560" s="14" t="s">
        <v>1523</v>
      </c>
      <c r="D4560" s="14" t="s">
        <v>820</v>
      </c>
      <c r="E4560" s="1">
        <v>16617.29</v>
      </c>
      <c r="F4560" s="2"/>
      <c r="G4560" s="1"/>
      <c r="H4560" s="3"/>
      <c r="I4560" s="14" t="s">
        <v>2177</v>
      </c>
    </row>
    <row r="4561" spans="1:9" ht="18.75" customHeight="1" x14ac:dyDescent="0.4">
      <c r="A4561" s="14" t="s">
        <v>6597</v>
      </c>
      <c r="B4561" s="16" t="str">
        <f>TRIM("南住吉第5住宅")</f>
        <v>南住吉第5住宅</v>
      </c>
      <c r="C4561" s="14" t="s">
        <v>1523</v>
      </c>
      <c r="D4561" s="14" t="s">
        <v>819</v>
      </c>
      <c r="E4561" s="1">
        <v>11986.25</v>
      </c>
      <c r="F4561" s="2"/>
      <c r="G4561" s="1">
        <v>23690.65</v>
      </c>
      <c r="H4561" s="3"/>
      <c r="I4561" s="14" t="s">
        <v>6177</v>
      </c>
    </row>
    <row r="4562" spans="1:9" ht="18.75" customHeight="1" x14ac:dyDescent="0.4">
      <c r="A4562" s="14" t="s">
        <v>6598</v>
      </c>
      <c r="B4562" s="16" t="str">
        <f>TRIM("南住吉第6住宅")</f>
        <v>南住吉第6住宅</v>
      </c>
      <c r="C4562" s="14" t="s">
        <v>1523</v>
      </c>
      <c r="D4562" s="14" t="s">
        <v>819</v>
      </c>
      <c r="E4562" s="1">
        <v>2665.28</v>
      </c>
      <c r="F4562" s="2"/>
      <c r="G4562" s="1">
        <v>1903.7</v>
      </c>
      <c r="H4562" s="3"/>
      <c r="I4562" s="14" t="s">
        <v>6177</v>
      </c>
    </row>
    <row r="4563" spans="1:9" ht="18.75" customHeight="1" x14ac:dyDescent="0.4">
      <c r="A4563" s="14" t="s">
        <v>6599</v>
      </c>
      <c r="B4563" s="16" t="str">
        <f>TRIM("南住吉第7住宅")</f>
        <v>南住吉第7住宅</v>
      </c>
      <c r="C4563" s="14" t="s">
        <v>1523</v>
      </c>
      <c r="D4563" s="14" t="s">
        <v>819</v>
      </c>
      <c r="E4563" s="1">
        <v>5053.54</v>
      </c>
      <c r="F4563" s="2"/>
      <c r="G4563" s="1">
        <v>8888.41</v>
      </c>
      <c r="H4563" s="3"/>
      <c r="I4563" s="14" t="s">
        <v>6177</v>
      </c>
    </row>
    <row r="4564" spans="1:9" ht="18.75" customHeight="1" x14ac:dyDescent="0.4">
      <c r="A4564" s="14" t="s">
        <v>6600</v>
      </c>
      <c r="B4564" s="16" t="str">
        <f>TRIM("南住吉第8住宅")</f>
        <v>南住吉第8住宅</v>
      </c>
      <c r="C4564" s="14" t="s">
        <v>1523</v>
      </c>
      <c r="D4564" s="14" t="s">
        <v>819</v>
      </c>
      <c r="E4564" s="1">
        <v>7446.52</v>
      </c>
      <c r="F4564" s="2"/>
      <c r="G4564" s="1">
        <v>11315.8</v>
      </c>
      <c r="H4564" s="3"/>
      <c r="I4564" s="14" t="s">
        <v>6177</v>
      </c>
    </row>
    <row r="4565" spans="1:9" ht="18.75" customHeight="1" x14ac:dyDescent="0.4">
      <c r="A4565" s="14" t="s">
        <v>3189</v>
      </c>
      <c r="B4565" s="16" t="str">
        <f>TRIM("　南住吉公園")</f>
        <v>南住吉公園</v>
      </c>
      <c r="C4565" s="14" t="s">
        <v>1523</v>
      </c>
      <c r="D4565" s="14" t="s">
        <v>819</v>
      </c>
      <c r="E4565" s="1">
        <v>1035.55</v>
      </c>
      <c r="F4565" s="2"/>
      <c r="G4565" s="1"/>
      <c r="H4565" s="3"/>
      <c r="I4565" s="14" t="s">
        <v>2177</v>
      </c>
    </row>
    <row r="4566" spans="1:9" ht="18.75" customHeight="1" x14ac:dyDescent="0.4">
      <c r="A4566" s="14" t="s">
        <v>4616</v>
      </c>
      <c r="B4566" s="16" t="str">
        <f>TRIM("南住吉連合沢之町会館")</f>
        <v>南住吉連合沢之町会館</v>
      </c>
      <c r="C4566" s="14" t="s">
        <v>1523</v>
      </c>
      <c r="D4566" s="14" t="s">
        <v>818</v>
      </c>
      <c r="E4566" s="1">
        <v>181.79</v>
      </c>
      <c r="F4566" s="2"/>
      <c r="G4566" s="1">
        <v>119.16</v>
      </c>
      <c r="H4566" s="3"/>
      <c r="I4566" s="14" t="s">
        <v>2003</v>
      </c>
    </row>
    <row r="4567" spans="1:9" ht="18.75" customHeight="1" x14ac:dyDescent="0.4">
      <c r="A4567" s="14" t="s">
        <v>5046</v>
      </c>
      <c r="B4567" s="16" t="str">
        <f>TRIM("南住吉小学校")</f>
        <v>南住吉小学校</v>
      </c>
      <c r="C4567" s="14" t="s">
        <v>1523</v>
      </c>
      <c r="D4567" s="14" t="s">
        <v>818</v>
      </c>
      <c r="E4567" s="1">
        <v>12729.54</v>
      </c>
      <c r="F4567" s="2"/>
      <c r="G4567" s="1">
        <v>10599.48</v>
      </c>
      <c r="H4567" s="3"/>
      <c r="I4567" s="14" t="s">
        <v>4689</v>
      </c>
    </row>
    <row r="4568" spans="1:9" ht="18.75" customHeight="1" x14ac:dyDescent="0.4">
      <c r="A4568" s="14" t="s">
        <v>6596</v>
      </c>
      <c r="B4568" s="16" t="str">
        <f>TRIM("南住吉第4住宅")</f>
        <v>南住吉第4住宅</v>
      </c>
      <c r="C4568" s="14" t="s">
        <v>1523</v>
      </c>
      <c r="D4568" s="14" t="s">
        <v>818</v>
      </c>
      <c r="E4568" s="1">
        <v>3207.45</v>
      </c>
      <c r="F4568" s="2"/>
      <c r="G4568" s="1">
        <v>3371.91</v>
      </c>
      <c r="H4568" s="3"/>
      <c r="I4568" s="14" t="s">
        <v>6177</v>
      </c>
    </row>
    <row r="4569" spans="1:9" ht="18.75" customHeight="1" x14ac:dyDescent="0.4">
      <c r="A4569" s="14" t="s">
        <v>3012</v>
      </c>
      <c r="B4569" s="16" t="str">
        <f>TRIM("　沢之町公園")</f>
        <v>沢之町公園</v>
      </c>
      <c r="C4569" s="14" t="s">
        <v>1523</v>
      </c>
      <c r="D4569" s="14" t="s">
        <v>818</v>
      </c>
      <c r="E4569" s="1">
        <v>25454</v>
      </c>
      <c r="F4569" s="2"/>
      <c r="G4569" s="1"/>
      <c r="H4569" s="3"/>
      <c r="I4569" s="14" t="s">
        <v>2177</v>
      </c>
    </row>
    <row r="4570" spans="1:9" ht="18.75" customHeight="1" x14ac:dyDescent="0.4">
      <c r="A4570" s="14" t="s">
        <v>3710</v>
      </c>
      <c r="B4570" s="16" t="str">
        <f>TRIM("  沢之町公園")</f>
        <v>沢之町公園</v>
      </c>
      <c r="C4570" s="14" t="s">
        <v>1523</v>
      </c>
      <c r="D4570" s="14" t="s">
        <v>818</v>
      </c>
      <c r="E4570" s="1"/>
      <c r="F4570" s="2"/>
      <c r="G4570" s="1">
        <v>21.12</v>
      </c>
      <c r="H4570" s="3"/>
      <c r="I4570" s="14" t="s">
        <v>2177</v>
      </c>
    </row>
    <row r="4571" spans="1:9" ht="18.75" customHeight="1" x14ac:dyDescent="0.4">
      <c r="A4571" s="14" t="s">
        <v>4611</v>
      </c>
      <c r="B4571" s="16" t="str">
        <f>TRIM("  住吉区役所")</f>
        <v>住吉区役所</v>
      </c>
      <c r="C4571" s="14" t="s">
        <v>1523</v>
      </c>
      <c r="D4571" s="14" t="s">
        <v>818</v>
      </c>
      <c r="E4571" s="1"/>
      <c r="F4571" s="2"/>
      <c r="G4571" s="1">
        <v>11393.5</v>
      </c>
      <c r="H4571" s="3"/>
      <c r="I4571" s="14" t="s">
        <v>2003</v>
      </c>
    </row>
    <row r="4572" spans="1:9" ht="18.75" customHeight="1" x14ac:dyDescent="0.4">
      <c r="A4572" s="14" t="s">
        <v>4614</v>
      </c>
      <c r="B4572" s="16" t="str">
        <f>TRIM("住吉区民センター")</f>
        <v>住吉区民センター</v>
      </c>
      <c r="C4572" s="14" t="s">
        <v>1523</v>
      </c>
      <c r="D4572" s="14" t="s">
        <v>818</v>
      </c>
      <c r="E4572" s="1"/>
      <c r="F4572" s="2"/>
      <c r="G4572" s="1">
        <v>5671.1</v>
      </c>
      <c r="H4572" s="3"/>
      <c r="I4572" s="14" t="s">
        <v>2003</v>
      </c>
    </row>
    <row r="4573" spans="1:9" ht="18.75" customHeight="1" x14ac:dyDescent="0.4">
      <c r="A4573" s="14" t="s">
        <v>4618</v>
      </c>
      <c r="B4573" s="16" t="str">
        <f>TRIM("住吉区役所")</f>
        <v>住吉区役所</v>
      </c>
      <c r="C4573" s="14" t="s">
        <v>1523</v>
      </c>
      <c r="D4573" s="14" t="s">
        <v>818</v>
      </c>
      <c r="E4573" s="1">
        <v>19027.419999999998</v>
      </c>
      <c r="F4573" s="2"/>
      <c r="G4573" s="1"/>
      <c r="H4573" s="3"/>
      <c r="I4573" s="14" t="s">
        <v>2003</v>
      </c>
    </row>
    <row r="4574" spans="1:9" ht="18.75" customHeight="1" x14ac:dyDescent="0.4">
      <c r="A4574" s="14" t="s">
        <v>4619</v>
      </c>
      <c r="B4574" s="16" t="str">
        <f>TRIM("南住吉悠翔会館")</f>
        <v>南住吉悠翔会館</v>
      </c>
      <c r="C4574" s="14" t="s">
        <v>1523</v>
      </c>
      <c r="D4574" s="14" t="s">
        <v>818</v>
      </c>
      <c r="E4574" s="1">
        <v>268.72000000000003</v>
      </c>
      <c r="F4574" s="2"/>
      <c r="G4574" s="1"/>
      <c r="H4574" s="3"/>
      <c r="I4574" s="14" t="s">
        <v>2003</v>
      </c>
    </row>
    <row r="4575" spans="1:9" ht="18.75" customHeight="1" x14ac:dyDescent="0.4">
      <c r="A4575" s="14" t="s">
        <v>5210</v>
      </c>
      <c r="B4575" s="16" t="str">
        <f>TRIM("住吉図書館")</f>
        <v>住吉図書館</v>
      </c>
      <c r="C4575" s="14" t="s">
        <v>1523</v>
      </c>
      <c r="D4575" s="14" t="s">
        <v>818</v>
      </c>
      <c r="E4575" s="1"/>
      <c r="F4575" s="2"/>
      <c r="G4575" s="1">
        <v>1667.31</v>
      </c>
      <c r="H4575" s="3"/>
      <c r="I4575" s="14" t="s">
        <v>4689</v>
      </c>
    </row>
    <row r="4576" spans="1:9" ht="18.75" customHeight="1" x14ac:dyDescent="0.4">
      <c r="A4576" s="14" t="s">
        <v>6218</v>
      </c>
      <c r="B4576" s="16" t="str">
        <f>TRIM("南住吉住宅")</f>
        <v>南住吉住宅</v>
      </c>
      <c r="C4576" s="14" t="s">
        <v>1523</v>
      </c>
      <c r="D4576" s="14" t="s">
        <v>475</v>
      </c>
      <c r="E4576" s="1">
        <v>2743.5</v>
      </c>
      <c r="F4576" s="2" t="s">
        <v>7283</v>
      </c>
      <c r="G4576" s="1"/>
      <c r="H4576" s="3"/>
      <c r="I4576" s="14" t="s">
        <v>6177</v>
      </c>
    </row>
    <row r="4577" spans="1:9" ht="18.75" customHeight="1" x14ac:dyDescent="0.4">
      <c r="A4577" s="14" t="s">
        <v>6595</v>
      </c>
      <c r="B4577" s="16" t="str">
        <f>TRIM("南住吉第1住宅")</f>
        <v>南住吉第1住宅</v>
      </c>
      <c r="C4577" s="14" t="s">
        <v>1523</v>
      </c>
      <c r="D4577" s="14" t="s">
        <v>475</v>
      </c>
      <c r="E4577" s="1">
        <v>16645.419999999998</v>
      </c>
      <c r="F4577" s="2"/>
      <c r="G4577" s="1">
        <v>32118.71</v>
      </c>
      <c r="H4577" s="3"/>
      <c r="I4577" s="14" t="s">
        <v>6177</v>
      </c>
    </row>
    <row r="4578" spans="1:9" ht="18.75" customHeight="1" x14ac:dyDescent="0.4">
      <c r="A4578" s="14" t="s">
        <v>6991</v>
      </c>
      <c r="B4578" s="16" t="str">
        <f>TRIM("沢之町休日急病診療所")</f>
        <v>沢之町休日急病診療所</v>
      </c>
      <c r="C4578" s="14" t="s">
        <v>1523</v>
      </c>
      <c r="D4578" s="14" t="s">
        <v>475</v>
      </c>
      <c r="E4578" s="1">
        <v>2010</v>
      </c>
      <c r="F4578" s="2"/>
      <c r="G4578" s="1">
        <v>440.2</v>
      </c>
      <c r="H4578" s="3"/>
      <c r="I4578" s="14" t="s">
        <v>2402</v>
      </c>
    </row>
    <row r="4579" spans="1:9" ht="18.75" customHeight="1" x14ac:dyDescent="0.4">
      <c r="A4579" s="14" t="s">
        <v>5665</v>
      </c>
      <c r="B4579" s="16" t="str">
        <f>TRIM("もと住吉勤労青少年ホーム")</f>
        <v>もと住吉勤労青少年ホーム</v>
      </c>
      <c r="C4579" s="14" t="s">
        <v>1523</v>
      </c>
      <c r="D4579" s="14" t="s">
        <v>489</v>
      </c>
      <c r="E4579" s="1">
        <v>649.29999999999995</v>
      </c>
      <c r="F4579" s="2"/>
      <c r="G4579" s="1">
        <v>617.03</v>
      </c>
      <c r="H4579" s="3" t="s">
        <v>7353</v>
      </c>
      <c r="I4579" s="14" t="s">
        <v>5617</v>
      </c>
    </row>
    <row r="4580" spans="1:9" ht="18.75" customHeight="1" x14ac:dyDescent="0.4">
      <c r="A4580" s="14" t="s">
        <v>6391</v>
      </c>
      <c r="B4580" s="16" t="str">
        <f>TRIM("山之内北住宅")</f>
        <v>山之内北住宅</v>
      </c>
      <c r="C4580" s="14" t="s">
        <v>1523</v>
      </c>
      <c r="D4580" s="14" t="s">
        <v>640</v>
      </c>
      <c r="E4580" s="1">
        <v>4224.78</v>
      </c>
      <c r="F4580" s="2"/>
      <c r="G4580" s="1">
        <v>3586.72</v>
      </c>
      <c r="H4580" s="3"/>
      <c r="I4580" s="14" t="s">
        <v>6177</v>
      </c>
    </row>
    <row r="4581" spans="1:9" ht="18.75" customHeight="1" x14ac:dyDescent="0.4">
      <c r="A4581" s="14" t="s">
        <v>3437</v>
      </c>
      <c r="B4581" s="16" t="str">
        <f>TRIM("山之内北公園")</f>
        <v>山之内北公園</v>
      </c>
      <c r="C4581" s="14" t="s">
        <v>1523</v>
      </c>
      <c r="D4581" s="14" t="s">
        <v>640</v>
      </c>
      <c r="E4581" s="1">
        <v>3354.2</v>
      </c>
      <c r="F4581" s="2"/>
      <c r="G4581" s="1"/>
      <c r="H4581" s="3"/>
      <c r="I4581" s="14" t="s">
        <v>2177</v>
      </c>
    </row>
    <row r="4582" spans="1:9" ht="18.75" customHeight="1" x14ac:dyDescent="0.4">
      <c r="A4582" s="14" t="s">
        <v>6123</v>
      </c>
      <c r="B4582" s="16" t="str">
        <f>TRIM("山之内霊園")</f>
        <v>山之内霊園</v>
      </c>
      <c r="C4582" s="14" t="s">
        <v>1523</v>
      </c>
      <c r="D4582" s="14" t="s">
        <v>640</v>
      </c>
      <c r="E4582" s="1">
        <v>846.17</v>
      </c>
      <c r="F4582" s="2"/>
      <c r="G4582" s="1"/>
      <c r="H4582" s="3"/>
      <c r="I4582" s="14" t="s">
        <v>5977</v>
      </c>
    </row>
    <row r="4583" spans="1:9" ht="18.75" customHeight="1" x14ac:dyDescent="0.4">
      <c r="A4583" s="14" t="s">
        <v>4835</v>
      </c>
      <c r="B4583" s="16" t="str">
        <f>TRIM("山之内小学校")</f>
        <v>山之内小学校</v>
      </c>
      <c r="C4583" s="14" t="s">
        <v>1523</v>
      </c>
      <c r="D4583" s="14" t="s">
        <v>628</v>
      </c>
      <c r="E4583" s="1">
        <v>8969.91</v>
      </c>
      <c r="F4583" s="2"/>
      <c r="G4583" s="1">
        <v>6743.29</v>
      </c>
      <c r="H4583" s="3"/>
      <c r="I4583" s="14" t="s">
        <v>4689</v>
      </c>
    </row>
    <row r="4584" spans="1:9" ht="18.75" customHeight="1" x14ac:dyDescent="0.4">
      <c r="A4584" s="14" t="s">
        <v>6104</v>
      </c>
      <c r="B4584" s="16" t="str">
        <f>TRIM("遠里小野霊園")</f>
        <v>遠里小野霊園</v>
      </c>
      <c r="C4584" s="14" t="s">
        <v>1523</v>
      </c>
      <c r="D4584" s="14" t="s">
        <v>628</v>
      </c>
      <c r="E4584" s="1">
        <v>2646.09</v>
      </c>
      <c r="F4584" s="2"/>
      <c r="G4584" s="1"/>
      <c r="H4584" s="3"/>
      <c r="I4584" s="14" t="s">
        <v>5977</v>
      </c>
    </row>
    <row r="4585" spans="1:9" ht="18.75" customHeight="1" x14ac:dyDescent="0.4">
      <c r="A4585" s="14" t="s">
        <v>3436</v>
      </c>
      <c r="B4585" s="16" t="str">
        <f>TRIM("山之内中央公園")</f>
        <v>山之内中央公園</v>
      </c>
      <c r="C4585" s="14" t="s">
        <v>1523</v>
      </c>
      <c r="D4585" s="14" t="s">
        <v>1280</v>
      </c>
      <c r="E4585" s="1">
        <v>1552.09</v>
      </c>
      <c r="F4585" s="2"/>
      <c r="G4585" s="1"/>
      <c r="H4585" s="3"/>
      <c r="I4585" s="14" t="s">
        <v>2177</v>
      </c>
    </row>
    <row r="4586" spans="1:9" ht="18.75" customHeight="1" x14ac:dyDescent="0.4">
      <c r="A4586" s="14" t="s">
        <v>6390</v>
      </c>
      <c r="B4586" s="16" t="str">
        <f>TRIM("山之内住宅")</f>
        <v>山之内住宅</v>
      </c>
      <c r="C4586" s="14" t="s">
        <v>1523</v>
      </c>
      <c r="D4586" s="14" t="s">
        <v>542</v>
      </c>
      <c r="E4586" s="1">
        <v>29356.74</v>
      </c>
      <c r="F4586" s="2">
        <v>646</v>
      </c>
      <c r="G4586" s="1">
        <v>27187.27</v>
      </c>
      <c r="H4586" s="3"/>
      <c r="I4586" s="14" t="s">
        <v>6177</v>
      </c>
    </row>
    <row r="4587" spans="1:9" ht="18.75" customHeight="1" x14ac:dyDescent="0.4">
      <c r="A4587" s="14" t="s">
        <v>5734</v>
      </c>
      <c r="B4587" s="16" t="str">
        <f>TRIM("山之内保育園")</f>
        <v>山之内保育園</v>
      </c>
      <c r="C4587" s="14" t="s">
        <v>1523</v>
      </c>
      <c r="D4587" s="14" t="s">
        <v>542</v>
      </c>
      <c r="E4587" s="1">
        <v>1245</v>
      </c>
      <c r="F4587" s="2"/>
      <c r="G4587" s="1">
        <v>496.4</v>
      </c>
      <c r="H4587" s="3"/>
      <c r="I4587" s="14" t="s">
        <v>5617</v>
      </c>
    </row>
    <row r="4588" spans="1:9" ht="18.75" customHeight="1" x14ac:dyDescent="0.4">
      <c r="A4588" s="14" t="s">
        <v>2163</v>
      </c>
      <c r="B4588" s="16" t="str">
        <f>TRIM("和会館")</f>
        <v>和会館</v>
      </c>
      <c r="C4588" s="14" t="s">
        <v>1523</v>
      </c>
      <c r="D4588" s="14" t="s">
        <v>542</v>
      </c>
      <c r="E4588" s="1">
        <v>236.51</v>
      </c>
      <c r="F4588" s="2"/>
      <c r="G4588" s="1"/>
      <c r="H4588" s="3"/>
      <c r="I4588" s="14" t="s">
        <v>2003</v>
      </c>
    </row>
    <row r="4589" spans="1:9" ht="18.75" customHeight="1" x14ac:dyDescent="0.4">
      <c r="A4589" s="14" t="s">
        <v>2760</v>
      </c>
      <c r="B4589" s="16" t="str">
        <f>TRIM("　山之内公園")</f>
        <v>山之内公園</v>
      </c>
      <c r="C4589" s="14" t="s">
        <v>1523</v>
      </c>
      <c r="D4589" s="14" t="s">
        <v>1064</v>
      </c>
      <c r="E4589" s="1">
        <v>3345.45</v>
      </c>
      <c r="F4589" s="2"/>
      <c r="G4589" s="1"/>
      <c r="H4589" s="3"/>
      <c r="I4589" s="14" t="s">
        <v>2177</v>
      </c>
    </row>
    <row r="4590" spans="1:9" ht="18.75" customHeight="1" x14ac:dyDescent="0.4">
      <c r="A4590" s="14" t="s">
        <v>2761</v>
      </c>
      <c r="B4590" s="16" t="str">
        <f>TRIM("　山之内西公園")</f>
        <v>山之内西公園</v>
      </c>
      <c r="C4590" s="14" t="s">
        <v>1523</v>
      </c>
      <c r="D4590" s="14" t="s">
        <v>1064</v>
      </c>
      <c r="E4590" s="1">
        <v>2201.67</v>
      </c>
      <c r="F4590" s="2"/>
      <c r="G4590" s="1"/>
      <c r="H4590" s="3"/>
      <c r="I4590" s="14" t="s">
        <v>2177</v>
      </c>
    </row>
    <row r="4591" spans="1:9" ht="18.75" customHeight="1" x14ac:dyDescent="0.4">
      <c r="A4591" s="14" t="s">
        <v>2762</v>
      </c>
      <c r="B4591" s="16" t="str">
        <f>TRIM("　山之内第2公園")</f>
        <v>山之内第2公園</v>
      </c>
      <c r="C4591" s="14" t="s">
        <v>1523</v>
      </c>
      <c r="D4591" s="14" t="s">
        <v>1064</v>
      </c>
      <c r="E4591" s="1">
        <v>1077.82</v>
      </c>
      <c r="F4591" s="2"/>
      <c r="G4591" s="1"/>
      <c r="H4591" s="3"/>
      <c r="I4591" s="14" t="s">
        <v>2177</v>
      </c>
    </row>
    <row r="4592" spans="1:9" ht="18.75" customHeight="1" x14ac:dyDescent="0.4">
      <c r="A4592" s="14" t="s">
        <v>3460</v>
      </c>
      <c r="B4592" s="16" t="str">
        <f>TRIM("大阪都市計画事業　大和川公園整備事業用地")</f>
        <v>大阪都市計画事業　大和川公園整備事業用地</v>
      </c>
      <c r="C4592" s="14" t="s">
        <v>1523</v>
      </c>
      <c r="D4592" s="14" t="s">
        <v>1064</v>
      </c>
      <c r="E4592" s="1">
        <v>0.42</v>
      </c>
      <c r="F4592" s="2"/>
      <c r="G4592" s="1"/>
      <c r="H4592" s="3"/>
      <c r="I4592" s="14" t="s">
        <v>2177</v>
      </c>
    </row>
    <row r="4593" spans="1:9" ht="18.75" customHeight="1" x14ac:dyDescent="0.4">
      <c r="A4593" s="14" t="s">
        <v>3565</v>
      </c>
      <c r="B4593" s="16" t="str">
        <f>TRIM("　山之内西公園")</f>
        <v>山之内西公園</v>
      </c>
      <c r="C4593" s="14" t="s">
        <v>1523</v>
      </c>
      <c r="D4593" s="14" t="s">
        <v>1064</v>
      </c>
      <c r="E4593" s="1"/>
      <c r="F4593" s="2"/>
      <c r="G4593" s="1">
        <v>86.54</v>
      </c>
      <c r="H4593" s="3"/>
      <c r="I4593" s="14" t="s">
        <v>2177</v>
      </c>
    </row>
    <row r="4594" spans="1:9" ht="18.75" customHeight="1" x14ac:dyDescent="0.4">
      <c r="A4594" s="14" t="s">
        <v>7264</v>
      </c>
      <c r="B4594" s="16" t="str">
        <f>TRIM("長居相撲場")</f>
        <v>長居相撲場</v>
      </c>
      <c r="C4594" s="14" t="s">
        <v>1514</v>
      </c>
      <c r="D4594" s="14"/>
      <c r="E4594" s="1"/>
      <c r="F4594" s="2"/>
      <c r="G4594" s="1">
        <v>389.88</v>
      </c>
      <c r="H4594" s="3"/>
      <c r="I4594" s="14" t="s">
        <v>4115</v>
      </c>
    </row>
    <row r="4595" spans="1:9" ht="18.75" customHeight="1" x14ac:dyDescent="0.4">
      <c r="A4595" s="14" t="s">
        <v>4627</v>
      </c>
      <c r="B4595" s="16" t="str">
        <f>TRIM("うるし堤会館")</f>
        <v>うるし堤会館</v>
      </c>
      <c r="C4595" s="14" t="s">
        <v>1514</v>
      </c>
      <c r="D4595" s="14" t="s">
        <v>1429</v>
      </c>
      <c r="E4595" s="1">
        <v>178.2</v>
      </c>
      <c r="F4595" s="2"/>
      <c r="G4595" s="1">
        <v>98.96</v>
      </c>
      <c r="H4595" s="3"/>
      <c r="I4595" s="14" t="s">
        <v>1782</v>
      </c>
    </row>
    <row r="4596" spans="1:9" ht="18.75" customHeight="1" x14ac:dyDescent="0.4">
      <c r="A4596" s="14" t="s">
        <v>5067</v>
      </c>
      <c r="B4596" s="16" t="str">
        <f>TRIM("白鷺中学校")</f>
        <v>白鷺中学校</v>
      </c>
      <c r="C4596" s="14" t="s">
        <v>1514</v>
      </c>
      <c r="D4596" s="14" t="s">
        <v>1429</v>
      </c>
      <c r="E4596" s="1">
        <v>16053</v>
      </c>
      <c r="F4596" s="2"/>
      <c r="G4596" s="1">
        <v>8635.94</v>
      </c>
      <c r="H4596" s="3"/>
      <c r="I4596" s="14" t="s">
        <v>4689</v>
      </c>
    </row>
    <row r="4597" spans="1:9" ht="18.75" customHeight="1" x14ac:dyDescent="0.4">
      <c r="A4597" s="14" t="s">
        <v>1666</v>
      </c>
      <c r="B4597" s="16" t="str">
        <f>TRIM("もと社会福祉施設用地（東住吉区今川）")</f>
        <v>もと社会福祉施設用地（東住吉区今川）</v>
      </c>
      <c r="C4597" s="14" t="s">
        <v>1514</v>
      </c>
      <c r="D4597" s="14" t="s">
        <v>325</v>
      </c>
      <c r="E4597" s="1">
        <v>671.07</v>
      </c>
      <c r="F4597" s="2"/>
      <c r="G4597" s="1"/>
      <c r="H4597" s="3"/>
      <c r="I4597" s="14" t="s">
        <v>1654</v>
      </c>
    </row>
    <row r="4598" spans="1:9" ht="18.75" customHeight="1" x14ac:dyDescent="0.4">
      <c r="A4598" s="14" t="s">
        <v>4816</v>
      </c>
      <c r="B4598" s="16" t="str">
        <f>TRIM("今川小学校")</f>
        <v>今川小学校</v>
      </c>
      <c r="C4598" s="14" t="s">
        <v>1514</v>
      </c>
      <c r="D4598" s="14" t="s">
        <v>636</v>
      </c>
      <c r="E4598" s="1">
        <v>9782.5400000000009</v>
      </c>
      <c r="F4598" s="2"/>
      <c r="G4598" s="1">
        <v>5918.05</v>
      </c>
      <c r="H4598" s="3"/>
      <c r="I4598" s="14" t="s">
        <v>4689</v>
      </c>
    </row>
    <row r="4599" spans="1:9" ht="18.75" customHeight="1" x14ac:dyDescent="0.4">
      <c r="A4599" s="14" t="s">
        <v>2541</v>
      </c>
      <c r="B4599" s="16" t="str">
        <f>TRIM("　つくし公園")</f>
        <v>つくし公園</v>
      </c>
      <c r="C4599" s="14" t="s">
        <v>1514</v>
      </c>
      <c r="D4599" s="14" t="s">
        <v>636</v>
      </c>
      <c r="E4599" s="1">
        <v>3518</v>
      </c>
      <c r="F4599" s="2"/>
      <c r="G4599" s="1"/>
      <c r="H4599" s="3"/>
      <c r="I4599" s="14" t="s">
        <v>2177</v>
      </c>
    </row>
    <row r="4600" spans="1:9" ht="18.75" customHeight="1" x14ac:dyDescent="0.4">
      <c r="A4600" s="14" t="s">
        <v>2545</v>
      </c>
      <c r="B4600" s="16" t="str">
        <f>TRIM("　わかば公園")</f>
        <v>わかば公園</v>
      </c>
      <c r="C4600" s="14" t="s">
        <v>1514</v>
      </c>
      <c r="D4600" s="14" t="s">
        <v>636</v>
      </c>
      <c r="E4600" s="1">
        <v>789.58</v>
      </c>
      <c r="F4600" s="2"/>
      <c r="G4600" s="1"/>
      <c r="H4600" s="3"/>
      <c r="I4600" s="14" t="s">
        <v>2177</v>
      </c>
    </row>
    <row r="4601" spans="1:9" ht="18.75" customHeight="1" x14ac:dyDescent="0.4">
      <c r="A4601" s="14" t="s">
        <v>6117</v>
      </c>
      <c r="B4601" s="16" t="str">
        <f>TRIM("今川霊園")</f>
        <v>今川霊園</v>
      </c>
      <c r="C4601" s="14" t="s">
        <v>1514</v>
      </c>
      <c r="D4601" s="14" t="s">
        <v>636</v>
      </c>
      <c r="E4601" s="1">
        <v>535.76</v>
      </c>
      <c r="F4601" s="2"/>
      <c r="G4601" s="1"/>
      <c r="H4601" s="3"/>
      <c r="I4601" s="14" t="s">
        <v>5977</v>
      </c>
    </row>
    <row r="4602" spans="1:9" ht="18.75" customHeight="1" x14ac:dyDescent="0.4">
      <c r="A4602" s="14" t="s">
        <v>3269</v>
      </c>
      <c r="B4602" s="16" t="str">
        <f>TRIM("　平野白鷺公園")</f>
        <v>平野白鷺公園</v>
      </c>
      <c r="C4602" s="14" t="s">
        <v>1514</v>
      </c>
      <c r="D4602" s="14" t="s">
        <v>1231</v>
      </c>
      <c r="E4602" s="1">
        <v>37940.300000000003</v>
      </c>
      <c r="F4602" s="2"/>
      <c r="G4602" s="1"/>
      <c r="H4602" s="3"/>
      <c r="I4602" s="14" t="s">
        <v>2177</v>
      </c>
    </row>
    <row r="4603" spans="1:9" ht="18.75" customHeight="1" x14ac:dyDescent="0.4">
      <c r="A4603" s="14" t="s">
        <v>3672</v>
      </c>
      <c r="B4603" s="16" t="str">
        <f>TRIM("　平野白鷺公園")</f>
        <v>平野白鷺公園</v>
      </c>
      <c r="C4603" s="14" t="s">
        <v>1514</v>
      </c>
      <c r="D4603" s="14" t="s">
        <v>1231</v>
      </c>
      <c r="E4603" s="1"/>
      <c r="F4603" s="2"/>
      <c r="G4603" s="1">
        <v>63.6</v>
      </c>
      <c r="H4603" s="3"/>
      <c r="I4603" s="14" t="s">
        <v>2177</v>
      </c>
    </row>
    <row r="4604" spans="1:9" ht="18.75" customHeight="1" x14ac:dyDescent="0.4">
      <c r="A4604" s="14" t="s">
        <v>4637</v>
      </c>
      <c r="B4604" s="16" t="str">
        <f>TRIM("白鷺会館")</f>
        <v>白鷺会館</v>
      </c>
      <c r="C4604" s="14" t="s">
        <v>1514</v>
      </c>
      <c r="D4604" s="14" t="s">
        <v>1231</v>
      </c>
      <c r="E4604" s="1"/>
      <c r="F4604" s="2"/>
      <c r="G4604" s="1">
        <v>93.84</v>
      </c>
      <c r="H4604" s="3"/>
      <c r="I4604" s="14" t="s">
        <v>1782</v>
      </c>
    </row>
    <row r="4605" spans="1:9" ht="18.75" customHeight="1" x14ac:dyDescent="0.4">
      <c r="A4605" s="14" t="s">
        <v>1924</v>
      </c>
      <c r="B4605" s="16" t="str">
        <f>TRIM("特別養護老人ホームくれない・白鷺地域在宅サービスステーション・地域活動支援センターくれない")</f>
        <v>特別養護老人ホームくれない・白鷺地域在宅サービスステーション・地域活動支援センターくれない</v>
      </c>
      <c r="C4605" s="14" t="s">
        <v>1514</v>
      </c>
      <c r="D4605" s="14" t="s">
        <v>409</v>
      </c>
      <c r="E4605" s="1">
        <v>1364.23</v>
      </c>
      <c r="F4605" s="2"/>
      <c r="G4605" s="1"/>
      <c r="H4605" s="3"/>
      <c r="I4605" s="14" t="s">
        <v>1654</v>
      </c>
    </row>
    <row r="4606" spans="1:9" ht="18.75" customHeight="1" x14ac:dyDescent="0.4">
      <c r="A4606" s="14" t="s">
        <v>2722</v>
      </c>
      <c r="B4606" s="16" t="str">
        <f>TRIM("　今川公園")</f>
        <v>今川公園</v>
      </c>
      <c r="C4606" s="14" t="s">
        <v>1514</v>
      </c>
      <c r="D4606" s="14" t="s">
        <v>409</v>
      </c>
      <c r="E4606" s="1">
        <v>6391.78</v>
      </c>
      <c r="F4606" s="2"/>
      <c r="G4606" s="1"/>
      <c r="H4606" s="3"/>
      <c r="I4606" s="14" t="s">
        <v>2177</v>
      </c>
    </row>
    <row r="4607" spans="1:9" ht="18.75" customHeight="1" x14ac:dyDescent="0.4">
      <c r="A4607" s="14" t="s">
        <v>2723</v>
      </c>
      <c r="B4607" s="16" t="str">
        <f>TRIM("　今川緑道")</f>
        <v>今川緑道</v>
      </c>
      <c r="C4607" s="14" t="s">
        <v>1514</v>
      </c>
      <c r="D4607" s="14" t="s">
        <v>409</v>
      </c>
      <c r="E4607" s="1">
        <v>6572.93</v>
      </c>
      <c r="F4607" s="2"/>
      <c r="G4607" s="1"/>
      <c r="H4607" s="3"/>
      <c r="I4607" s="14" t="s">
        <v>2177</v>
      </c>
    </row>
    <row r="4608" spans="1:9" ht="18.75" customHeight="1" x14ac:dyDescent="0.4">
      <c r="A4608" s="14" t="s">
        <v>3556</v>
      </c>
      <c r="B4608" s="16" t="str">
        <f>TRIM("　今川公園")</f>
        <v>今川公園</v>
      </c>
      <c r="C4608" s="14" t="s">
        <v>1514</v>
      </c>
      <c r="D4608" s="14" t="s">
        <v>409</v>
      </c>
      <c r="E4608" s="1"/>
      <c r="F4608" s="2"/>
      <c r="G4608" s="1">
        <v>18.239999999999998</v>
      </c>
      <c r="H4608" s="3"/>
      <c r="I4608" s="14" t="s">
        <v>2177</v>
      </c>
    </row>
    <row r="4609" spans="1:9" ht="18.75" customHeight="1" x14ac:dyDescent="0.4">
      <c r="A4609" s="14" t="s">
        <v>2310</v>
      </c>
      <c r="B4609" s="16" t="str">
        <f>TRIM("道路（東住吉）（管財課）")</f>
        <v>道路（東住吉）（管財課）</v>
      </c>
      <c r="C4609" s="14" t="s">
        <v>1514</v>
      </c>
      <c r="D4609" s="14" t="s">
        <v>956</v>
      </c>
      <c r="E4609" s="1">
        <v>636866.78</v>
      </c>
      <c r="F4609" s="2"/>
      <c r="G4609" s="1"/>
      <c r="H4609" s="3"/>
      <c r="I4609" s="14" t="s">
        <v>2177</v>
      </c>
    </row>
    <row r="4610" spans="1:9" ht="18.75" customHeight="1" x14ac:dyDescent="0.4">
      <c r="A4610" s="14" t="s">
        <v>7162</v>
      </c>
      <c r="B4610" s="16" t="str">
        <f>TRIM("中央卸売市場東部市場")</f>
        <v>中央卸売市場東部市場</v>
      </c>
      <c r="C4610" s="14" t="s">
        <v>1514</v>
      </c>
      <c r="D4610" s="14" t="s">
        <v>93</v>
      </c>
      <c r="E4610" s="1">
        <v>94302.46</v>
      </c>
      <c r="F4610" s="2"/>
      <c r="G4610" s="1">
        <v>167799.05</v>
      </c>
      <c r="H4610" s="3"/>
      <c r="I4610" s="14" t="s">
        <v>7159</v>
      </c>
    </row>
    <row r="4611" spans="1:9" ht="18.75" customHeight="1" x14ac:dyDescent="0.4">
      <c r="A4611" s="18"/>
      <c r="B4611" s="14" t="s">
        <v>7180</v>
      </c>
      <c r="C4611" s="14" t="s">
        <v>1514</v>
      </c>
      <c r="D4611" s="1" t="s">
        <v>93</v>
      </c>
      <c r="E4611" s="2"/>
      <c r="F4611" s="11"/>
      <c r="G4611" s="1">
        <v>72.5</v>
      </c>
      <c r="H4611" s="1"/>
      <c r="I4611" s="1" t="s">
        <v>2177</v>
      </c>
    </row>
    <row r="4612" spans="1:9" ht="18.75" customHeight="1" x14ac:dyDescent="0.4">
      <c r="A4612" s="14" t="s">
        <v>1728</v>
      </c>
      <c r="B4612" s="16" t="str">
        <f>TRIM("障がい福祉サービス事業所　今林の里")</f>
        <v>障がい福祉サービス事業所　今林の里</v>
      </c>
      <c r="C4612" s="14" t="s">
        <v>1514</v>
      </c>
      <c r="D4612" s="14" t="s">
        <v>354</v>
      </c>
      <c r="E4612" s="1">
        <v>1591.99</v>
      </c>
      <c r="F4612" s="2"/>
      <c r="G4612" s="1"/>
      <c r="H4612" s="3"/>
      <c r="I4612" s="14" t="s">
        <v>1654</v>
      </c>
    </row>
    <row r="4613" spans="1:9" ht="18.75" customHeight="1" x14ac:dyDescent="0.4">
      <c r="A4613" s="14" t="s">
        <v>2730</v>
      </c>
      <c r="B4613" s="16" t="str">
        <f>TRIM("　今林公園")</f>
        <v>今林公園</v>
      </c>
      <c r="C4613" s="14" t="s">
        <v>1514</v>
      </c>
      <c r="D4613" s="14" t="s">
        <v>637</v>
      </c>
      <c r="E4613" s="1">
        <v>7923</v>
      </c>
      <c r="F4613" s="2"/>
      <c r="G4613" s="1"/>
      <c r="H4613" s="3"/>
      <c r="I4613" s="14" t="s">
        <v>2177</v>
      </c>
    </row>
    <row r="4614" spans="1:9" ht="18.75" customHeight="1" x14ac:dyDescent="0.4">
      <c r="A4614" s="14" t="s">
        <v>6119</v>
      </c>
      <c r="B4614" s="16" t="str">
        <f>TRIM("今林霊園")</f>
        <v>今林霊園</v>
      </c>
      <c r="C4614" s="14" t="s">
        <v>1514</v>
      </c>
      <c r="D4614" s="14" t="s">
        <v>637</v>
      </c>
      <c r="E4614" s="1">
        <v>317.35000000000002</v>
      </c>
      <c r="F4614" s="2"/>
      <c r="G4614" s="1"/>
      <c r="H4614" s="3"/>
      <c r="I4614" s="14" t="s">
        <v>5977</v>
      </c>
    </row>
    <row r="4615" spans="1:9" ht="18.75" customHeight="1" x14ac:dyDescent="0.4">
      <c r="A4615" s="14" t="s">
        <v>2993</v>
      </c>
      <c r="B4615" s="16" t="str">
        <f>TRIM("　大塚町公園")</f>
        <v>大塚町公園</v>
      </c>
      <c r="C4615" s="14" t="s">
        <v>1514</v>
      </c>
      <c r="D4615" s="14" t="s">
        <v>329</v>
      </c>
      <c r="E4615" s="1">
        <v>2381.39</v>
      </c>
      <c r="F4615" s="2">
        <v>648</v>
      </c>
      <c r="G4615" s="1"/>
      <c r="H4615" s="3"/>
      <c r="I4615" s="14" t="s">
        <v>2177</v>
      </c>
    </row>
    <row r="4616" spans="1:9" ht="18.75" customHeight="1" x14ac:dyDescent="0.4">
      <c r="A4616" s="14" t="s">
        <v>2148</v>
      </c>
      <c r="B4616" s="16" t="str">
        <f>TRIM("北田辺会館（もと北田辺老人憩の家）")</f>
        <v>北田辺会館（もと北田辺老人憩の家）</v>
      </c>
      <c r="C4616" s="14" t="s">
        <v>1514</v>
      </c>
      <c r="D4616" s="14" t="s">
        <v>329</v>
      </c>
      <c r="E4616" s="1">
        <v>184.44</v>
      </c>
      <c r="F4616" s="2"/>
      <c r="G4616" s="1">
        <v>81</v>
      </c>
      <c r="H4616" s="3"/>
      <c r="I4616" s="14" t="s">
        <v>1782</v>
      </c>
    </row>
    <row r="4617" spans="1:9" ht="18.75" customHeight="1" x14ac:dyDescent="0.4">
      <c r="A4617" s="14" t="s">
        <v>3314</v>
      </c>
      <c r="B4617" s="16" t="str">
        <f>TRIM("　北田辺公園")</f>
        <v>北田辺公園</v>
      </c>
      <c r="C4617" s="14" t="s">
        <v>1514</v>
      </c>
      <c r="D4617" s="14" t="s">
        <v>329</v>
      </c>
      <c r="E4617" s="1">
        <v>435.5</v>
      </c>
      <c r="F4617" s="2"/>
      <c r="G4617" s="1"/>
      <c r="H4617" s="3"/>
      <c r="I4617" s="14" t="s">
        <v>2177</v>
      </c>
    </row>
    <row r="4618" spans="1:9" ht="18.75" customHeight="1" x14ac:dyDescent="0.4">
      <c r="A4618" s="14" t="s">
        <v>4638</v>
      </c>
      <c r="B4618" s="16" t="str">
        <f>TRIM("北田辺会館")</f>
        <v>北田辺会館</v>
      </c>
      <c r="C4618" s="14" t="s">
        <v>1514</v>
      </c>
      <c r="D4618" s="14" t="s">
        <v>329</v>
      </c>
      <c r="E4618" s="1"/>
      <c r="F4618" s="2"/>
      <c r="G4618" s="1">
        <v>81</v>
      </c>
      <c r="H4618" s="3"/>
      <c r="I4618" s="14" t="s">
        <v>1782</v>
      </c>
    </row>
    <row r="4619" spans="1:9" ht="18.75" customHeight="1" x14ac:dyDescent="0.4">
      <c r="A4619" s="14" t="s">
        <v>5107</v>
      </c>
      <c r="B4619" s="16" t="str">
        <f>TRIM("北田辺小学校")</f>
        <v>北田辺小学校</v>
      </c>
      <c r="C4619" s="14" t="s">
        <v>1514</v>
      </c>
      <c r="D4619" s="14" t="s">
        <v>984</v>
      </c>
      <c r="E4619" s="1">
        <v>9441.32</v>
      </c>
      <c r="F4619" s="2"/>
      <c r="G4619" s="1">
        <v>6694.75</v>
      </c>
      <c r="H4619" s="3"/>
      <c r="I4619" s="14" t="s">
        <v>4689</v>
      </c>
    </row>
    <row r="4620" spans="1:9" ht="18.75" customHeight="1" x14ac:dyDescent="0.4">
      <c r="A4620" s="14" t="s">
        <v>2427</v>
      </c>
      <c r="B4620" s="16" t="str">
        <f>TRIM("豊里矢田線")</f>
        <v>豊里矢田線</v>
      </c>
      <c r="C4620" s="14" t="s">
        <v>1514</v>
      </c>
      <c r="D4620" s="14" t="s">
        <v>984</v>
      </c>
      <c r="E4620" s="1">
        <v>1306.74</v>
      </c>
      <c r="F4620" s="2"/>
      <c r="G4620" s="1"/>
      <c r="H4620" s="3"/>
      <c r="I4620" s="14" t="s">
        <v>2177</v>
      </c>
    </row>
    <row r="4621" spans="1:9" ht="18.75" customHeight="1" x14ac:dyDescent="0.4">
      <c r="A4621" s="14" t="s">
        <v>3315</v>
      </c>
      <c r="B4621" s="16" t="str">
        <f>TRIM("　北田辺中公園")</f>
        <v>北田辺中公園</v>
      </c>
      <c r="C4621" s="14" t="s">
        <v>1514</v>
      </c>
      <c r="D4621" s="14" t="s">
        <v>984</v>
      </c>
      <c r="E4621" s="1">
        <v>832.07</v>
      </c>
      <c r="F4621" s="2"/>
      <c r="G4621" s="1"/>
      <c r="H4621" s="3"/>
      <c r="I4621" s="14" t="s">
        <v>2177</v>
      </c>
    </row>
    <row r="4622" spans="1:9" ht="18.75" customHeight="1" x14ac:dyDescent="0.4">
      <c r="A4622" s="14" t="s">
        <v>5286</v>
      </c>
      <c r="B4622" s="16" t="str">
        <f>TRIM("東住吉消防署北田辺出張所")</f>
        <v>東住吉消防署北田辺出張所</v>
      </c>
      <c r="C4622" s="14" t="s">
        <v>1514</v>
      </c>
      <c r="D4622" s="14" t="s">
        <v>65</v>
      </c>
      <c r="E4622" s="1">
        <v>358.88</v>
      </c>
      <c r="F4622" s="2"/>
      <c r="G4622" s="1">
        <v>251.52</v>
      </c>
      <c r="H4622" s="3"/>
      <c r="I4622" s="14" t="s">
        <v>5219</v>
      </c>
    </row>
    <row r="4623" spans="1:9" ht="18.75" customHeight="1" x14ac:dyDescent="0.4">
      <c r="A4623" s="14" t="s">
        <v>3313</v>
      </c>
      <c r="B4623" s="16" t="str">
        <f>TRIM("　北田辺4公園")</f>
        <v>北田辺4公園</v>
      </c>
      <c r="C4623" s="14" t="s">
        <v>1514</v>
      </c>
      <c r="D4623" s="14" t="s">
        <v>65</v>
      </c>
      <c r="E4623" s="1">
        <v>659.36</v>
      </c>
      <c r="F4623" s="2"/>
      <c r="G4623" s="1"/>
      <c r="H4623" s="3"/>
      <c r="I4623" s="14" t="s">
        <v>2177</v>
      </c>
    </row>
    <row r="4624" spans="1:9" ht="18.75" customHeight="1" x14ac:dyDescent="0.4">
      <c r="A4624" s="14" t="s">
        <v>7082</v>
      </c>
      <c r="B4624" s="16" t="str">
        <f>TRIM("北田辺小売市場民営活性化事業施設")</f>
        <v>北田辺小売市場民営活性化事業施設</v>
      </c>
      <c r="C4624" s="14" t="s">
        <v>1514</v>
      </c>
      <c r="D4624" s="14" t="s">
        <v>65</v>
      </c>
      <c r="E4624" s="1">
        <v>1089.6300000000001</v>
      </c>
      <c r="F4624" s="2"/>
      <c r="G4624" s="1"/>
      <c r="H4624" s="3"/>
      <c r="I4624" s="14" t="s">
        <v>4115</v>
      </c>
    </row>
    <row r="4625" spans="1:9" ht="18.75" customHeight="1" x14ac:dyDescent="0.4">
      <c r="A4625" s="14" t="s">
        <v>2147</v>
      </c>
      <c r="B4625" s="16" t="str">
        <f>TRIM("友愛センター北田辺（もと北田辺第2老人憩の家）")</f>
        <v>友愛センター北田辺（もと北田辺第2老人憩の家）</v>
      </c>
      <c r="C4625" s="14" t="s">
        <v>1514</v>
      </c>
      <c r="D4625" s="14" t="s">
        <v>174</v>
      </c>
      <c r="E4625" s="1">
        <v>251.23</v>
      </c>
      <c r="F4625" s="2"/>
      <c r="G4625" s="1"/>
      <c r="H4625" s="3"/>
      <c r="I4625" s="14" t="s">
        <v>1782</v>
      </c>
    </row>
    <row r="4626" spans="1:9" ht="18.75" customHeight="1" x14ac:dyDescent="0.4">
      <c r="A4626" s="14" t="s">
        <v>5420</v>
      </c>
      <c r="B4626" s="16" t="str">
        <f>TRIM("もと田辺警察署双葉寮")</f>
        <v>もと田辺警察署双葉寮</v>
      </c>
      <c r="C4626" s="14" t="s">
        <v>1514</v>
      </c>
      <c r="D4626" s="14" t="s">
        <v>174</v>
      </c>
      <c r="E4626" s="1">
        <v>9.61</v>
      </c>
      <c r="F4626" s="2"/>
      <c r="G4626" s="1"/>
      <c r="H4626" s="3"/>
      <c r="I4626" s="14" t="s">
        <v>5349</v>
      </c>
    </row>
    <row r="4627" spans="1:9" ht="18.75" customHeight="1" x14ac:dyDescent="0.4">
      <c r="A4627" s="14" t="s">
        <v>6041</v>
      </c>
      <c r="B4627" s="16" t="str">
        <f>TRIM("中部環境事業センター")</f>
        <v>中部環境事業センター</v>
      </c>
      <c r="C4627" s="14" t="s">
        <v>1514</v>
      </c>
      <c r="D4627" s="14" t="s">
        <v>633</v>
      </c>
      <c r="E4627" s="1">
        <v>5497.93</v>
      </c>
      <c r="F4627" s="2"/>
      <c r="G4627" s="1">
        <v>7986.27</v>
      </c>
      <c r="H4627" s="3"/>
      <c r="I4627" s="14" t="s">
        <v>5977</v>
      </c>
    </row>
    <row r="4628" spans="1:9" ht="18.75" customHeight="1" x14ac:dyDescent="0.4">
      <c r="A4628" s="14" t="s">
        <v>3916</v>
      </c>
      <c r="B4628" s="16" t="str">
        <f>TRIM("東部市場前駅自転車駐車場")</f>
        <v>東部市場前駅自転車駐車場</v>
      </c>
      <c r="C4628" s="14" t="s">
        <v>1514</v>
      </c>
      <c r="D4628" s="14" t="s">
        <v>633</v>
      </c>
      <c r="E4628" s="1"/>
      <c r="F4628" s="2"/>
      <c r="G4628" s="1">
        <v>991.95</v>
      </c>
      <c r="H4628" s="3"/>
      <c r="I4628" s="14" t="s">
        <v>2177</v>
      </c>
    </row>
    <row r="4629" spans="1:9" ht="18.75" customHeight="1" x14ac:dyDescent="0.4">
      <c r="A4629" s="14" t="s">
        <v>6113</v>
      </c>
      <c r="B4629" s="16" t="str">
        <f>TRIM("杭全霊園")</f>
        <v>杭全霊園</v>
      </c>
      <c r="C4629" s="14" t="s">
        <v>1514</v>
      </c>
      <c r="D4629" s="14" t="s">
        <v>633</v>
      </c>
      <c r="E4629" s="1">
        <v>557.04999999999995</v>
      </c>
      <c r="F4629" s="2"/>
      <c r="G4629" s="1"/>
      <c r="H4629" s="3"/>
      <c r="I4629" s="14" t="s">
        <v>5977</v>
      </c>
    </row>
    <row r="4630" spans="1:9" ht="18.75" customHeight="1" x14ac:dyDescent="0.4">
      <c r="A4630" s="14" t="s">
        <v>1781</v>
      </c>
      <c r="B4630" s="16" t="str">
        <f>TRIM("育和社会福祉会館（もと育和老人憩の家）")</f>
        <v>育和社会福祉会館（もと育和老人憩の家）</v>
      </c>
      <c r="C4630" s="14" t="s">
        <v>1514</v>
      </c>
      <c r="D4630" s="14" t="s">
        <v>160</v>
      </c>
      <c r="E4630" s="1">
        <v>389.22</v>
      </c>
      <c r="F4630" s="2"/>
      <c r="G4630" s="1"/>
      <c r="H4630" s="3"/>
      <c r="I4630" s="14" t="s">
        <v>1782</v>
      </c>
    </row>
    <row r="4631" spans="1:9" ht="18.75" customHeight="1" x14ac:dyDescent="0.4">
      <c r="A4631" s="14" t="s">
        <v>5401</v>
      </c>
      <c r="B4631" s="16" t="str">
        <f>TRIM("もと水道局杭全1号")</f>
        <v>もと水道局杭全1号</v>
      </c>
      <c r="C4631" s="14" t="s">
        <v>1514</v>
      </c>
      <c r="D4631" s="14" t="s">
        <v>160</v>
      </c>
      <c r="E4631" s="1">
        <v>157.78</v>
      </c>
      <c r="F4631" s="2"/>
      <c r="G4631" s="1"/>
      <c r="H4631" s="3"/>
      <c r="I4631" s="14" t="s">
        <v>5349</v>
      </c>
    </row>
    <row r="4632" spans="1:9" ht="18.75" customHeight="1" x14ac:dyDescent="0.4">
      <c r="A4632" s="14" t="s">
        <v>5402</v>
      </c>
      <c r="B4632" s="16" t="str">
        <f>TRIM("もと水道局杭全2号")</f>
        <v>もと水道局杭全2号</v>
      </c>
      <c r="C4632" s="14" t="s">
        <v>1514</v>
      </c>
      <c r="D4632" s="14" t="s">
        <v>160</v>
      </c>
      <c r="E4632" s="1">
        <v>303.27</v>
      </c>
      <c r="F4632" s="2"/>
      <c r="G4632" s="1"/>
      <c r="H4632" s="3"/>
      <c r="I4632" s="14" t="s">
        <v>5349</v>
      </c>
    </row>
    <row r="4633" spans="1:9" ht="18.75" customHeight="1" x14ac:dyDescent="0.4">
      <c r="A4633" s="14" t="s">
        <v>5991</v>
      </c>
      <c r="B4633" s="16" t="str">
        <f>TRIM("大気汚染常時監視測定局（杭全町交差点）")</f>
        <v>大気汚染常時監視測定局（杭全町交差点）</v>
      </c>
      <c r="C4633" s="14" t="s">
        <v>1514</v>
      </c>
      <c r="D4633" s="14" t="s">
        <v>160</v>
      </c>
      <c r="E4633" s="1"/>
      <c r="F4633" s="2"/>
      <c r="G4633" s="1">
        <v>10.24</v>
      </c>
      <c r="H4633" s="3"/>
      <c r="I4633" s="14" t="s">
        <v>5977</v>
      </c>
    </row>
    <row r="4634" spans="1:9" ht="18.75" customHeight="1" x14ac:dyDescent="0.4">
      <c r="A4634" s="14" t="s">
        <v>5548</v>
      </c>
      <c r="B4634" s="16" t="str">
        <f>TRIM("廃道（東住吉・コミュニティ用地等）")</f>
        <v>廃道（東住吉・コミュニティ用地等）</v>
      </c>
      <c r="C4634" s="14" t="s">
        <v>1514</v>
      </c>
      <c r="D4634" s="14" t="s">
        <v>267</v>
      </c>
      <c r="E4634" s="1">
        <v>65.83</v>
      </c>
      <c r="F4634" s="2"/>
      <c r="G4634" s="1"/>
      <c r="H4634" s="3"/>
      <c r="I4634" s="14" t="s">
        <v>5349</v>
      </c>
    </row>
    <row r="4635" spans="1:9" ht="18.75" customHeight="1" x14ac:dyDescent="0.4">
      <c r="A4635" s="14" t="s">
        <v>4717</v>
      </c>
      <c r="B4635" s="16" t="str">
        <f>TRIM("育和小学校")</f>
        <v>育和小学校</v>
      </c>
      <c r="C4635" s="14" t="s">
        <v>1514</v>
      </c>
      <c r="D4635" s="14" t="s">
        <v>1038</v>
      </c>
      <c r="E4635" s="1">
        <v>10487.24</v>
      </c>
      <c r="F4635" s="2"/>
      <c r="G4635" s="1">
        <v>7577.1</v>
      </c>
      <c r="H4635" s="3"/>
      <c r="I4635" s="14" t="s">
        <v>4689</v>
      </c>
    </row>
    <row r="4636" spans="1:9" ht="18.75" customHeight="1" x14ac:dyDescent="0.4">
      <c r="A4636" s="14" t="s">
        <v>2478</v>
      </c>
      <c r="B4636" s="16" t="str">
        <f>TRIM("河川敷（東住吉）")</f>
        <v>河川敷（東住吉）</v>
      </c>
      <c r="C4636" s="14" t="s">
        <v>1514</v>
      </c>
      <c r="D4636" s="14" t="s">
        <v>1038</v>
      </c>
      <c r="E4636" s="1">
        <v>129.65</v>
      </c>
      <c r="F4636" s="2"/>
      <c r="G4636" s="1"/>
      <c r="H4636" s="3"/>
      <c r="I4636" s="14" t="s">
        <v>2177</v>
      </c>
    </row>
    <row r="4637" spans="1:9" ht="18.75" customHeight="1" x14ac:dyDescent="0.4">
      <c r="A4637" s="14" t="s">
        <v>2696</v>
      </c>
      <c r="B4637" s="16" t="str">
        <f>TRIM("　杭全西公園")</f>
        <v>杭全西公園</v>
      </c>
      <c r="C4637" s="14" t="s">
        <v>1514</v>
      </c>
      <c r="D4637" s="14" t="s">
        <v>1038</v>
      </c>
      <c r="E4637" s="1">
        <v>1522.66</v>
      </c>
      <c r="F4637" s="2"/>
      <c r="G4637" s="1"/>
      <c r="H4637" s="3"/>
      <c r="I4637" s="14" t="s">
        <v>2177</v>
      </c>
    </row>
    <row r="4638" spans="1:9" ht="18.75" customHeight="1" x14ac:dyDescent="0.4">
      <c r="A4638" s="14" t="s">
        <v>2250</v>
      </c>
      <c r="B4638" s="16" t="str">
        <f>TRIM("大阪環状線（東住吉）（管財課）")</f>
        <v>大阪環状線（東住吉）（管財課）</v>
      </c>
      <c r="C4638" s="14" t="s">
        <v>1514</v>
      </c>
      <c r="D4638" s="14" t="s">
        <v>929</v>
      </c>
      <c r="E4638" s="1">
        <v>51029.32</v>
      </c>
      <c r="F4638" s="2"/>
      <c r="G4638" s="1"/>
      <c r="H4638" s="3"/>
      <c r="I4638" s="14" t="s">
        <v>2177</v>
      </c>
    </row>
    <row r="4639" spans="1:9" ht="18.75" customHeight="1" x14ac:dyDescent="0.4">
      <c r="A4639" s="14" t="s">
        <v>2536</v>
      </c>
      <c r="B4639" s="16" t="str">
        <f>TRIM("　うるし堤公園")</f>
        <v>うるし堤公園</v>
      </c>
      <c r="C4639" s="14" t="s">
        <v>1514</v>
      </c>
      <c r="D4639" s="14" t="s">
        <v>929</v>
      </c>
      <c r="E4639" s="1">
        <v>6178</v>
      </c>
      <c r="F4639" s="2"/>
      <c r="G4639" s="1"/>
      <c r="H4639" s="3"/>
      <c r="I4639" s="14" t="s">
        <v>2177</v>
      </c>
    </row>
    <row r="4640" spans="1:9" ht="18.75" customHeight="1" x14ac:dyDescent="0.4">
      <c r="A4640" s="14" t="s">
        <v>3525</v>
      </c>
      <c r="B4640" s="16" t="str">
        <f>TRIM("　うるし堤公園")</f>
        <v>うるし堤公園</v>
      </c>
      <c r="C4640" s="14" t="s">
        <v>1514</v>
      </c>
      <c r="D4640" s="14" t="s">
        <v>929</v>
      </c>
      <c r="E4640" s="1"/>
      <c r="F4640" s="2"/>
      <c r="G4640" s="1">
        <v>18.239999999999998</v>
      </c>
      <c r="H4640" s="3"/>
      <c r="I4640" s="14" t="s">
        <v>2177</v>
      </c>
    </row>
    <row r="4641" spans="1:9" ht="18.75" customHeight="1" x14ac:dyDescent="0.4">
      <c r="A4641" s="14" t="s">
        <v>5517</v>
      </c>
      <c r="B4641" s="16" t="str">
        <f>TRIM("東住吉署杭全交番")</f>
        <v>東住吉署杭全交番</v>
      </c>
      <c r="C4641" s="14" t="s">
        <v>1514</v>
      </c>
      <c r="D4641" s="14" t="s">
        <v>245</v>
      </c>
      <c r="E4641" s="1">
        <v>39.43</v>
      </c>
      <c r="F4641" s="2"/>
      <c r="G4641" s="1"/>
      <c r="H4641" s="3"/>
      <c r="I4641" s="14" t="s">
        <v>5349</v>
      </c>
    </row>
    <row r="4642" spans="1:9" ht="18.75" customHeight="1" x14ac:dyDescent="0.4">
      <c r="A4642" s="14" t="s">
        <v>6191</v>
      </c>
      <c r="B4642" s="16" t="str">
        <f>TRIM("杭全処分住宅")</f>
        <v>杭全処分住宅</v>
      </c>
      <c r="C4642" s="14" t="s">
        <v>1514</v>
      </c>
      <c r="D4642" s="14" t="s">
        <v>696</v>
      </c>
      <c r="E4642" s="1">
        <v>992.92</v>
      </c>
      <c r="F4642" s="2"/>
      <c r="G4642" s="1"/>
      <c r="H4642" s="3"/>
      <c r="I4642" s="14" t="s">
        <v>6177</v>
      </c>
    </row>
    <row r="4643" spans="1:9" ht="18.75" customHeight="1" x14ac:dyDescent="0.4">
      <c r="A4643" s="14" t="s">
        <v>5284</v>
      </c>
      <c r="B4643" s="16" t="str">
        <f>TRIM("東住吉消防署杭全出張所")</f>
        <v>東住吉消防署杭全出張所</v>
      </c>
      <c r="C4643" s="14" t="s">
        <v>1514</v>
      </c>
      <c r="D4643" s="14" t="s">
        <v>998</v>
      </c>
      <c r="E4643" s="1">
        <v>471.99</v>
      </c>
      <c r="F4643" s="2"/>
      <c r="G4643" s="1">
        <v>884.83</v>
      </c>
      <c r="H4643" s="3"/>
      <c r="I4643" s="14" t="s">
        <v>5219</v>
      </c>
    </row>
    <row r="4644" spans="1:9" ht="18.75" customHeight="1" x14ac:dyDescent="0.4">
      <c r="A4644" s="14" t="s">
        <v>2565</v>
      </c>
      <c r="B4644" s="16" t="str">
        <f>TRIM("　育和公園")</f>
        <v>育和公園</v>
      </c>
      <c r="C4644" s="14" t="s">
        <v>1514</v>
      </c>
      <c r="D4644" s="14" t="s">
        <v>998</v>
      </c>
      <c r="E4644" s="1">
        <v>4191.72</v>
      </c>
      <c r="F4644" s="2"/>
      <c r="G4644" s="1"/>
      <c r="H4644" s="3"/>
      <c r="I4644" s="14" t="s">
        <v>2177</v>
      </c>
    </row>
    <row r="4645" spans="1:9" ht="18.75" customHeight="1" x14ac:dyDescent="0.4">
      <c r="A4645" s="14" t="s">
        <v>3532</v>
      </c>
      <c r="B4645" s="16" t="str">
        <f>TRIM("　育和公園")</f>
        <v>育和公園</v>
      </c>
      <c r="C4645" s="14" t="s">
        <v>1514</v>
      </c>
      <c r="D4645" s="14" t="s">
        <v>998</v>
      </c>
      <c r="E4645" s="1"/>
      <c r="F4645" s="2"/>
      <c r="G4645" s="1">
        <v>19.2</v>
      </c>
      <c r="H4645" s="3"/>
      <c r="I4645" s="14" t="s">
        <v>2177</v>
      </c>
    </row>
    <row r="4646" spans="1:9" ht="18.75" customHeight="1" x14ac:dyDescent="0.4">
      <c r="A4646" s="14" t="s">
        <v>2670</v>
      </c>
      <c r="B4646" s="16" t="str">
        <f>TRIM("　桑津北公園")</f>
        <v>桑津北公園</v>
      </c>
      <c r="C4646" s="14" t="s">
        <v>1514</v>
      </c>
      <c r="D4646" s="14" t="s">
        <v>1033</v>
      </c>
      <c r="E4646" s="1">
        <v>1695.86</v>
      </c>
      <c r="F4646" s="2"/>
      <c r="G4646" s="1"/>
      <c r="H4646" s="3"/>
      <c r="I4646" s="14" t="s">
        <v>2177</v>
      </c>
    </row>
    <row r="4647" spans="1:9" ht="18.75" customHeight="1" x14ac:dyDescent="0.4">
      <c r="A4647" s="14" t="s">
        <v>2668</v>
      </c>
      <c r="B4647" s="16" t="str">
        <f>TRIM("　桑津公園")</f>
        <v>桑津公園</v>
      </c>
      <c r="C4647" s="14" t="s">
        <v>1514</v>
      </c>
      <c r="D4647" s="14" t="s">
        <v>966</v>
      </c>
      <c r="E4647" s="1">
        <v>1871.07</v>
      </c>
      <c r="F4647" s="2"/>
      <c r="G4647" s="1"/>
      <c r="H4647" s="3"/>
      <c r="I4647" s="14" t="s">
        <v>2177</v>
      </c>
    </row>
    <row r="4648" spans="1:9" ht="18.75" customHeight="1" x14ac:dyDescent="0.4">
      <c r="A4648" s="14" t="s">
        <v>2669</v>
      </c>
      <c r="B4648" s="16" t="str">
        <f>TRIM("　桑津東公園")</f>
        <v>桑津東公園</v>
      </c>
      <c r="C4648" s="14" t="s">
        <v>1514</v>
      </c>
      <c r="D4648" s="14" t="s">
        <v>1032</v>
      </c>
      <c r="E4648" s="1">
        <v>1709.09</v>
      </c>
      <c r="F4648" s="2"/>
      <c r="G4648" s="1"/>
      <c r="H4648" s="3"/>
      <c r="I4648" s="14" t="s">
        <v>2177</v>
      </c>
    </row>
    <row r="4649" spans="1:9" ht="18.75" customHeight="1" x14ac:dyDescent="0.4">
      <c r="A4649" s="14" t="s">
        <v>2015</v>
      </c>
      <c r="B4649" s="16" t="str">
        <f>TRIM("桑津会館（もと桑津老人憩の家）")</f>
        <v>桑津会館（もと桑津老人憩の家）</v>
      </c>
      <c r="C4649" s="14" t="s">
        <v>1514</v>
      </c>
      <c r="D4649" s="14" t="s">
        <v>1391</v>
      </c>
      <c r="E4649" s="1">
        <v>612.64</v>
      </c>
      <c r="F4649" s="2"/>
      <c r="G4649" s="1">
        <v>192.27</v>
      </c>
      <c r="H4649" s="3"/>
      <c r="I4649" s="14" t="s">
        <v>1782</v>
      </c>
    </row>
    <row r="4650" spans="1:9" ht="18.75" customHeight="1" x14ac:dyDescent="0.4">
      <c r="A4650" s="14" t="s">
        <v>4790</v>
      </c>
      <c r="B4650" s="16" t="str">
        <f>TRIM("桑津小学校")</f>
        <v>桑津小学校</v>
      </c>
      <c r="C4650" s="14" t="s">
        <v>1514</v>
      </c>
      <c r="D4650" s="14" t="s">
        <v>1391</v>
      </c>
      <c r="E4650" s="1">
        <v>11700.37</v>
      </c>
      <c r="F4650" s="2"/>
      <c r="G4650" s="1">
        <v>6552.61</v>
      </c>
      <c r="H4650" s="3"/>
      <c r="I4650" s="14" t="s">
        <v>4689</v>
      </c>
    </row>
    <row r="4651" spans="1:9" ht="18.75" customHeight="1" x14ac:dyDescent="0.4">
      <c r="A4651" s="14" t="s">
        <v>5019</v>
      </c>
      <c r="B4651" s="16" t="str">
        <f>TRIM("東住吉中学校")</f>
        <v>東住吉中学校</v>
      </c>
      <c r="C4651" s="14" t="s">
        <v>1514</v>
      </c>
      <c r="D4651" s="14" t="s">
        <v>1391</v>
      </c>
      <c r="E4651" s="1">
        <v>9921.8700000000008</v>
      </c>
      <c r="F4651" s="2"/>
      <c r="G4651" s="1">
        <v>8617.74</v>
      </c>
      <c r="H4651" s="3"/>
      <c r="I4651" s="14" t="s">
        <v>4689</v>
      </c>
    </row>
    <row r="4652" spans="1:9" ht="18.75" customHeight="1" x14ac:dyDescent="0.4">
      <c r="A4652" s="14" t="s">
        <v>4629</v>
      </c>
      <c r="B4652" s="16" t="str">
        <f>TRIM("桑津会館")</f>
        <v>桑津会館</v>
      </c>
      <c r="C4652" s="14" t="s">
        <v>1514</v>
      </c>
      <c r="D4652" s="14" t="s">
        <v>1391</v>
      </c>
      <c r="E4652" s="1"/>
      <c r="F4652" s="2"/>
      <c r="G4652" s="1">
        <v>220.29</v>
      </c>
      <c r="H4652" s="3"/>
      <c r="I4652" s="14" t="s">
        <v>1782</v>
      </c>
    </row>
    <row r="4653" spans="1:9" ht="18.75" customHeight="1" x14ac:dyDescent="0.4">
      <c r="A4653" s="14" t="s">
        <v>4641</v>
      </c>
      <c r="B4653" s="16" t="str">
        <f>TRIM("東住吉区北部地域災害時物資供給拠点")</f>
        <v>東住吉区北部地域災害時物資供給拠点</v>
      </c>
      <c r="C4653" s="14" t="s">
        <v>1514</v>
      </c>
      <c r="D4653" s="14" t="s">
        <v>1391</v>
      </c>
      <c r="E4653" s="1">
        <v>159.44</v>
      </c>
      <c r="F4653" s="2"/>
      <c r="G4653" s="1"/>
      <c r="H4653" s="3"/>
      <c r="I4653" s="14" t="s">
        <v>1782</v>
      </c>
    </row>
    <row r="4654" spans="1:9" ht="18.75" customHeight="1" x14ac:dyDescent="0.4">
      <c r="A4654" s="14" t="s">
        <v>6765</v>
      </c>
      <c r="B4654" s="16" t="str">
        <f>TRIM("矢田部住宅")</f>
        <v>矢田部住宅</v>
      </c>
      <c r="C4654" s="14" t="s">
        <v>1514</v>
      </c>
      <c r="D4654" s="14" t="s">
        <v>866</v>
      </c>
      <c r="E4654" s="1">
        <v>42146.38</v>
      </c>
      <c r="F4654" s="2"/>
      <c r="G4654" s="1">
        <v>61418.41</v>
      </c>
      <c r="H4654" s="3"/>
      <c r="I4654" s="14" t="s">
        <v>6177</v>
      </c>
    </row>
    <row r="4655" spans="1:9" ht="18.75" customHeight="1" x14ac:dyDescent="0.4">
      <c r="A4655" s="14" t="s">
        <v>5127</v>
      </c>
      <c r="B4655" s="16" t="str">
        <f>TRIM("矢田西小学校")</f>
        <v>矢田西小学校</v>
      </c>
      <c r="C4655" s="14" t="s">
        <v>1514</v>
      </c>
      <c r="D4655" s="14" t="s">
        <v>606</v>
      </c>
      <c r="E4655" s="1">
        <v>14619.08</v>
      </c>
      <c r="F4655" s="2"/>
      <c r="G4655" s="1">
        <v>7439.63</v>
      </c>
      <c r="H4655" s="3"/>
      <c r="I4655" s="14" t="s">
        <v>4689</v>
      </c>
    </row>
    <row r="4656" spans="1:9" ht="18.75" customHeight="1" x14ac:dyDescent="0.4">
      <c r="A4656" s="14" t="s">
        <v>5128</v>
      </c>
      <c r="B4656" s="16" t="str">
        <f>TRIM("矢田西中学校")</f>
        <v>矢田西中学校</v>
      </c>
      <c r="C4656" s="14" t="s">
        <v>1514</v>
      </c>
      <c r="D4656" s="14" t="s">
        <v>606</v>
      </c>
      <c r="E4656" s="1">
        <v>14876.86</v>
      </c>
      <c r="F4656" s="2"/>
      <c r="G4656" s="1">
        <v>7272</v>
      </c>
      <c r="H4656" s="3"/>
      <c r="I4656" s="14" t="s">
        <v>4689</v>
      </c>
    </row>
    <row r="4657" spans="1:9" ht="18.75" customHeight="1" x14ac:dyDescent="0.4">
      <c r="A4657" s="14" t="s">
        <v>2690</v>
      </c>
      <c r="B4657" s="16" t="str">
        <f>TRIM("　公園南小公園")</f>
        <v>公園南小公園</v>
      </c>
      <c r="C4657" s="14" t="s">
        <v>1514</v>
      </c>
      <c r="D4657" s="14" t="s">
        <v>606</v>
      </c>
      <c r="E4657" s="1">
        <v>1500</v>
      </c>
      <c r="F4657" s="2"/>
      <c r="G4657" s="1"/>
      <c r="H4657" s="3"/>
      <c r="I4657" s="14" t="s">
        <v>2177</v>
      </c>
    </row>
    <row r="4658" spans="1:9" ht="18.75" customHeight="1" x14ac:dyDescent="0.4">
      <c r="A4658" s="14" t="s">
        <v>3358</v>
      </c>
      <c r="B4658" s="16" t="str">
        <f>TRIM("　矢田西公園")</f>
        <v>矢田西公園</v>
      </c>
      <c r="C4658" s="14" t="s">
        <v>1514</v>
      </c>
      <c r="D4658" s="14" t="s">
        <v>670</v>
      </c>
      <c r="E4658" s="1">
        <v>991</v>
      </c>
      <c r="F4658" s="2"/>
      <c r="G4658" s="1"/>
      <c r="H4658" s="3"/>
      <c r="I4658" s="14" t="s">
        <v>2177</v>
      </c>
    </row>
    <row r="4659" spans="1:9" ht="18.75" customHeight="1" x14ac:dyDescent="0.4">
      <c r="A4659" s="14" t="s">
        <v>4634</v>
      </c>
      <c r="B4659" s="16" t="str">
        <f>TRIM("東住吉区南部文化コミュニティセンター")</f>
        <v>東住吉区南部文化コミュニティセンター</v>
      </c>
      <c r="C4659" s="14" t="s">
        <v>1514</v>
      </c>
      <c r="D4659" s="14" t="s">
        <v>670</v>
      </c>
      <c r="E4659" s="1">
        <v>957.18</v>
      </c>
      <c r="F4659" s="2"/>
      <c r="G4659" s="1"/>
      <c r="H4659" s="3"/>
      <c r="I4659" s="14" t="s">
        <v>1782</v>
      </c>
    </row>
    <row r="4660" spans="1:9" ht="18.75" customHeight="1" x14ac:dyDescent="0.4">
      <c r="A4660" s="14" t="s">
        <v>6170</v>
      </c>
      <c r="B4660" s="16" t="str">
        <f>TRIM("矢田富田町墓地")</f>
        <v>矢田富田町墓地</v>
      </c>
      <c r="C4660" s="14" t="s">
        <v>1514</v>
      </c>
      <c r="D4660" s="14" t="s">
        <v>670</v>
      </c>
      <c r="E4660" s="1">
        <v>2201.64</v>
      </c>
      <c r="F4660" s="2"/>
      <c r="G4660" s="1"/>
      <c r="H4660" s="3"/>
      <c r="I4660" s="14" t="s">
        <v>5977</v>
      </c>
    </row>
    <row r="4661" spans="1:9" ht="18.75" customHeight="1" x14ac:dyDescent="0.4">
      <c r="A4661" s="14" t="s">
        <v>6171</v>
      </c>
      <c r="B4661" s="16" t="str">
        <f>TRIM("矢田霊園")</f>
        <v>矢田霊園</v>
      </c>
      <c r="C4661" s="14" t="s">
        <v>1514</v>
      </c>
      <c r="D4661" s="14" t="s">
        <v>670</v>
      </c>
      <c r="E4661" s="1">
        <v>344.33</v>
      </c>
      <c r="F4661" s="2"/>
      <c r="G4661" s="1"/>
      <c r="H4661" s="3"/>
      <c r="I4661" s="14" t="s">
        <v>5977</v>
      </c>
    </row>
    <row r="4662" spans="1:9" ht="18.75" customHeight="1" x14ac:dyDescent="0.4">
      <c r="A4662" s="14" t="s">
        <v>6363</v>
      </c>
      <c r="B4662" s="16" t="str">
        <f>TRIM("公園南矢田住宅")</f>
        <v>公園南矢田住宅</v>
      </c>
      <c r="C4662" s="14" t="s">
        <v>1514</v>
      </c>
      <c r="D4662" s="14" t="s">
        <v>81</v>
      </c>
      <c r="E4662" s="1">
        <v>3678.2</v>
      </c>
      <c r="F4662" s="2"/>
      <c r="G4662" s="1">
        <v>3609.01</v>
      </c>
      <c r="H4662" s="3"/>
      <c r="I4662" s="14" t="s">
        <v>6177</v>
      </c>
    </row>
    <row r="4663" spans="1:9" ht="18.75" customHeight="1" x14ac:dyDescent="0.4">
      <c r="A4663" s="14" t="s">
        <v>7125</v>
      </c>
      <c r="B4663" s="16" t="str">
        <f>TRIM("東住吉スポーツセンター")</f>
        <v>東住吉スポーツセンター</v>
      </c>
      <c r="C4663" s="14" t="s">
        <v>1514</v>
      </c>
      <c r="D4663" s="14" t="s">
        <v>81</v>
      </c>
      <c r="E4663" s="1">
        <v>4468</v>
      </c>
      <c r="F4663" s="2"/>
      <c r="G4663" s="1">
        <v>3587</v>
      </c>
      <c r="H4663" s="3"/>
      <c r="I4663" s="14" t="s">
        <v>4115</v>
      </c>
    </row>
    <row r="4664" spans="1:9" ht="18.75" customHeight="1" x14ac:dyDescent="0.4">
      <c r="A4664" s="14" t="s">
        <v>1971</v>
      </c>
      <c r="B4664" s="16" t="str">
        <f>TRIM("矢田西地域在宅サービスステーション")</f>
        <v>矢田西地域在宅サービスステーション</v>
      </c>
      <c r="C4664" s="14" t="s">
        <v>1514</v>
      </c>
      <c r="D4664" s="14" t="s">
        <v>81</v>
      </c>
      <c r="E4664" s="1">
        <v>605.89</v>
      </c>
      <c r="F4664" s="2"/>
      <c r="G4664" s="1"/>
      <c r="H4664" s="3"/>
      <c r="I4664" s="14" t="s">
        <v>1654</v>
      </c>
    </row>
    <row r="4665" spans="1:9" ht="18.75" customHeight="1" x14ac:dyDescent="0.4">
      <c r="A4665" s="14" t="s">
        <v>2229</v>
      </c>
      <c r="B4665" s="16" t="str">
        <f>TRIM("住吉八尾線（東住吉）（管財課）")</f>
        <v>住吉八尾線（東住吉）（管財課）</v>
      </c>
      <c r="C4665" s="14" t="s">
        <v>1514</v>
      </c>
      <c r="D4665" s="14" t="s">
        <v>81</v>
      </c>
      <c r="E4665" s="1">
        <v>609.66999999999996</v>
      </c>
      <c r="F4665" s="2"/>
      <c r="G4665" s="1"/>
      <c r="H4665" s="3"/>
      <c r="I4665" s="14" t="s">
        <v>2177</v>
      </c>
    </row>
    <row r="4666" spans="1:9" ht="18.75" customHeight="1" x14ac:dyDescent="0.4">
      <c r="A4666" s="14" t="s">
        <v>2419</v>
      </c>
      <c r="B4666" s="16" t="str">
        <f>TRIM("住吉八尾線（東住吉）（道路課）")</f>
        <v>住吉八尾線（東住吉）（道路課）</v>
      </c>
      <c r="C4666" s="14" t="s">
        <v>1514</v>
      </c>
      <c r="D4666" s="14" t="s">
        <v>81</v>
      </c>
      <c r="E4666" s="1">
        <v>43.14</v>
      </c>
      <c r="F4666" s="2"/>
      <c r="G4666" s="1"/>
      <c r="H4666" s="3"/>
      <c r="I4666" s="14" t="s">
        <v>2177</v>
      </c>
    </row>
    <row r="4667" spans="1:9" ht="18.75" customHeight="1" x14ac:dyDescent="0.4">
      <c r="A4667" s="14" t="s">
        <v>2676</v>
      </c>
      <c r="B4667" s="16" t="str">
        <f>TRIM("　枯木町公園")</f>
        <v>枯木町公園</v>
      </c>
      <c r="C4667" s="14" t="s">
        <v>1514</v>
      </c>
      <c r="D4667" s="14" t="s">
        <v>81</v>
      </c>
      <c r="E4667" s="1">
        <v>3281.91</v>
      </c>
      <c r="F4667" s="2"/>
      <c r="G4667" s="1"/>
      <c r="H4667" s="3"/>
      <c r="I4667" s="14" t="s">
        <v>2177</v>
      </c>
    </row>
    <row r="4668" spans="1:9" ht="18.75" customHeight="1" x14ac:dyDescent="0.4">
      <c r="A4668" s="14" t="s">
        <v>4628</v>
      </c>
      <c r="B4668" s="16" t="str">
        <f>TRIM("駒川文化センター")</f>
        <v>駒川文化センター</v>
      </c>
      <c r="C4668" s="14" t="s">
        <v>1514</v>
      </c>
      <c r="D4668" s="14" t="s">
        <v>1505</v>
      </c>
      <c r="E4668" s="1"/>
      <c r="F4668" s="2"/>
      <c r="G4668" s="1">
        <v>198.1</v>
      </c>
      <c r="H4668" s="3"/>
      <c r="I4668" s="14" t="s">
        <v>1782</v>
      </c>
    </row>
    <row r="4669" spans="1:9" ht="18.75" customHeight="1" x14ac:dyDescent="0.4">
      <c r="A4669" s="14" t="s">
        <v>2666</v>
      </c>
      <c r="B4669" s="16" t="str">
        <f>TRIM("　駒川北公園")</f>
        <v>駒川北公園</v>
      </c>
      <c r="C4669" s="14" t="s">
        <v>1514</v>
      </c>
      <c r="D4669" s="14" t="s">
        <v>1031</v>
      </c>
      <c r="E4669" s="1">
        <v>1821.48</v>
      </c>
      <c r="F4669" s="2"/>
      <c r="G4669" s="1"/>
      <c r="H4669" s="3"/>
      <c r="I4669" s="14" t="s">
        <v>2177</v>
      </c>
    </row>
    <row r="4670" spans="1:9" ht="18.75" customHeight="1" x14ac:dyDescent="0.4">
      <c r="A4670" s="14" t="s">
        <v>2665</v>
      </c>
      <c r="B4670" s="16" t="str">
        <f>TRIM("　駒川公園")</f>
        <v>駒川公園</v>
      </c>
      <c r="C4670" s="14" t="s">
        <v>1514</v>
      </c>
      <c r="D4670" s="14" t="s">
        <v>1030</v>
      </c>
      <c r="E4670" s="1">
        <v>5108.67</v>
      </c>
      <c r="F4670" s="2"/>
      <c r="G4670" s="1"/>
      <c r="H4670" s="3"/>
      <c r="I4670" s="14" t="s">
        <v>2177</v>
      </c>
    </row>
    <row r="4671" spans="1:9" ht="18.75" customHeight="1" x14ac:dyDescent="0.4">
      <c r="A4671" s="14" t="s">
        <v>2190</v>
      </c>
      <c r="B4671" s="16" t="str">
        <f>TRIM("廃道（東住吉）")</f>
        <v>廃道（東住吉）</v>
      </c>
      <c r="C4671" s="14" t="s">
        <v>1514</v>
      </c>
      <c r="D4671" s="14" t="s">
        <v>905</v>
      </c>
      <c r="E4671" s="1">
        <v>12.3</v>
      </c>
      <c r="F4671" s="2">
        <v>2149</v>
      </c>
      <c r="G4671" s="1"/>
      <c r="H4671" s="3"/>
      <c r="I4671" s="14" t="s">
        <v>2177</v>
      </c>
    </row>
    <row r="4672" spans="1:9" ht="18.75" customHeight="1" x14ac:dyDescent="0.4">
      <c r="A4672" s="14" t="s">
        <v>2418</v>
      </c>
      <c r="B4672" s="16" t="str">
        <f>TRIM("廃道（東住吉）")</f>
        <v>廃道（東住吉）</v>
      </c>
      <c r="C4672" s="14" t="s">
        <v>1514</v>
      </c>
      <c r="D4672" s="14" t="s">
        <v>905</v>
      </c>
      <c r="E4672" s="1">
        <v>27.55</v>
      </c>
      <c r="F4672" s="2">
        <v>2149</v>
      </c>
      <c r="G4672" s="1"/>
      <c r="H4672" s="3"/>
      <c r="I4672" s="14" t="s">
        <v>2177</v>
      </c>
    </row>
    <row r="4673" spans="1:9" ht="18.75" customHeight="1" x14ac:dyDescent="0.4">
      <c r="A4673" s="14" t="s">
        <v>3122</v>
      </c>
      <c r="B4673" s="16" t="str">
        <f>TRIM("　田辺公園")</f>
        <v>田辺公園</v>
      </c>
      <c r="C4673" s="14" t="s">
        <v>1514</v>
      </c>
      <c r="D4673" s="14" t="s">
        <v>905</v>
      </c>
      <c r="E4673" s="1">
        <v>1120.52</v>
      </c>
      <c r="F4673" s="2"/>
      <c r="G4673" s="1"/>
      <c r="H4673" s="3"/>
      <c r="I4673" s="14" t="s">
        <v>2177</v>
      </c>
    </row>
    <row r="4674" spans="1:9" ht="18.75" customHeight="1" x14ac:dyDescent="0.4">
      <c r="A4674" s="14" t="s">
        <v>3805</v>
      </c>
      <c r="B4674" s="16" t="str">
        <f>TRIM("駒川中野駅自転車駐車場管理事務所")</f>
        <v>駒川中野駅自転車駐車場管理事務所</v>
      </c>
      <c r="C4674" s="14" t="s">
        <v>1514</v>
      </c>
      <c r="D4674" s="14" t="s">
        <v>905</v>
      </c>
      <c r="E4674" s="1"/>
      <c r="F4674" s="2"/>
      <c r="G4674" s="1">
        <v>12.56</v>
      </c>
      <c r="H4674" s="3"/>
      <c r="I4674" s="14" t="s">
        <v>2177</v>
      </c>
    </row>
    <row r="4675" spans="1:9" ht="18.75" customHeight="1" x14ac:dyDescent="0.4">
      <c r="A4675" s="14" t="s">
        <v>3860</v>
      </c>
      <c r="B4675" s="16" t="str">
        <f>TRIM("針中野駅自転車駐車場管理ボックス")</f>
        <v>針中野駅自転車駐車場管理ボックス</v>
      </c>
      <c r="C4675" s="14" t="s">
        <v>1514</v>
      </c>
      <c r="D4675" s="14" t="s">
        <v>1492</v>
      </c>
      <c r="E4675" s="1"/>
      <c r="F4675" s="2"/>
      <c r="G4675" s="1">
        <v>12.56</v>
      </c>
      <c r="H4675" s="3"/>
      <c r="I4675" s="14" t="s">
        <v>2177</v>
      </c>
    </row>
    <row r="4676" spans="1:9" ht="18.75" customHeight="1" x14ac:dyDescent="0.4">
      <c r="A4676" s="14" t="s">
        <v>6734</v>
      </c>
      <c r="B4676" s="16" t="str">
        <f>TRIM("上大和川住宅")</f>
        <v>上大和川住宅</v>
      </c>
      <c r="C4676" s="14" t="s">
        <v>1514</v>
      </c>
      <c r="D4676" s="14" t="s">
        <v>121</v>
      </c>
      <c r="E4676" s="1">
        <v>14226.89</v>
      </c>
      <c r="F4676" s="2" t="s">
        <v>7297</v>
      </c>
      <c r="G4676" s="1"/>
      <c r="H4676" s="3"/>
      <c r="I4676" s="14" t="s">
        <v>6177</v>
      </c>
    </row>
    <row r="4677" spans="1:9" ht="18.75" customHeight="1" x14ac:dyDescent="0.4">
      <c r="A4677" s="14" t="s">
        <v>3356</v>
      </c>
      <c r="B4677" s="16" t="str">
        <f>TRIM("　矢田公園")</f>
        <v>矢田公園</v>
      </c>
      <c r="C4677" s="14" t="s">
        <v>1514</v>
      </c>
      <c r="D4677" s="14" t="s">
        <v>121</v>
      </c>
      <c r="E4677" s="1">
        <v>8518.9500000000007</v>
      </c>
      <c r="F4677" s="2"/>
      <c r="G4677" s="1"/>
      <c r="H4677" s="3"/>
      <c r="I4677" s="14" t="s">
        <v>2177</v>
      </c>
    </row>
    <row r="4678" spans="1:9" ht="18.75" customHeight="1" x14ac:dyDescent="0.4">
      <c r="A4678" s="14" t="s">
        <v>3686</v>
      </c>
      <c r="B4678" s="16" t="str">
        <f>TRIM("　矢田公園")</f>
        <v>矢田公園</v>
      </c>
      <c r="C4678" s="14" t="s">
        <v>1514</v>
      </c>
      <c r="D4678" s="14" t="s">
        <v>121</v>
      </c>
      <c r="E4678" s="1"/>
      <c r="F4678" s="2"/>
      <c r="G4678" s="1">
        <v>13.43</v>
      </c>
      <c r="H4678" s="3"/>
      <c r="I4678" s="14" t="s">
        <v>2177</v>
      </c>
    </row>
    <row r="4679" spans="1:9" ht="18.75" customHeight="1" x14ac:dyDescent="0.4">
      <c r="A4679" s="14" t="s">
        <v>5356</v>
      </c>
      <c r="B4679" s="16" t="str">
        <f>TRIM("その他の土地（東住吉）")</f>
        <v>その他の土地（東住吉）</v>
      </c>
      <c r="C4679" s="14" t="s">
        <v>1514</v>
      </c>
      <c r="D4679" s="14" t="s">
        <v>121</v>
      </c>
      <c r="E4679" s="1">
        <v>111.28</v>
      </c>
      <c r="F4679" s="2"/>
      <c r="G4679" s="1"/>
      <c r="H4679" s="3"/>
      <c r="I4679" s="14" t="s">
        <v>5349</v>
      </c>
    </row>
    <row r="4680" spans="1:9" ht="18.75" customHeight="1" x14ac:dyDescent="0.4">
      <c r="A4680" s="14" t="s">
        <v>5422</v>
      </c>
      <c r="B4680" s="16" t="str">
        <f>TRIM("もと東住吉消防署矢田出張所")</f>
        <v>もと東住吉消防署矢田出張所</v>
      </c>
      <c r="C4680" s="14" t="s">
        <v>1514</v>
      </c>
      <c r="D4680" s="14" t="s">
        <v>121</v>
      </c>
      <c r="E4680" s="1">
        <v>58.03</v>
      </c>
      <c r="F4680" s="2"/>
      <c r="G4680" s="1"/>
      <c r="H4680" s="3"/>
      <c r="I4680" s="14" t="s">
        <v>5349</v>
      </c>
    </row>
    <row r="4681" spans="1:9" ht="18.75" customHeight="1" x14ac:dyDescent="0.4">
      <c r="A4681" s="14" t="s">
        <v>5131</v>
      </c>
      <c r="B4681" s="16" t="str">
        <f>TRIM("矢田東小学校")</f>
        <v>矢田東小学校</v>
      </c>
      <c r="C4681" s="14" t="s">
        <v>1514</v>
      </c>
      <c r="D4681" s="14" t="s">
        <v>481</v>
      </c>
      <c r="E4681" s="1">
        <v>12493.92</v>
      </c>
      <c r="F4681" s="2"/>
      <c r="G4681" s="1">
        <v>7440.05</v>
      </c>
      <c r="H4681" s="3"/>
      <c r="I4681" s="14" t="s">
        <v>4689</v>
      </c>
    </row>
    <row r="4682" spans="1:9" ht="18.75" customHeight="1" x14ac:dyDescent="0.4">
      <c r="A4682" s="14" t="s">
        <v>5639</v>
      </c>
      <c r="B4682" s="16" t="str">
        <f>TRIM("もと矢田第2保育所")</f>
        <v>もと矢田第2保育所</v>
      </c>
      <c r="C4682" s="14" t="s">
        <v>1514</v>
      </c>
      <c r="D4682" s="14" t="s">
        <v>481</v>
      </c>
      <c r="E4682" s="1">
        <v>819.85</v>
      </c>
      <c r="F4682" s="2"/>
      <c r="G4682" s="1">
        <v>378.81</v>
      </c>
      <c r="H4682" s="3" t="s">
        <v>7353</v>
      </c>
      <c r="I4682" s="14" t="s">
        <v>5617</v>
      </c>
    </row>
    <row r="4683" spans="1:9" ht="18.75" customHeight="1" x14ac:dyDescent="0.4">
      <c r="A4683" s="14" t="s">
        <v>3361</v>
      </c>
      <c r="B4683" s="16" t="str">
        <f>TRIM("　矢田東公園")</f>
        <v>矢田東公園</v>
      </c>
      <c r="C4683" s="14" t="s">
        <v>1514</v>
      </c>
      <c r="D4683" s="14" t="s">
        <v>481</v>
      </c>
      <c r="E4683" s="1">
        <v>961.98</v>
      </c>
      <c r="F4683" s="2"/>
      <c r="G4683" s="1"/>
      <c r="H4683" s="3"/>
      <c r="I4683" s="14" t="s">
        <v>2177</v>
      </c>
    </row>
    <row r="4684" spans="1:9" ht="18.75" customHeight="1" x14ac:dyDescent="0.4">
      <c r="A4684" s="14" t="s">
        <v>7087</v>
      </c>
      <c r="B4684" s="16" t="str">
        <f>TRIM("もと産業用共同施設")</f>
        <v>もと産業用共同施設</v>
      </c>
      <c r="C4684" s="14" t="s">
        <v>1514</v>
      </c>
      <c r="D4684" s="14" t="s">
        <v>68</v>
      </c>
      <c r="E4684" s="1">
        <v>1426.47</v>
      </c>
      <c r="F4684" s="2">
        <v>660</v>
      </c>
      <c r="G4684" s="1"/>
      <c r="H4684" s="3"/>
      <c r="I4684" s="14" t="s">
        <v>4115</v>
      </c>
    </row>
    <row r="4685" spans="1:9" ht="18.75" customHeight="1" x14ac:dyDescent="0.4">
      <c r="A4685" s="14" t="s">
        <v>6777</v>
      </c>
      <c r="B4685" s="16" t="str">
        <f>TRIM("住道矢田住宅")</f>
        <v>住道矢田住宅</v>
      </c>
      <c r="C4685" s="14" t="s">
        <v>1514</v>
      </c>
      <c r="D4685" s="14" t="s">
        <v>68</v>
      </c>
      <c r="E4685" s="1">
        <v>11899.08</v>
      </c>
      <c r="F4685" s="2">
        <v>2089</v>
      </c>
      <c r="G4685" s="1">
        <v>7759.43</v>
      </c>
      <c r="H4685" s="3"/>
      <c r="I4685" s="14" t="s">
        <v>6177</v>
      </c>
    </row>
    <row r="4686" spans="1:9" ht="18.75" customHeight="1" x14ac:dyDescent="0.4">
      <c r="A4686" s="14" t="s">
        <v>6242</v>
      </c>
      <c r="B4686" s="16" t="str">
        <f>TRIM("矢田住道住宅")</f>
        <v>矢田住道住宅</v>
      </c>
      <c r="C4686" s="14" t="s">
        <v>1514</v>
      </c>
      <c r="D4686" s="14" t="s">
        <v>68</v>
      </c>
      <c r="E4686" s="1">
        <v>5340.08</v>
      </c>
      <c r="F4686" s="2" t="s">
        <v>7302</v>
      </c>
      <c r="G4686" s="1"/>
      <c r="H4686" s="3"/>
      <c r="I4686" s="14" t="s">
        <v>6177</v>
      </c>
    </row>
    <row r="4687" spans="1:9" ht="18.75" customHeight="1" x14ac:dyDescent="0.4">
      <c r="A4687" s="14" t="s">
        <v>6686</v>
      </c>
      <c r="B4687" s="16" t="str">
        <f>TRIM("矢田住道第2住宅")</f>
        <v>矢田住道第2住宅</v>
      </c>
      <c r="C4687" s="14" t="s">
        <v>1514</v>
      </c>
      <c r="D4687" s="14" t="s">
        <v>68</v>
      </c>
      <c r="E4687" s="1">
        <v>3479.82</v>
      </c>
      <c r="F4687" s="2"/>
      <c r="G4687" s="1">
        <v>2560.23</v>
      </c>
      <c r="H4687" s="3"/>
      <c r="I4687" s="14" t="s">
        <v>6177</v>
      </c>
    </row>
    <row r="4688" spans="1:9" ht="18.75" customHeight="1" x14ac:dyDescent="0.4">
      <c r="A4688" s="14" t="s">
        <v>5129</v>
      </c>
      <c r="B4688" s="16" t="str">
        <f>TRIM("矢田第5小学校代替地")</f>
        <v>矢田第5小学校代替地</v>
      </c>
      <c r="C4688" s="14" t="s">
        <v>1514</v>
      </c>
      <c r="D4688" s="14" t="s">
        <v>68</v>
      </c>
      <c r="E4688" s="1">
        <v>7539.74</v>
      </c>
      <c r="F4688" s="2"/>
      <c r="G4688" s="1"/>
      <c r="H4688" s="3"/>
      <c r="I4688" s="14" t="s">
        <v>4689</v>
      </c>
    </row>
    <row r="4689" spans="1:9" ht="18.75" customHeight="1" x14ac:dyDescent="0.4">
      <c r="A4689" s="14" t="s">
        <v>2224</v>
      </c>
      <c r="B4689" s="16" t="str">
        <f>TRIM("国道４７９号（東住吉）（管財課）")</f>
        <v>国道４７９号（東住吉）（管財課）</v>
      </c>
      <c r="C4689" s="14" t="s">
        <v>1514</v>
      </c>
      <c r="D4689" s="14" t="s">
        <v>917</v>
      </c>
      <c r="E4689" s="1">
        <v>19256.28</v>
      </c>
      <c r="F4689" s="2"/>
      <c r="G4689" s="1"/>
      <c r="H4689" s="3"/>
      <c r="I4689" s="14" t="s">
        <v>2177</v>
      </c>
    </row>
    <row r="4690" spans="1:9" ht="18.75" customHeight="1" x14ac:dyDescent="0.4">
      <c r="A4690" s="14" t="s">
        <v>3354</v>
      </c>
      <c r="B4690" s="16" t="str">
        <f>TRIM("　矢田河原田公園")</f>
        <v>矢田河原田公園</v>
      </c>
      <c r="C4690" s="14" t="s">
        <v>1514</v>
      </c>
      <c r="D4690" s="14" t="s">
        <v>1259</v>
      </c>
      <c r="E4690" s="1">
        <v>942</v>
      </c>
      <c r="F4690" s="2"/>
      <c r="G4690" s="1"/>
      <c r="H4690" s="3"/>
      <c r="I4690" s="14" t="s">
        <v>2177</v>
      </c>
    </row>
    <row r="4691" spans="1:9" ht="18.75" customHeight="1" x14ac:dyDescent="0.4">
      <c r="A4691" s="14" t="s">
        <v>5130</v>
      </c>
      <c r="B4691" s="16" t="str">
        <f>TRIM("矢田中学校")</f>
        <v>矢田中学校</v>
      </c>
      <c r="C4691" s="14" t="s">
        <v>1514</v>
      </c>
      <c r="D4691" s="14" t="s">
        <v>1281</v>
      </c>
      <c r="E4691" s="1">
        <v>19094.77</v>
      </c>
      <c r="F4691" s="2"/>
      <c r="G4691" s="1">
        <v>9201.7099999999991</v>
      </c>
      <c r="H4691" s="3"/>
      <c r="I4691" s="14" t="s">
        <v>4689</v>
      </c>
    </row>
    <row r="4692" spans="1:9" ht="18.75" customHeight="1" x14ac:dyDescent="0.4">
      <c r="A4692" s="14" t="s">
        <v>2158</v>
      </c>
      <c r="B4692" s="16" t="str">
        <f>TRIM("住道矢田福祉会館（もと矢田東老人憩の家）")</f>
        <v>住道矢田福祉会館（もと矢田東老人憩の家）</v>
      </c>
      <c r="C4692" s="14" t="s">
        <v>1514</v>
      </c>
      <c r="D4692" s="14" t="s">
        <v>1281</v>
      </c>
      <c r="E4692" s="1">
        <v>244.83</v>
      </c>
      <c r="F4692" s="2"/>
      <c r="G4692" s="1"/>
      <c r="H4692" s="3"/>
      <c r="I4692" s="14" t="s">
        <v>1782</v>
      </c>
    </row>
    <row r="4693" spans="1:9" ht="18.75" customHeight="1" x14ac:dyDescent="0.4">
      <c r="A4693" s="14" t="s">
        <v>3438</v>
      </c>
      <c r="B4693" s="16" t="str">
        <f>TRIM("住道南公園")</f>
        <v>住道南公園</v>
      </c>
      <c r="C4693" s="14" t="s">
        <v>1514</v>
      </c>
      <c r="D4693" s="14" t="s">
        <v>1281</v>
      </c>
      <c r="E4693" s="1">
        <v>1203.77</v>
      </c>
      <c r="F4693" s="2"/>
      <c r="G4693" s="1"/>
      <c r="H4693" s="3"/>
      <c r="I4693" s="14" t="s">
        <v>2177</v>
      </c>
    </row>
    <row r="4694" spans="1:9" ht="18.75" customHeight="1" x14ac:dyDescent="0.4">
      <c r="A4694" s="14" t="s">
        <v>5894</v>
      </c>
      <c r="B4694" s="16" t="str">
        <f>TRIM("鷹合保育所")</f>
        <v>鷹合保育所</v>
      </c>
      <c r="C4694" s="14" t="s">
        <v>1514</v>
      </c>
      <c r="D4694" s="14" t="s">
        <v>585</v>
      </c>
      <c r="E4694" s="1">
        <v>991.73</v>
      </c>
      <c r="F4694" s="2"/>
      <c r="G4694" s="1">
        <v>491.1</v>
      </c>
      <c r="H4694" s="3"/>
      <c r="I4694" s="14" t="s">
        <v>5617</v>
      </c>
    </row>
    <row r="4695" spans="1:9" ht="18.75" customHeight="1" x14ac:dyDescent="0.4">
      <c r="A4695" s="14" t="s">
        <v>2779</v>
      </c>
      <c r="B4695" s="16" t="str">
        <f>TRIM("　酒君塚公園")</f>
        <v>酒君塚公園</v>
      </c>
      <c r="C4695" s="14" t="s">
        <v>1514</v>
      </c>
      <c r="D4695" s="14" t="s">
        <v>1072</v>
      </c>
      <c r="E4695" s="1">
        <v>3080.99</v>
      </c>
      <c r="F4695" s="2"/>
      <c r="G4695" s="1"/>
      <c r="H4695" s="3"/>
      <c r="I4695" s="14" t="s">
        <v>2177</v>
      </c>
    </row>
    <row r="4696" spans="1:9" ht="18.75" customHeight="1" x14ac:dyDescent="0.4">
      <c r="A4696" s="14" t="s">
        <v>3861</v>
      </c>
      <c r="B4696" s="16" t="str">
        <f>TRIM("針中野駅自転車駐車場管理事務所")</f>
        <v>針中野駅自転車駐車場管理事務所</v>
      </c>
      <c r="C4696" s="14" t="s">
        <v>1514</v>
      </c>
      <c r="D4696" s="14" t="s">
        <v>1072</v>
      </c>
      <c r="E4696" s="1"/>
      <c r="F4696" s="2"/>
      <c r="G4696" s="1">
        <v>12.56</v>
      </c>
      <c r="H4696" s="3"/>
      <c r="I4696" s="14" t="s">
        <v>2177</v>
      </c>
    </row>
    <row r="4697" spans="1:9" ht="18.75" customHeight="1" x14ac:dyDescent="0.4">
      <c r="A4697" s="14" t="s">
        <v>4951</v>
      </c>
      <c r="B4697" s="16" t="str">
        <f>TRIM("鷹合小学校")</f>
        <v>鷹合小学校</v>
      </c>
      <c r="C4697" s="14" t="s">
        <v>1514</v>
      </c>
      <c r="D4697" s="14" t="s">
        <v>1413</v>
      </c>
      <c r="E4697" s="1">
        <v>10713.18</v>
      </c>
      <c r="F4697" s="2"/>
      <c r="G4697" s="1">
        <v>5408.07</v>
      </c>
      <c r="H4697" s="3"/>
      <c r="I4697" s="14" t="s">
        <v>4689</v>
      </c>
    </row>
    <row r="4698" spans="1:9" ht="18.75" customHeight="1" x14ac:dyDescent="0.4">
      <c r="A4698" s="14" t="s">
        <v>5126</v>
      </c>
      <c r="B4698" s="16" t="str">
        <f>TRIM("矢田小学校分校代替地")</f>
        <v>矢田小学校分校代替地</v>
      </c>
      <c r="C4698" s="14" t="s">
        <v>1514</v>
      </c>
      <c r="D4698" s="14" t="s">
        <v>1413</v>
      </c>
      <c r="E4698" s="1">
        <v>576.38</v>
      </c>
      <c r="F4698" s="2"/>
      <c r="G4698" s="1"/>
      <c r="H4698" s="3"/>
      <c r="I4698" s="14" t="s">
        <v>4689</v>
      </c>
    </row>
    <row r="4699" spans="1:9" ht="18.75" customHeight="1" x14ac:dyDescent="0.4">
      <c r="A4699" s="14" t="s">
        <v>5165</v>
      </c>
      <c r="B4699" s="16" t="str">
        <f>TRIM("もと鷹合学校業務サービスセンター")</f>
        <v>もと鷹合学校業務サービスセンター</v>
      </c>
      <c r="C4699" s="14" t="s">
        <v>1514</v>
      </c>
      <c r="D4699" s="14" t="s">
        <v>1413</v>
      </c>
      <c r="E4699" s="1"/>
      <c r="F4699" s="2"/>
      <c r="G4699" s="1">
        <v>34.86</v>
      </c>
      <c r="H4699" s="3"/>
      <c r="I4699" s="14" t="s">
        <v>4689</v>
      </c>
    </row>
    <row r="4700" spans="1:9" ht="18.75" customHeight="1" x14ac:dyDescent="0.4">
      <c r="A4700" s="14" t="s">
        <v>2081</v>
      </c>
      <c r="B4700" s="16" t="str">
        <f>TRIM("鷹合会館（もと鷹合会館老人憩の家）")</f>
        <v>鷹合会館（もと鷹合会館老人憩の家）</v>
      </c>
      <c r="C4700" s="14" t="s">
        <v>1514</v>
      </c>
      <c r="D4700" s="14" t="s">
        <v>1140</v>
      </c>
      <c r="E4700" s="1">
        <v>175.21</v>
      </c>
      <c r="F4700" s="2"/>
      <c r="G4700" s="1"/>
      <c r="H4700" s="3"/>
      <c r="I4700" s="14" t="s">
        <v>1782</v>
      </c>
    </row>
    <row r="4701" spans="1:9" ht="18.75" customHeight="1" x14ac:dyDescent="0.4">
      <c r="A4701" s="14" t="s">
        <v>3010</v>
      </c>
      <c r="B4701" s="16" t="str">
        <f>TRIM("　鷹合公園")</f>
        <v>鷹合公園</v>
      </c>
      <c r="C4701" s="14" t="s">
        <v>1514</v>
      </c>
      <c r="D4701" s="14" t="s">
        <v>1140</v>
      </c>
      <c r="E4701" s="1">
        <v>3028.09</v>
      </c>
      <c r="F4701" s="2"/>
      <c r="G4701" s="1"/>
      <c r="H4701" s="3"/>
      <c r="I4701" s="14" t="s">
        <v>2177</v>
      </c>
    </row>
    <row r="4702" spans="1:9" ht="18.75" customHeight="1" x14ac:dyDescent="0.4">
      <c r="A4702" s="14" t="s">
        <v>4632</v>
      </c>
      <c r="B4702" s="16" t="str">
        <f>TRIM("田辺中央会館")</f>
        <v>田辺中央会館</v>
      </c>
      <c r="C4702" s="14" t="s">
        <v>1514</v>
      </c>
      <c r="D4702" s="14" t="s">
        <v>1506</v>
      </c>
      <c r="E4702" s="1"/>
      <c r="F4702" s="2"/>
      <c r="G4702" s="1">
        <v>198.1</v>
      </c>
      <c r="H4702" s="3"/>
      <c r="I4702" s="14" t="s">
        <v>1782</v>
      </c>
    </row>
    <row r="4703" spans="1:9" ht="18.75" customHeight="1" x14ac:dyDescent="0.4">
      <c r="A4703" s="14" t="s">
        <v>5009</v>
      </c>
      <c r="B4703" s="16" t="str">
        <f>TRIM("田辺小学校")</f>
        <v>田辺小学校</v>
      </c>
      <c r="C4703" s="14" t="s">
        <v>1514</v>
      </c>
      <c r="D4703" s="14" t="s">
        <v>402</v>
      </c>
      <c r="E4703" s="1">
        <v>10177.15</v>
      </c>
      <c r="F4703" s="2"/>
      <c r="G4703" s="1">
        <v>6856.23</v>
      </c>
      <c r="H4703" s="3"/>
      <c r="I4703" s="14" t="s">
        <v>4689</v>
      </c>
    </row>
    <row r="4704" spans="1:9" ht="18.75" customHeight="1" x14ac:dyDescent="0.4">
      <c r="A4704" s="14" t="s">
        <v>1911</v>
      </c>
      <c r="B4704" s="16" t="str">
        <f>TRIM("東住吉区在宅サービスセンター")</f>
        <v>東住吉区在宅サービスセンター</v>
      </c>
      <c r="C4704" s="14" t="s">
        <v>1514</v>
      </c>
      <c r="D4704" s="14" t="s">
        <v>402</v>
      </c>
      <c r="E4704" s="1">
        <v>490.86</v>
      </c>
      <c r="F4704" s="2"/>
      <c r="G4704" s="1"/>
      <c r="H4704" s="3"/>
      <c r="I4704" s="14" t="s">
        <v>1654</v>
      </c>
    </row>
    <row r="4705" spans="1:9" ht="18.75" customHeight="1" x14ac:dyDescent="0.4">
      <c r="A4705" s="14" t="s">
        <v>3910</v>
      </c>
      <c r="B4705" s="16" t="str">
        <f>TRIM("田辺駅自転車駐車場管理事務所")</f>
        <v>田辺駅自転車駐車場管理事務所</v>
      </c>
      <c r="C4705" s="14" t="s">
        <v>1514</v>
      </c>
      <c r="D4705" s="14" t="s">
        <v>402</v>
      </c>
      <c r="E4705" s="1"/>
      <c r="F4705" s="2"/>
      <c r="G4705" s="1">
        <v>12.96</v>
      </c>
      <c r="H4705" s="3"/>
      <c r="I4705" s="14" t="s">
        <v>2177</v>
      </c>
    </row>
    <row r="4706" spans="1:9" ht="18.75" customHeight="1" x14ac:dyDescent="0.4">
      <c r="A4706" s="14" t="s">
        <v>2109</v>
      </c>
      <c r="B4706" s="16" t="str">
        <f>TRIM("田辺会館（もと田辺老人憩の家）")</f>
        <v>田辺会館（もと田辺老人憩の家）</v>
      </c>
      <c r="C4706" s="14" t="s">
        <v>1514</v>
      </c>
      <c r="D4706" s="14" t="s">
        <v>1183</v>
      </c>
      <c r="E4706" s="1">
        <v>250.33</v>
      </c>
      <c r="F4706" s="2"/>
      <c r="G4706" s="1"/>
      <c r="H4706" s="3"/>
      <c r="I4706" s="14" t="s">
        <v>1782</v>
      </c>
    </row>
    <row r="4707" spans="1:9" ht="18.75" customHeight="1" x14ac:dyDescent="0.4">
      <c r="A4707" s="14" t="s">
        <v>3123</v>
      </c>
      <c r="B4707" s="16" t="str">
        <f>TRIM("　田辺中公園")</f>
        <v>田辺中公園</v>
      </c>
      <c r="C4707" s="14" t="s">
        <v>1514</v>
      </c>
      <c r="D4707" s="14" t="s">
        <v>1183</v>
      </c>
      <c r="E4707" s="1">
        <v>1135.6300000000001</v>
      </c>
      <c r="F4707" s="2"/>
      <c r="G4707" s="1"/>
      <c r="H4707" s="3"/>
      <c r="I4707" s="14" t="s">
        <v>2177</v>
      </c>
    </row>
    <row r="4708" spans="1:9" ht="18.75" customHeight="1" x14ac:dyDescent="0.4">
      <c r="A4708" s="14" t="s">
        <v>4005</v>
      </c>
      <c r="B4708" s="16" t="str">
        <f>TRIM("もと田辺材料置場")</f>
        <v>もと田辺材料置場</v>
      </c>
      <c r="C4708" s="14" t="s">
        <v>1514</v>
      </c>
      <c r="D4708" s="14" t="s">
        <v>1183</v>
      </c>
      <c r="E4708" s="1">
        <v>38.380000000000003</v>
      </c>
      <c r="F4708" s="2"/>
      <c r="G4708" s="1"/>
      <c r="H4708" s="3"/>
      <c r="I4708" s="14" t="s">
        <v>2177</v>
      </c>
    </row>
    <row r="4709" spans="1:9" ht="18.75" customHeight="1" x14ac:dyDescent="0.4">
      <c r="A4709" s="14" t="s">
        <v>5351</v>
      </c>
      <c r="B4709" s="16" t="str">
        <f>TRIM("もとコミュニティ用地（児童遊園）")</f>
        <v>もとコミュニティ用地（児童遊園）</v>
      </c>
      <c r="C4709" s="14" t="s">
        <v>1514</v>
      </c>
      <c r="D4709" s="14" t="s">
        <v>116</v>
      </c>
      <c r="E4709" s="1">
        <v>366.43</v>
      </c>
      <c r="F4709" s="2">
        <v>663</v>
      </c>
      <c r="G4709" s="1"/>
      <c r="H4709" s="3"/>
      <c r="I4709" s="14" t="s">
        <v>5349</v>
      </c>
    </row>
    <row r="4710" spans="1:9" ht="18.75" customHeight="1" x14ac:dyDescent="0.4">
      <c r="A4710" s="14" t="s">
        <v>1660</v>
      </c>
      <c r="B4710" s="16" t="str">
        <f>TRIM("もと矢田北会館老人憩いの家")</f>
        <v>もと矢田北会館老人憩いの家</v>
      </c>
      <c r="C4710" s="14" t="s">
        <v>1514</v>
      </c>
      <c r="D4710" s="14" t="s">
        <v>116</v>
      </c>
      <c r="E4710" s="1">
        <v>711.31</v>
      </c>
      <c r="F4710" s="2"/>
      <c r="G4710" s="1">
        <v>189.1</v>
      </c>
      <c r="H4710" s="3" t="s">
        <v>7353</v>
      </c>
      <c r="I4710" s="14" t="s">
        <v>1654</v>
      </c>
    </row>
    <row r="4711" spans="1:9" ht="18.75" customHeight="1" x14ac:dyDescent="0.4">
      <c r="A4711" s="14" t="s">
        <v>3441</v>
      </c>
      <c r="B4711" s="16" t="str">
        <f>TRIM("照ケ丘矢田公園")</f>
        <v>照ケ丘矢田公園</v>
      </c>
      <c r="C4711" s="14" t="s">
        <v>1514</v>
      </c>
      <c r="D4711" s="14" t="s">
        <v>116</v>
      </c>
      <c r="E4711" s="1">
        <v>2398.7600000000002</v>
      </c>
      <c r="F4711" s="2"/>
      <c r="G4711" s="1"/>
      <c r="H4711" s="3"/>
      <c r="I4711" s="14" t="s">
        <v>2177</v>
      </c>
    </row>
    <row r="4712" spans="1:9" ht="18.75" customHeight="1" x14ac:dyDescent="0.4">
      <c r="A4712" s="14" t="s">
        <v>3577</v>
      </c>
      <c r="B4712" s="16" t="str">
        <f>TRIM("　照丘矢田公園")</f>
        <v>照丘矢田公園</v>
      </c>
      <c r="C4712" s="14" t="s">
        <v>1514</v>
      </c>
      <c r="D4712" s="14" t="s">
        <v>116</v>
      </c>
      <c r="E4712" s="1"/>
      <c r="F4712" s="2"/>
      <c r="G4712" s="1">
        <v>4.47</v>
      </c>
      <c r="H4712" s="3"/>
      <c r="I4712" s="14" t="s">
        <v>2177</v>
      </c>
    </row>
    <row r="4713" spans="1:9" ht="18.75" customHeight="1" x14ac:dyDescent="0.4">
      <c r="A4713" s="14" t="s">
        <v>5638</v>
      </c>
      <c r="B4713" s="16" t="str">
        <f>TRIM("矢田北会館（もと矢田第1保育所）")</f>
        <v>矢田北会館（もと矢田第1保育所）</v>
      </c>
      <c r="C4713" s="14" t="s">
        <v>1514</v>
      </c>
      <c r="D4713" s="14" t="s">
        <v>116</v>
      </c>
      <c r="E4713" s="1">
        <v>296.95</v>
      </c>
      <c r="F4713" s="2"/>
      <c r="G4713" s="1"/>
      <c r="H4713" s="3"/>
      <c r="I4713" s="14" t="s">
        <v>1782</v>
      </c>
    </row>
    <row r="4714" spans="1:9" ht="18.75" customHeight="1" x14ac:dyDescent="0.4">
      <c r="A4714" s="14" t="s">
        <v>5133</v>
      </c>
      <c r="B4714" s="16" t="str">
        <f>TRIM("矢田北小学校")</f>
        <v>矢田北小学校</v>
      </c>
      <c r="C4714" s="14" t="s">
        <v>1514</v>
      </c>
      <c r="D4714" s="14" t="s">
        <v>604</v>
      </c>
      <c r="E4714" s="1">
        <v>14150.18</v>
      </c>
      <c r="F4714" s="2"/>
      <c r="G4714" s="1">
        <v>14148</v>
      </c>
      <c r="H4714" s="3"/>
      <c r="I4714" s="14" t="s">
        <v>4689</v>
      </c>
    </row>
    <row r="4715" spans="1:9" ht="18.75" customHeight="1" x14ac:dyDescent="0.4">
      <c r="A4715" s="14" t="s">
        <v>4718</v>
      </c>
      <c r="B4715" s="16" t="str">
        <f>TRIM("育和小学校分校代替地")</f>
        <v>育和小学校分校代替地</v>
      </c>
      <c r="C4715" s="14" t="s">
        <v>1514</v>
      </c>
      <c r="D4715" s="14" t="s">
        <v>604</v>
      </c>
      <c r="E4715" s="1">
        <v>472.29</v>
      </c>
      <c r="F4715" s="2"/>
      <c r="G4715" s="1"/>
      <c r="H4715" s="3"/>
      <c r="I4715" s="14" t="s">
        <v>4689</v>
      </c>
    </row>
    <row r="4716" spans="1:9" ht="18.75" customHeight="1" x14ac:dyDescent="0.4">
      <c r="A4716" s="14" t="s">
        <v>5937</v>
      </c>
      <c r="B4716" s="16" t="str">
        <f>TRIM("矢田北保育園")</f>
        <v>矢田北保育園</v>
      </c>
      <c r="C4716" s="14" t="s">
        <v>1514</v>
      </c>
      <c r="D4716" s="14" t="s">
        <v>604</v>
      </c>
      <c r="E4716" s="1">
        <v>1071.02</v>
      </c>
      <c r="F4716" s="2"/>
      <c r="G4716" s="1"/>
      <c r="H4716" s="3"/>
      <c r="I4716" s="14" t="s">
        <v>5617</v>
      </c>
    </row>
    <row r="4717" spans="1:9" ht="18.75" customHeight="1" x14ac:dyDescent="0.4">
      <c r="A4717" s="14" t="s">
        <v>3357</v>
      </c>
      <c r="B4717" s="16" t="str">
        <f>TRIM("　矢田住道公園")</f>
        <v>矢田住道公園</v>
      </c>
      <c r="C4717" s="14" t="s">
        <v>1514</v>
      </c>
      <c r="D4717" s="14" t="s">
        <v>1260</v>
      </c>
      <c r="E4717" s="1">
        <v>703.07</v>
      </c>
      <c r="F4717" s="2"/>
      <c r="G4717" s="1"/>
      <c r="H4717" s="3"/>
      <c r="I4717" s="14" t="s">
        <v>2177</v>
      </c>
    </row>
    <row r="4718" spans="1:9" ht="18.75" customHeight="1" x14ac:dyDescent="0.4">
      <c r="A4718" s="14" t="s">
        <v>1752</v>
      </c>
      <c r="B4718" s="16" t="str">
        <f>TRIM("長居障害者スポーツセンター")</f>
        <v>長居障害者スポーツセンター</v>
      </c>
      <c r="C4718" s="14" t="s">
        <v>1514</v>
      </c>
      <c r="D4718" s="14" t="s">
        <v>363</v>
      </c>
      <c r="E4718" s="1">
        <v>1350.46</v>
      </c>
      <c r="F4718" s="2"/>
      <c r="G4718" s="1">
        <v>7456.12</v>
      </c>
      <c r="H4718" s="3"/>
      <c r="I4718" s="14" t="s">
        <v>1654</v>
      </c>
    </row>
    <row r="4719" spans="1:9" ht="18.75" customHeight="1" x14ac:dyDescent="0.4">
      <c r="A4719" s="14" t="s">
        <v>2263</v>
      </c>
      <c r="B4719" s="16" t="str">
        <f>TRIM("大阪高石線（東住吉）（管財課）")</f>
        <v>大阪高石線（東住吉）（管財課）</v>
      </c>
      <c r="C4719" s="14" t="s">
        <v>1514</v>
      </c>
      <c r="D4719" s="14" t="s">
        <v>363</v>
      </c>
      <c r="E4719" s="1">
        <v>528.91</v>
      </c>
      <c r="F4719" s="2"/>
      <c r="G4719" s="1"/>
      <c r="H4719" s="3"/>
      <c r="I4719" s="14" t="s">
        <v>2177</v>
      </c>
    </row>
    <row r="4720" spans="1:9" ht="18.75" customHeight="1" x14ac:dyDescent="0.4">
      <c r="A4720" s="14" t="s">
        <v>3064</v>
      </c>
      <c r="B4720" s="16" t="str">
        <f>TRIM("　長居公園")</f>
        <v>長居公園</v>
      </c>
      <c r="C4720" s="14" t="s">
        <v>1514</v>
      </c>
      <c r="D4720" s="14" t="s">
        <v>363</v>
      </c>
      <c r="E4720" s="1">
        <v>705382.04</v>
      </c>
      <c r="F4720" s="2"/>
      <c r="G4720" s="1"/>
      <c r="H4720" s="3"/>
      <c r="I4720" s="14" t="s">
        <v>2177</v>
      </c>
    </row>
    <row r="4721" spans="1:9" ht="18.75" customHeight="1" x14ac:dyDescent="0.4">
      <c r="A4721" s="14" t="s">
        <v>3624</v>
      </c>
      <c r="B4721" s="16" t="str">
        <f>TRIM("　長居公園")</f>
        <v>長居公園</v>
      </c>
      <c r="C4721" s="14" t="s">
        <v>1514</v>
      </c>
      <c r="D4721" s="14" t="s">
        <v>363</v>
      </c>
      <c r="E4721" s="1"/>
      <c r="F4721" s="2"/>
      <c r="G4721" s="1">
        <v>17833.849999999999</v>
      </c>
      <c r="H4721" s="3"/>
      <c r="I4721" s="14" t="s">
        <v>2177</v>
      </c>
    </row>
    <row r="4722" spans="1:9" ht="18.75" customHeight="1" x14ac:dyDescent="0.4">
      <c r="A4722" s="14" t="s">
        <v>3707</v>
      </c>
      <c r="B4722" s="16" t="str">
        <f>TRIM("もと長居公園")</f>
        <v>もと長居公園</v>
      </c>
      <c r="C4722" s="14" t="s">
        <v>1514</v>
      </c>
      <c r="D4722" s="14" t="s">
        <v>363</v>
      </c>
      <c r="E4722" s="1"/>
      <c r="F4722" s="2"/>
      <c r="G4722" s="1">
        <v>83.34</v>
      </c>
      <c r="H4722" s="3"/>
      <c r="I4722" s="14" t="s">
        <v>2177</v>
      </c>
    </row>
    <row r="4723" spans="1:9" ht="18.75" customHeight="1" x14ac:dyDescent="0.4">
      <c r="A4723" s="14" t="s">
        <v>3734</v>
      </c>
      <c r="B4723" s="16" t="str">
        <f>TRIM(" 長居自転車保管所管理事務所")</f>
        <v>長居自転車保管所管理事務所</v>
      </c>
      <c r="C4723" s="14" t="s">
        <v>1514</v>
      </c>
      <c r="D4723" s="14" t="s">
        <v>363</v>
      </c>
      <c r="E4723" s="1"/>
      <c r="F4723" s="2"/>
      <c r="G4723" s="1">
        <v>40.47</v>
      </c>
      <c r="H4723" s="3"/>
      <c r="I4723" s="14" t="s">
        <v>2177</v>
      </c>
    </row>
    <row r="4724" spans="1:9" ht="18.75" customHeight="1" x14ac:dyDescent="0.4">
      <c r="A4724" s="14" t="s">
        <v>3751</v>
      </c>
      <c r="B4724" s="16" t="str">
        <f>TRIM("（地）長居駅自転車駐車場")</f>
        <v>（地）長居駅自転車駐車場</v>
      </c>
      <c r="C4724" s="14" t="s">
        <v>1514</v>
      </c>
      <c r="D4724" s="14" t="s">
        <v>363</v>
      </c>
      <c r="E4724" s="1"/>
      <c r="F4724" s="2"/>
      <c r="G4724" s="1">
        <v>1037.93</v>
      </c>
      <c r="H4724" s="3"/>
      <c r="I4724" s="14" t="s">
        <v>2177</v>
      </c>
    </row>
    <row r="4725" spans="1:9" ht="18.75" customHeight="1" x14ac:dyDescent="0.4">
      <c r="A4725" s="14" t="s">
        <v>3896</v>
      </c>
      <c r="B4725" s="16" t="str">
        <f>TRIM("地下鉄長居駅自転車駐車場管理ボックス")</f>
        <v>地下鉄長居駅自転車駐車場管理ボックス</v>
      </c>
      <c r="C4725" s="14" t="s">
        <v>1514</v>
      </c>
      <c r="D4725" s="14" t="s">
        <v>363</v>
      </c>
      <c r="E4725" s="1"/>
      <c r="F4725" s="2"/>
      <c r="G4725" s="1">
        <v>1.44</v>
      </c>
      <c r="H4725" s="3"/>
      <c r="I4725" s="14" t="s">
        <v>2177</v>
      </c>
    </row>
    <row r="4726" spans="1:9" ht="18.75" customHeight="1" x14ac:dyDescent="0.4">
      <c r="A4726" s="14" t="s">
        <v>3897</v>
      </c>
      <c r="B4726" s="16" t="str">
        <f>TRIM("地下鉄長居駅自転車駐車場管理事務所")</f>
        <v>地下鉄長居駅自転車駐車場管理事務所</v>
      </c>
      <c r="C4726" s="14" t="s">
        <v>1514</v>
      </c>
      <c r="D4726" s="14" t="s">
        <v>363</v>
      </c>
      <c r="E4726" s="1"/>
      <c r="F4726" s="2"/>
      <c r="G4726" s="1">
        <v>12.56</v>
      </c>
      <c r="H4726" s="3"/>
      <c r="I4726" s="14" t="s">
        <v>2177</v>
      </c>
    </row>
    <row r="4727" spans="1:9" ht="18.75" customHeight="1" x14ac:dyDescent="0.4">
      <c r="A4727" s="14" t="s">
        <v>5626</v>
      </c>
      <c r="B4727" s="16" t="str">
        <f>TRIM("長居ユースホステル")</f>
        <v>長居ユースホステル</v>
      </c>
      <c r="C4727" s="14" t="s">
        <v>1514</v>
      </c>
      <c r="D4727" s="14" t="s">
        <v>363</v>
      </c>
      <c r="E4727" s="1"/>
      <c r="F4727" s="2"/>
      <c r="G4727" s="1">
        <v>2243.65</v>
      </c>
      <c r="H4727" s="3"/>
      <c r="I4727" s="14" t="s">
        <v>5617</v>
      </c>
    </row>
    <row r="4728" spans="1:9" ht="18.75" customHeight="1" x14ac:dyDescent="0.4">
      <c r="A4728" s="14" t="s">
        <v>6153</v>
      </c>
      <c r="B4728" s="16" t="str">
        <f>TRIM("東長居霊園")</f>
        <v>東長居霊園</v>
      </c>
      <c r="C4728" s="14" t="s">
        <v>1514</v>
      </c>
      <c r="D4728" s="14" t="s">
        <v>363</v>
      </c>
      <c r="E4728" s="1">
        <v>1201.55</v>
      </c>
      <c r="F4728" s="2"/>
      <c r="G4728" s="1"/>
      <c r="H4728" s="3"/>
      <c r="I4728" s="14" t="s">
        <v>5977</v>
      </c>
    </row>
    <row r="4729" spans="1:9" ht="18.75" customHeight="1" x14ac:dyDescent="0.4">
      <c r="A4729" s="14" t="s">
        <v>7144</v>
      </c>
      <c r="B4729" s="16" t="str">
        <f>TRIM("長居プール")</f>
        <v>長居プール</v>
      </c>
      <c r="C4729" s="14" t="s">
        <v>1514</v>
      </c>
      <c r="D4729" s="14" t="s">
        <v>363</v>
      </c>
      <c r="E4729" s="1"/>
      <c r="F4729" s="2"/>
      <c r="G4729" s="1">
        <v>3814</v>
      </c>
      <c r="H4729" s="3"/>
      <c r="I4729" s="14" t="s">
        <v>4115</v>
      </c>
    </row>
    <row r="4730" spans="1:9" ht="18.75" customHeight="1" x14ac:dyDescent="0.4">
      <c r="A4730" s="14" t="s">
        <v>7145</v>
      </c>
      <c r="B4730" s="16" t="str">
        <f>TRIM("長居球技場")</f>
        <v>長居球技場</v>
      </c>
      <c r="C4730" s="14" t="s">
        <v>1514</v>
      </c>
      <c r="D4730" s="14" t="s">
        <v>363</v>
      </c>
      <c r="E4730" s="1"/>
      <c r="F4730" s="2"/>
      <c r="G4730" s="1">
        <v>31245.279999999999</v>
      </c>
      <c r="H4730" s="3"/>
      <c r="I4730" s="14" t="s">
        <v>4115</v>
      </c>
    </row>
    <row r="4731" spans="1:9" ht="18.75" customHeight="1" x14ac:dyDescent="0.4">
      <c r="A4731" s="14" t="s">
        <v>7146</v>
      </c>
      <c r="B4731" s="16" t="str">
        <f>TRIM("長居庭球場")</f>
        <v>長居庭球場</v>
      </c>
      <c r="C4731" s="14" t="s">
        <v>1514</v>
      </c>
      <c r="D4731" s="14" t="s">
        <v>363</v>
      </c>
      <c r="E4731" s="1"/>
      <c r="F4731" s="2"/>
      <c r="G4731" s="1">
        <v>255.4</v>
      </c>
      <c r="H4731" s="3"/>
      <c r="I4731" s="14" t="s">
        <v>4115</v>
      </c>
    </row>
    <row r="4732" spans="1:9" ht="18.75" customHeight="1" x14ac:dyDescent="0.4">
      <c r="A4732" s="14" t="s">
        <v>7147</v>
      </c>
      <c r="B4732" s="16" t="str">
        <f>TRIM("長居陸上競技場")</f>
        <v>長居陸上競技場</v>
      </c>
      <c r="C4732" s="14" t="s">
        <v>1514</v>
      </c>
      <c r="D4732" s="14" t="s">
        <v>363</v>
      </c>
      <c r="E4732" s="1"/>
      <c r="F4732" s="2"/>
      <c r="G4732" s="1">
        <v>50056.49</v>
      </c>
      <c r="H4732" s="3"/>
      <c r="I4732" s="14" t="s">
        <v>4115</v>
      </c>
    </row>
    <row r="4733" spans="1:9" ht="18.75" customHeight="1" x14ac:dyDescent="0.4">
      <c r="A4733" s="14" t="s">
        <v>2398</v>
      </c>
      <c r="B4733" s="16" t="str">
        <f>TRIM("長居公園地下駐車場")</f>
        <v>長居公園地下駐車場</v>
      </c>
      <c r="C4733" s="14" t="s">
        <v>1514</v>
      </c>
      <c r="D4733" s="14" t="s">
        <v>1480</v>
      </c>
      <c r="E4733" s="1"/>
      <c r="F4733" s="2"/>
      <c r="G4733" s="1">
        <v>10249</v>
      </c>
      <c r="H4733" s="3"/>
      <c r="I4733" s="14" t="s">
        <v>2177</v>
      </c>
    </row>
    <row r="4734" spans="1:9" ht="18.75" customHeight="1" x14ac:dyDescent="0.4">
      <c r="A4734" s="14" t="s">
        <v>3059</v>
      </c>
      <c r="B4734" s="16" t="str">
        <f>TRIM("　中野町公園")</f>
        <v>中野町公園</v>
      </c>
      <c r="C4734" s="14" t="s">
        <v>1514</v>
      </c>
      <c r="D4734" s="14" t="s">
        <v>1159</v>
      </c>
      <c r="E4734" s="1">
        <v>4281</v>
      </c>
      <c r="F4734" s="2"/>
      <c r="G4734" s="1"/>
      <c r="H4734" s="3"/>
      <c r="I4734" s="14" t="s">
        <v>2177</v>
      </c>
    </row>
    <row r="4735" spans="1:9" ht="18.75" customHeight="1" x14ac:dyDescent="0.4">
      <c r="A4735" s="14" t="s">
        <v>4077</v>
      </c>
      <c r="B4735" s="16" t="str">
        <f>TRIM("中野材料置場")</f>
        <v>中野材料置場</v>
      </c>
      <c r="C4735" s="14" t="s">
        <v>1514</v>
      </c>
      <c r="D4735" s="14" t="s">
        <v>474</v>
      </c>
      <c r="E4735" s="1">
        <v>1376.33</v>
      </c>
      <c r="F4735" s="2"/>
      <c r="G4735" s="1">
        <v>1577.81</v>
      </c>
      <c r="H4735" s="3"/>
      <c r="I4735" s="14" t="s">
        <v>2177</v>
      </c>
    </row>
    <row r="4736" spans="1:9" ht="18.75" customHeight="1" x14ac:dyDescent="0.4">
      <c r="A4736" s="14" t="s">
        <v>6976</v>
      </c>
      <c r="B4736" s="16" t="str">
        <f>TRIM(" 中野休日急病診療所")</f>
        <v>中野休日急病診療所</v>
      </c>
      <c r="C4736" s="14" t="s">
        <v>1514</v>
      </c>
      <c r="D4736" s="14" t="s">
        <v>474</v>
      </c>
      <c r="E4736" s="1">
        <v>393.68</v>
      </c>
      <c r="F4736" s="2"/>
      <c r="G4736" s="1">
        <v>769.7</v>
      </c>
      <c r="H4736" s="3"/>
      <c r="I4736" s="14" t="s">
        <v>2402</v>
      </c>
    </row>
    <row r="4737" spans="1:9" ht="18.75" customHeight="1" x14ac:dyDescent="0.4">
      <c r="A4737" s="14" t="s">
        <v>3206</v>
      </c>
      <c r="B4737" s="16" t="str">
        <f>TRIM("　南百済公園")</f>
        <v>南百済公園</v>
      </c>
      <c r="C4737" s="14" t="s">
        <v>1514</v>
      </c>
      <c r="D4737" s="14" t="s">
        <v>1211</v>
      </c>
      <c r="E4737" s="1">
        <v>1544</v>
      </c>
      <c r="F4737" s="2"/>
      <c r="G4737" s="1"/>
      <c r="H4737" s="3"/>
      <c r="I4737" s="14" t="s">
        <v>2177</v>
      </c>
    </row>
    <row r="4738" spans="1:9" ht="18.75" customHeight="1" x14ac:dyDescent="0.4">
      <c r="A4738" s="14" t="s">
        <v>3243</v>
      </c>
      <c r="B4738" s="16" t="str">
        <f>TRIM("　百済公園")</f>
        <v>百済公園</v>
      </c>
      <c r="C4738" s="14" t="s">
        <v>1514</v>
      </c>
      <c r="D4738" s="14" t="s">
        <v>1211</v>
      </c>
      <c r="E4738" s="1">
        <v>3650.24</v>
      </c>
      <c r="F4738" s="2"/>
      <c r="G4738" s="1"/>
      <c r="H4738" s="3"/>
      <c r="I4738" s="14" t="s">
        <v>2177</v>
      </c>
    </row>
    <row r="4739" spans="1:9" ht="18.75" customHeight="1" x14ac:dyDescent="0.4">
      <c r="A4739" s="14" t="s">
        <v>4631</v>
      </c>
      <c r="B4739" s="16" t="str">
        <f>TRIM("今川文化会館")</f>
        <v>今川文化会館</v>
      </c>
      <c r="C4739" s="14" t="s">
        <v>1514</v>
      </c>
      <c r="D4739" s="14" t="s">
        <v>1211</v>
      </c>
      <c r="E4739" s="1"/>
      <c r="F4739" s="2"/>
      <c r="G4739" s="1">
        <v>46.95</v>
      </c>
      <c r="H4739" s="3"/>
      <c r="I4739" s="14" t="s">
        <v>1782</v>
      </c>
    </row>
    <row r="4740" spans="1:9" ht="18.75" customHeight="1" x14ac:dyDescent="0.4">
      <c r="A4740" s="14" t="s">
        <v>4972</v>
      </c>
      <c r="B4740" s="16" t="str">
        <f>TRIM("中野中学校")</f>
        <v>中野中学校</v>
      </c>
      <c r="C4740" s="14" t="s">
        <v>1514</v>
      </c>
      <c r="D4740" s="14" t="s">
        <v>552</v>
      </c>
      <c r="E4740" s="1">
        <v>19686</v>
      </c>
      <c r="F4740" s="2"/>
      <c r="G4740" s="1">
        <v>10475.44</v>
      </c>
      <c r="H4740" s="3"/>
      <c r="I4740" s="14" t="s">
        <v>4689</v>
      </c>
    </row>
    <row r="4741" spans="1:9" ht="18.75" customHeight="1" x14ac:dyDescent="0.4">
      <c r="A4741" s="14" t="s">
        <v>5760</v>
      </c>
      <c r="B4741" s="16" t="str">
        <f>TRIM("湯里保育園")</f>
        <v>湯里保育園</v>
      </c>
      <c r="C4741" s="14" t="s">
        <v>1514</v>
      </c>
      <c r="D4741" s="14" t="s">
        <v>552</v>
      </c>
      <c r="E4741" s="1">
        <v>968.17</v>
      </c>
      <c r="F4741" s="2"/>
      <c r="G4741" s="1">
        <v>505.27</v>
      </c>
      <c r="H4741" s="3"/>
      <c r="I4741" s="14" t="s">
        <v>5617</v>
      </c>
    </row>
    <row r="4742" spans="1:9" ht="18.75" customHeight="1" x14ac:dyDescent="0.4">
      <c r="A4742" s="14" t="s">
        <v>2258</v>
      </c>
      <c r="B4742" s="16" t="str">
        <f>TRIM("大阪港八尾線（東住吉）（管財課）")</f>
        <v>大阪港八尾線（東住吉）（管財課）</v>
      </c>
      <c r="C4742" s="14" t="s">
        <v>1514</v>
      </c>
      <c r="D4742" s="14" t="s">
        <v>552</v>
      </c>
      <c r="E4742" s="1">
        <v>41772.720000000001</v>
      </c>
      <c r="F4742" s="2"/>
      <c r="G4742" s="1"/>
      <c r="H4742" s="3"/>
      <c r="I4742" s="14" t="s">
        <v>2177</v>
      </c>
    </row>
    <row r="4743" spans="1:9" ht="18.75" customHeight="1" x14ac:dyDescent="0.4">
      <c r="A4743" s="14" t="s">
        <v>1789</v>
      </c>
      <c r="B4743" s="16" t="str">
        <f>TRIM("今川地域振興センター（もと今川地域振興センター老人憩の家）")</f>
        <v>今川地域振興センター（もと今川地域振興センター老人憩の家）</v>
      </c>
      <c r="C4743" s="14" t="s">
        <v>1514</v>
      </c>
      <c r="D4743" s="14" t="s">
        <v>442</v>
      </c>
      <c r="E4743" s="1">
        <v>856.19</v>
      </c>
      <c r="F4743" s="2"/>
      <c r="G4743" s="1"/>
      <c r="H4743" s="3"/>
      <c r="I4743" s="14" t="s">
        <v>1782</v>
      </c>
    </row>
    <row r="4744" spans="1:9" ht="18.75" customHeight="1" x14ac:dyDescent="0.4">
      <c r="A4744" s="14" t="s">
        <v>5389</v>
      </c>
      <c r="B4744" s="16" t="str">
        <f>TRIM("もと市大西今川公舎")</f>
        <v>もと市大西今川公舎</v>
      </c>
      <c r="C4744" s="14" t="s">
        <v>1514</v>
      </c>
      <c r="D4744" s="14" t="s">
        <v>149</v>
      </c>
      <c r="E4744" s="1">
        <v>43.98</v>
      </c>
      <c r="F4744" s="2"/>
      <c r="G4744" s="1"/>
      <c r="H4744" s="3"/>
      <c r="I4744" s="14" t="s">
        <v>5349</v>
      </c>
    </row>
    <row r="4745" spans="1:9" ht="18.75" customHeight="1" x14ac:dyDescent="0.4">
      <c r="A4745" s="14" t="s">
        <v>3445</v>
      </c>
      <c r="B4745" s="16" t="str">
        <f>TRIM("針中野わくわく公園")</f>
        <v>針中野わくわく公園</v>
      </c>
      <c r="C4745" s="14" t="s">
        <v>1514</v>
      </c>
      <c r="D4745" s="14" t="s">
        <v>1283</v>
      </c>
      <c r="E4745" s="1">
        <v>851.11</v>
      </c>
      <c r="F4745" s="2"/>
      <c r="G4745" s="1"/>
      <c r="H4745" s="3"/>
      <c r="I4745" s="14" t="s">
        <v>2177</v>
      </c>
    </row>
    <row r="4746" spans="1:9" ht="18.75" customHeight="1" x14ac:dyDescent="0.4">
      <c r="A4746" s="14" t="s">
        <v>4636</v>
      </c>
      <c r="B4746" s="16" t="str">
        <f>TRIM("南百済会館")</f>
        <v>南百済会館</v>
      </c>
      <c r="C4746" s="14" t="s">
        <v>1514</v>
      </c>
      <c r="D4746" s="14" t="s">
        <v>1468</v>
      </c>
      <c r="E4746" s="1">
        <v>410.48</v>
      </c>
      <c r="F4746" s="2"/>
      <c r="G4746" s="1"/>
      <c r="H4746" s="3"/>
      <c r="I4746" s="14" t="s">
        <v>1782</v>
      </c>
    </row>
    <row r="4747" spans="1:9" ht="18.75" customHeight="1" x14ac:dyDescent="0.4">
      <c r="A4747" s="14" t="s">
        <v>4624</v>
      </c>
      <c r="B4747" s="16" t="str">
        <f>TRIM("東住吉区役所")</f>
        <v>東住吉区役所</v>
      </c>
      <c r="C4747" s="14" t="s">
        <v>1514</v>
      </c>
      <c r="D4747" s="14" t="s">
        <v>1194</v>
      </c>
      <c r="E4747" s="1">
        <v>3607.59</v>
      </c>
      <c r="F4747" s="2"/>
      <c r="G4747" s="1">
        <v>5914.89</v>
      </c>
      <c r="H4747" s="3"/>
      <c r="I4747" s="14" t="s">
        <v>1782</v>
      </c>
    </row>
    <row r="4748" spans="1:9" ht="18.75" customHeight="1" x14ac:dyDescent="0.4">
      <c r="A4748" s="14" t="s">
        <v>3151</v>
      </c>
      <c r="B4748" s="16" t="str">
        <f>TRIM("　東田辺さくら公園")</f>
        <v>東田辺さくら公園</v>
      </c>
      <c r="C4748" s="14" t="s">
        <v>1514</v>
      </c>
      <c r="D4748" s="14" t="s">
        <v>1194</v>
      </c>
      <c r="E4748" s="1">
        <v>1339.17</v>
      </c>
      <c r="F4748" s="2"/>
      <c r="G4748" s="1"/>
      <c r="H4748" s="3"/>
      <c r="I4748" s="14" t="s">
        <v>2177</v>
      </c>
    </row>
    <row r="4749" spans="1:9" ht="18.75" customHeight="1" x14ac:dyDescent="0.4">
      <c r="A4749" s="14" t="s">
        <v>3152</v>
      </c>
      <c r="B4749" s="16" t="str">
        <f>TRIM("　東田辺公園")</f>
        <v>東田辺公園</v>
      </c>
      <c r="C4749" s="14" t="s">
        <v>1514</v>
      </c>
      <c r="D4749" s="14" t="s">
        <v>1194</v>
      </c>
      <c r="E4749" s="1">
        <v>1018.47</v>
      </c>
      <c r="F4749" s="2"/>
      <c r="G4749" s="1"/>
      <c r="H4749" s="3"/>
      <c r="I4749" s="14" t="s">
        <v>2177</v>
      </c>
    </row>
    <row r="4750" spans="1:9" ht="18.75" customHeight="1" x14ac:dyDescent="0.4">
      <c r="A4750" s="14" t="s">
        <v>4622</v>
      </c>
      <c r="B4750" s="16" t="str">
        <f>TRIM("東住吉区保健福祉センター")</f>
        <v>東住吉区保健福祉センター</v>
      </c>
      <c r="C4750" s="14" t="s">
        <v>1514</v>
      </c>
      <c r="D4750" s="14" t="s">
        <v>1194</v>
      </c>
      <c r="E4750" s="1"/>
      <c r="F4750" s="2"/>
      <c r="G4750" s="1">
        <v>1260.99</v>
      </c>
      <c r="H4750" s="3"/>
      <c r="I4750" s="14" t="s">
        <v>1782</v>
      </c>
    </row>
    <row r="4751" spans="1:9" ht="18.75" customHeight="1" x14ac:dyDescent="0.4">
      <c r="A4751" s="14" t="s">
        <v>4635</v>
      </c>
      <c r="B4751" s="16" t="str">
        <f>TRIM("東住吉区民ホール")</f>
        <v>東住吉区民ホール</v>
      </c>
      <c r="C4751" s="14" t="s">
        <v>1514</v>
      </c>
      <c r="D4751" s="14" t="s">
        <v>1194</v>
      </c>
      <c r="E4751" s="1"/>
      <c r="F4751" s="2"/>
      <c r="G4751" s="1">
        <v>960.15</v>
      </c>
      <c r="H4751" s="3"/>
      <c r="I4751" s="14" t="s">
        <v>1782</v>
      </c>
    </row>
    <row r="4752" spans="1:9" ht="18.75" customHeight="1" x14ac:dyDescent="0.4">
      <c r="A4752" s="14" t="s">
        <v>5028</v>
      </c>
      <c r="B4752" s="16" t="str">
        <f>TRIM("東田辺小学校")</f>
        <v>東田辺小学校</v>
      </c>
      <c r="C4752" s="14" t="s">
        <v>1514</v>
      </c>
      <c r="D4752" s="14" t="s">
        <v>244</v>
      </c>
      <c r="E4752" s="1">
        <v>10211.969999999999</v>
      </c>
      <c r="F4752" s="2"/>
      <c r="G4752" s="1">
        <v>5982.23</v>
      </c>
      <c r="H4752" s="3"/>
      <c r="I4752" s="14" t="s">
        <v>4689</v>
      </c>
    </row>
    <row r="4753" spans="1:9" ht="18.75" customHeight="1" x14ac:dyDescent="0.4">
      <c r="A4753" s="14" t="s">
        <v>5201</v>
      </c>
      <c r="B4753" s="16" t="str">
        <f>TRIM("東住吉図書館")</f>
        <v>東住吉図書館</v>
      </c>
      <c r="C4753" s="14" t="s">
        <v>1514</v>
      </c>
      <c r="D4753" s="14" t="s">
        <v>244</v>
      </c>
      <c r="E4753" s="1">
        <v>1831.4</v>
      </c>
      <c r="F4753" s="2"/>
      <c r="G4753" s="1">
        <v>629.59</v>
      </c>
      <c r="H4753" s="3"/>
      <c r="I4753" s="14" t="s">
        <v>4689</v>
      </c>
    </row>
    <row r="4754" spans="1:9" ht="18.75" customHeight="1" x14ac:dyDescent="0.4">
      <c r="A4754" s="14" t="s">
        <v>1826</v>
      </c>
      <c r="B4754" s="16" t="str">
        <f>TRIM("東住吉区老人福祉センター")</f>
        <v>東住吉区老人福祉センター</v>
      </c>
      <c r="C4754" s="14" t="s">
        <v>1514</v>
      </c>
      <c r="D4754" s="14" t="s">
        <v>244</v>
      </c>
      <c r="E4754" s="1"/>
      <c r="F4754" s="2"/>
      <c r="G4754" s="1">
        <v>744.15</v>
      </c>
      <c r="H4754" s="3"/>
      <c r="I4754" s="14" t="s">
        <v>1654</v>
      </c>
    </row>
    <row r="4755" spans="1:9" ht="18.75" customHeight="1" x14ac:dyDescent="0.4">
      <c r="A4755" s="14" t="s">
        <v>4633</v>
      </c>
      <c r="B4755" s="16" t="str">
        <f>TRIM("東住吉会館")</f>
        <v>東住吉会館</v>
      </c>
      <c r="C4755" s="14" t="s">
        <v>1514</v>
      </c>
      <c r="D4755" s="14" t="s">
        <v>244</v>
      </c>
      <c r="E4755" s="1"/>
      <c r="F4755" s="2"/>
      <c r="G4755" s="1">
        <v>571.78</v>
      </c>
      <c r="H4755" s="3"/>
      <c r="I4755" s="14" t="s">
        <v>1782</v>
      </c>
    </row>
    <row r="4756" spans="1:9" ht="18.75" customHeight="1" x14ac:dyDescent="0.4">
      <c r="A4756" s="14" t="s">
        <v>5516</v>
      </c>
      <c r="B4756" s="16" t="str">
        <f>TRIM("東住吉警察署")</f>
        <v>東住吉警察署</v>
      </c>
      <c r="C4756" s="14" t="s">
        <v>1514</v>
      </c>
      <c r="D4756" s="14" t="s">
        <v>244</v>
      </c>
      <c r="E4756" s="1">
        <v>2641.12</v>
      </c>
      <c r="F4756" s="2"/>
      <c r="G4756" s="1"/>
      <c r="H4756" s="3"/>
      <c r="I4756" s="14" t="s">
        <v>5349</v>
      </c>
    </row>
    <row r="4757" spans="1:9" ht="18.75" customHeight="1" x14ac:dyDescent="0.4">
      <c r="A4757" s="14" t="s">
        <v>5681</v>
      </c>
      <c r="B4757" s="16" t="str">
        <f>TRIM("もと東住吉勤労青少年ホーム")</f>
        <v>もと東住吉勤労青少年ホーム</v>
      </c>
      <c r="C4757" s="14" t="s">
        <v>1514</v>
      </c>
      <c r="D4757" s="14" t="s">
        <v>244</v>
      </c>
      <c r="E4757" s="1"/>
      <c r="F4757" s="2"/>
      <c r="G4757" s="1">
        <v>629.19000000000005</v>
      </c>
      <c r="H4757" s="3" t="s">
        <v>7353</v>
      </c>
      <c r="I4757" s="14" t="s">
        <v>5617</v>
      </c>
    </row>
    <row r="4758" spans="1:9" ht="18.75" customHeight="1" x14ac:dyDescent="0.4">
      <c r="A4758" s="14" t="s">
        <v>3484</v>
      </c>
      <c r="B4758" s="16" t="str">
        <f>TRIM("東田辺中央公園")</f>
        <v>東田辺中央公園</v>
      </c>
      <c r="C4758" s="14" t="s">
        <v>1514</v>
      </c>
      <c r="D4758" s="14" t="s">
        <v>158</v>
      </c>
      <c r="E4758" s="1">
        <v>1624.84</v>
      </c>
      <c r="F4758" s="2"/>
      <c r="G4758" s="1"/>
      <c r="H4758" s="3"/>
      <c r="I4758" s="14" t="s">
        <v>2177</v>
      </c>
    </row>
    <row r="4759" spans="1:9" ht="18.75" customHeight="1" x14ac:dyDescent="0.4">
      <c r="A4759" s="14" t="s">
        <v>5398</v>
      </c>
      <c r="B4759" s="16" t="str">
        <f>TRIM("もと職員公舎第20号（児童遊園）")</f>
        <v>もと職員公舎第20号（児童遊園）</v>
      </c>
      <c r="C4759" s="14" t="s">
        <v>1514</v>
      </c>
      <c r="D4759" s="14" t="s">
        <v>158</v>
      </c>
      <c r="E4759" s="1">
        <v>396.27</v>
      </c>
      <c r="F4759" s="2"/>
      <c r="G4759" s="1"/>
      <c r="H4759" s="3"/>
      <c r="I4759" s="14" t="s">
        <v>5349</v>
      </c>
    </row>
    <row r="4760" spans="1:9" ht="18.75" customHeight="1" x14ac:dyDescent="0.4">
      <c r="A4760" s="14" t="s">
        <v>5908</v>
      </c>
      <c r="B4760" s="16" t="str">
        <f>TRIM("東田辺コティ保育所")</f>
        <v>東田辺コティ保育所</v>
      </c>
      <c r="C4760" s="14" t="s">
        <v>1514</v>
      </c>
      <c r="D4760" s="14" t="s">
        <v>158</v>
      </c>
      <c r="E4760" s="1">
        <v>661.14</v>
      </c>
      <c r="F4760" s="2"/>
      <c r="G4760" s="1"/>
      <c r="H4760" s="3"/>
      <c r="I4760" s="14" t="s">
        <v>5617</v>
      </c>
    </row>
    <row r="4761" spans="1:9" ht="18.75" customHeight="1" x14ac:dyDescent="0.4">
      <c r="A4761" s="14" t="s">
        <v>5547</v>
      </c>
      <c r="B4761" s="16" t="str">
        <f>TRIM("廃道（東住吉）")</f>
        <v>廃道（東住吉）</v>
      </c>
      <c r="C4761" s="14" t="s">
        <v>1514</v>
      </c>
      <c r="D4761" s="14" t="s">
        <v>266</v>
      </c>
      <c r="E4761" s="1">
        <v>115.03</v>
      </c>
      <c r="F4761" s="2">
        <v>2149</v>
      </c>
      <c r="G4761" s="1"/>
      <c r="H4761" s="3"/>
      <c r="I4761" s="14" t="s">
        <v>5349</v>
      </c>
    </row>
    <row r="4762" spans="1:9" ht="18.75" customHeight="1" x14ac:dyDescent="0.4">
      <c r="A4762" s="14" t="s">
        <v>1738</v>
      </c>
      <c r="B4762" s="16" t="str">
        <f>TRIM("早川福祉会館")</f>
        <v>早川福祉会館</v>
      </c>
      <c r="C4762" s="14" t="s">
        <v>1514</v>
      </c>
      <c r="D4762" s="14" t="s">
        <v>266</v>
      </c>
      <c r="E4762" s="1">
        <v>1217.71</v>
      </c>
      <c r="F4762" s="2"/>
      <c r="G4762" s="1">
        <v>3437.55</v>
      </c>
      <c r="H4762" s="3"/>
      <c r="I4762" s="14" t="s">
        <v>1654</v>
      </c>
    </row>
    <row r="4763" spans="1:9" ht="18.75" customHeight="1" x14ac:dyDescent="0.4">
      <c r="A4763" s="14" t="s">
        <v>2120</v>
      </c>
      <c r="B4763" s="16" t="str">
        <f>TRIM("南田辺会館（もと南田辺会館老人憩の家）")</f>
        <v>南田辺会館（もと南田辺会館老人憩の家）</v>
      </c>
      <c r="C4763" s="14" t="s">
        <v>1514</v>
      </c>
      <c r="D4763" s="14" t="s">
        <v>266</v>
      </c>
      <c r="E4763" s="1">
        <v>295.48</v>
      </c>
      <c r="F4763" s="2"/>
      <c r="G4763" s="1"/>
      <c r="H4763" s="3"/>
      <c r="I4763" s="14" t="s">
        <v>1782</v>
      </c>
    </row>
    <row r="4764" spans="1:9" ht="18.75" customHeight="1" x14ac:dyDescent="0.4">
      <c r="A4764" s="14" t="s">
        <v>5283</v>
      </c>
      <c r="B4764" s="16" t="str">
        <f>TRIM("東住吉消防署")</f>
        <v>東住吉消防署</v>
      </c>
      <c r="C4764" s="14" t="s">
        <v>1514</v>
      </c>
      <c r="D4764" s="14" t="s">
        <v>1370</v>
      </c>
      <c r="E4764" s="1">
        <v>1486.41</v>
      </c>
      <c r="F4764" s="2"/>
      <c r="G4764" s="1">
        <v>1472.2</v>
      </c>
      <c r="H4764" s="3"/>
      <c r="I4764" s="14" t="s">
        <v>5219</v>
      </c>
    </row>
    <row r="4765" spans="1:9" ht="18.75" customHeight="1" x14ac:dyDescent="0.4">
      <c r="A4765" s="14" t="s">
        <v>5285</v>
      </c>
      <c r="B4765" s="16" t="str">
        <f>TRIM("東住吉災害待機宿舎")</f>
        <v>東住吉災害待機宿舎</v>
      </c>
      <c r="C4765" s="14" t="s">
        <v>1514</v>
      </c>
      <c r="D4765" s="14" t="s">
        <v>1370</v>
      </c>
      <c r="E4765" s="1"/>
      <c r="F4765" s="2"/>
      <c r="G4765" s="1">
        <v>177.1</v>
      </c>
      <c r="H4765" s="3"/>
      <c r="I4765" s="14" t="s">
        <v>5219</v>
      </c>
    </row>
    <row r="4766" spans="1:9" ht="18.75" customHeight="1" x14ac:dyDescent="0.4">
      <c r="A4766" s="14" t="s">
        <v>5052</v>
      </c>
      <c r="B4766" s="16" t="str">
        <f>TRIM("南田辺小学校")</f>
        <v>南田辺小学校</v>
      </c>
      <c r="C4766" s="14" t="s">
        <v>1514</v>
      </c>
      <c r="D4766" s="14" t="s">
        <v>1427</v>
      </c>
      <c r="E4766" s="1">
        <v>9170.23</v>
      </c>
      <c r="F4766" s="2"/>
      <c r="G4766" s="1">
        <v>5810.86</v>
      </c>
      <c r="H4766" s="3"/>
      <c r="I4766" s="14" t="s">
        <v>4689</v>
      </c>
    </row>
    <row r="4767" spans="1:9" ht="18.75" customHeight="1" x14ac:dyDescent="0.4">
      <c r="A4767" s="14" t="s">
        <v>5010</v>
      </c>
      <c r="B4767" s="16" t="str">
        <f>TRIM("田辺中学校")</f>
        <v>田辺中学校</v>
      </c>
      <c r="C4767" s="14" t="s">
        <v>1514</v>
      </c>
      <c r="D4767" s="14" t="s">
        <v>822</v>
      </c>
      <c r="E4767" s="1">
        <v>13838.01</v>
      </c>
      <c r="F4767" s="2"/>
      <c r="G4767" s="1">
        <v>7232.11</v>
      </c>
      <c r="H4767" s="3"/>
      <c r="I4767" s="14" t="s">
        <v>4689</v>
      </c>
    </row>
    <row r="4768" spans="1:9" ht="18.75" customHeight="1" x14ac:dyDescent="0.4">
      <c r="A4768" s="14" t="s">
        <v>6608</v>
      </c>
      <c r="B4768" s="16" t="str">
        <f>TRIM("南田辺住宅")</f>
        <v>南田辺住宅</v>
      </c>
      <c r="C4768" s="14" t="s">
        <v>1514</v>
      </c>
      <c r="D4768" s="14" t="s">
        <v>822</v>
      </c>
      <c r="E4768" s="1">
        <v>6783.45</v>
      </c>
      <c r="F4768" s="2"/>
      <c r="G4768" s="1">
        <v>5630.38</v>
      </c>
      <c r="H4768" s="3"/>
      <c r="I4768" s="14" t="s">
        <v>6177</v>
      </c>
    </row>
    <row r="4769" spans="1:9" ht="18.75" customHeight="1" x14ac:dyDescent="0.4">
      <c r="A4769" s="14" t="s">
        <v>4626</v>
      </c>
      <c r="B4769" s="16" t="str">
        <f>TRIM("クラインガルテン広場事業用地")</f>
        <v>クラインガルテン広場事業用地</v>
      </c>
      <c r="C4769" s="14" t="s">
        <v>1514</v>
      </c>
      <c r="D4769" s="14" t="s">
        <v>796</v>
      </c>
      <c r="E4769" s="1">
        <v>998.7</v>
      </c>
      <c r="F4769" s="2"/>
      <c r="G4769" s="1">
        <v>20.64</v>
      </c>
      <c r="H4769" s="3"/>
      <c r="I4769" s="14" t="s">
        <v>1782</v>
      </c>
    </row>
    <row r="4770" spans="1:9" ht="18.75" customHeight="1" x14ac:dyDescent="0.4">
      <c r="A4770" s="14" t="s">
        <v>6535</v>
      </c>
      <c r="B4770" s="16" t="str">
        <f>TRIM("長居東住宅")</f>
        <v>長居東住宅</v>
      </c>
      <c r="C4770" s="14" t="s">
        <v>1514</v>
      </c>
      <c r="D4770" s="14" t="s">
        <v>796</v>
      </c>
      <c r="E4770" s="1">
        <v>13924.6</v>
      </c>
      <c r="F4770" s="2"/>
      <c r="G4770" s="1">
        <v>18529.419999999998</v>
      </c>
      <c r="H4770" s="3"/>
      <c r="I4770" s="14" t="s">
        <v>6177</v>
      </c>
    </row>
    <row r="4771" spans="1:9" ht="18.75" customHeight="1" x14ac:dyDescent="0.4">
      <c r="A4771" s="14" t="s">
        <v>3362</v>
      </c>
      <c r="B4771" s="16" t="str">
        <f>TRIM("　矢田部公園")</f>
        <v>矢田部公園</v>
      </c>
      <c r="C4771" s="14" t="s">
        <v>1514</v>
      </c>
      <c r="D4771" s="14" t="s">
        <v>796</v>
      </c>
      <c r="E4771" s="1">
        <v>1000.2</v>
      </c>
      <c r="F4771" s="2"/>
      <c r="G4771" s="1"/>
      <c r="H4771" s="3"/>
      <c r="I4771" s="14" t="s">
        <v>2177</v>
      </c>
    </row>
    <row r="4772" spans="1:9" ht="18.75" customHeight="1" x14ac:dyDescent="0.4">
      <c r="A4772" s="14" t="s">
        <v>5938</v>
      </c>
      <c r="B4772" s="16" t="str">
        <f>TRIM("矢田第3保育所")</f>
        <v>矢田第3保育所</v>
      </c>
      <c r="C4772" s="14" t="s">
        <v>1514</v>
      </c>
      <c r="D4772" s="14" t="s">
        <v>605</v>
      </c>
      <c r="E4772" s="1">
        <v>991.3</v>
      </c>
      <c r="F4772" s="2"/>
      <c r="G4772" s="1">
        <v>382.17</v>
      </c>
      <c r="H4772" s="3"/>
      <c r="I4772" s="14" t="s">
        <v>5617</v>
      </c>
    </row>
    <row r="4773" spans="1:9" ht="18.75" customHeight="1" x14ac:dyDescent="0.4">
      <c r="A4773" s="14" t="s">
        <v>5132</v>
      </c>
      <c r="B4773" s="16" t="str">
        <f>TRIM("矢田小学校　矢田南中学校")</f>
        <v>矢田小学校　矢田南中学校</v>
      </c>
      <c r="C4773" s="14" t="s">
        <v>1514</v>
      </c>
      <c r="D4773" s="14" t="s">
        <v>932</v>
      </c>
      <c r="E4773" s="1">
        <v>28141.79</v>
      </c>
      <c r="F4773" s="2"/>
      <c r="G4773" s="1">
        <v>18796.939999999999</v>
      </c>
      <c r="H4773" s="3"/>
      <c r="I4773" s="14" t="s">
        <v>4689</v>
      </c>
    </row>
    <row r="4774" spans="1:9" ht="18.75" customHeight="1" x14ac:dyDescent="0.4">
      <c r="A4774" s="14" t="s">
        <v>2156</v>
      </c>
      <c r="B4774" s="16" t="str">
        <f>TRIM("矢田中ひまわり会館（もと矢田中会館老人憩の家）")</f>
        <v>矢田中ひまわり会館（もと矢田中会館老人憩の家）</v>
      </c>
      <c r="C4774" s="14" t="s">
        <v>1514</v>
      </c>
      <c r="D4774" s="14" t="s">
        <v>932</v>
      </c>
      <c r="E4774" s="1">
        <v>168.74</v>
      </c>
      <c r="F4774" s="2"/>
      <c r="G4774" s="1"/>
      <c r="H4774" s="3"/>
      <c r="I4774" s="14" t="s">
        <v>1782</v>
      </c>
    </row>
    <row r="4775" spans="1:9" ht="18.75" customHeight="1" x14ac:dyDescent="0.4">
      <c r="A4775" s="14" t="s">
        <v>2253</v>
      </c>
      <c r="B4775" s="16" t="str">
        <f>TRIM("大阪狭山線（東住吉）（管財課）")</f>
        <v>大阪狭山線（東住吉）（管財課）</v>
      </c>
      <c r="C4775" s="14" t="s">
        <v>1514</v>
      </c>
      <c r="D4775" s="14" t="s">
        <v>932</v>
      </c>
      <c r="E4775" s="1">
        <v>52192.99</v>
      </c>
      <c r="F4775" s="2"/>
      <c r="G4775" s="1"/>
      <c r="H4775" s="3"/>
      <c r="I4775" s="14" t="s">
        <v>2177</v>
      </c>
    </row>
    <row r="4776" spans="1:9" ht="18.75" customHeight="1" x14ac:dyDescent="0.4">
      <c r="A4776" s="14" t="s">
        <v>3359</v>
      </c>
      <c r="B4776" s="16" t="str">
        <f>TRIM("　矢田中公園")</f>
        <v>矢田中公園</v>
      </c>
      <c r="C4776" s="14" t="s">
        <v>1514</v>
      </c>
      <c r="D4776" s="14" t="s">
        <v>932</v>
      </c>
      <c r="E4776" s="1">
        <v>1302</v>
      </c>
      <c r="F4776" s="2"/>
      <c r="G4776" s="1"/>
      <c r="H4776" s="3"/>
      <c r="I4776" s="14" t="s">
        <v>2177</v>
      </c>
    </row>
    <row r="4777" spans="1:9" ht="18.75" customHeight="1" x14ac:dyDescent="0.4">
      <c r="A4777" s="14" t="s">
        <v>2157</v>
      </c>
      <c r="B4777" s="16" t="str">
        <f>TRIM("矢田中福祉会館（もと矢田中老人憩の家）")</f>
        <v>矢田中福祉会館（もと矢田中老人憩の家）</v>
      </c>
      <c r="C4777" s="14" t="s">
        <v>1514</v>
      </c>
      <c r="D4777" s="14" t="s">
        <v>1261</v>
      </c>
      <c r="E4777" s="1">
        <v>294.08</v>
      </c>
      <c r="F4777" s="2"/>
      <c r="G4777" s="1">
        <v>122.41</v>
      </c>
      <c r="H4777" s="3"/>
      <c r="I4777" s="14" t="s">
        <v>1782</v>
      </c>
    </row>
    <row r="4778" spans="1:9" ht="18.75" customHeight="1" x14ac:dyDescent="0.4">
      <c r="A4778" s="14" t="s">
        <v>3360</v>
      </c>
      <c r="B4778" s="16" t="str">
        <f>TRIM("　矢田中中央公園")</f>
        <v>矢田中中央公園</v>
      </c>
      <c r="C4778" s="14" t="s">
        <v>1514</v>
      </c>
      <c r="D4778" s="14" t="s">
        <v>1261</v>
      </c>
      <c r="E4778" s="1">
        <v>799.84</v>
      </c>
      <c r="F4778" s="2"/>
      <c r="G4778" s="1"/>
      <c r="H4778" s="3"/>
      <c r="I4778" s="14" t="s">
        <v>2177</v>
      </c>
    </row>
    <row r="4779" spans="1:9" ht="18.75" customHeight="1" x14ac:dyDescent="0.4">
      <c r="A4779" s="14" t="s">
        <v>4640</v>
      </c>
      <c r="B4779" s="16" t="str">
        <f>TRIM("矢田中会館")</f>
        <v>矢田中会館</v>
      </c>
      <c r="C4779" s="14" t="s">
        <v>1514</v>
      </c>
      <c r="D4779" s="14" t="s">
        <v>1261</v>
      </c>
      <c r="E4779" s="1"/>
      <c r="F4779" s="2"/>
      <c r="G4779" s="1">
        <v>105.85</v>
      </c>
      <c r="H4779" s="3"/>
      <c r="I4779" s="14" t="s">
        <v>1782</v>
      </c>
    </row>
    <row r="4780" spans="1:9" ht="18.75" customHeight="1" x14ac:dyDescent="0.4">
      <c r="A4780" s="14" t="s">
        <v>1615</v>
      </c>
      <c r="B4780" s="16" t="str">
        <f>TRIM("もと矢田地区公共施設建設用地")</f>
        <v>もと矢田地区公共施設建設用地</v>
      </c>
      <c r="C4780" s="14" t="s">
        <v>1514</v>
      </c>
      <c r="D4780" s="14" t="s">
        <v>5</v>
      </c>
      <c r="E4780" s="1">
        <v>109.48</v>
      </c>
      <c r="F4780" s="2">
        <v>688</v>
      </c>
      <c r="G4780" s="1"/>
      <c r="H4780" s="3"/>
      <c r="I4780" s="14" t="s">
        <v>1598</v>
      </c>
    </row>
    <row r="4781" spans="1:9" ht="18.75" customHeight="1" x14ac:dyDescent="0.4">
      <c r="A4781" s="14" t="s">
        <v>7010</v>
      </c>
      <c r="B4781" s="16" t="str">
        <f>TRIM("もと産業振興会館 矢田住宅附帯駐車場")</f>
        <v>もと産業振興会館 矢田住宅附帯駐車場</v>
      </c>
      <c r="C4781" s="14" t="s">
        <v>1514</v>
      </c>
      <c r="D4781" s="14" t="s">
        <v>5</v>
      </c>
      <c r="E4781" s="1">
        <v>788.48</v>
      </c>
      <c r="F4781" s="2">
        <v>2065</v>
      </c>
      <c r="G4781" s="1"/>
      <c r="H4781" s="3"/>
      <c r="I4781" s="14" t="s">
        <v>4115</v>
      </c>
    </row>
    <row r="4782" spans="1:9" ht="18.75" customHeight="1" x14ac:dyDescent="0.4">
      <c r="A4782" s="14" t="s">
        <v>6683</v>
      </c>
      <c r="B4782" s="16" t="str">
        <f>TRIM("矢田住宅")</f>
        <v>矢田住宅</v>
      </c>
      <c r="C4782" s="14" t="s">
        <v>1514</v>
      </c>
      <c r="D4782" s="14" t="s">
        <v>5</v>
      </c>
      <c r="E4782" s="1">
        <v>7181.23</v>
      </c>
      <c r="F4782" s="2">
        <v>2090</v>
      </c>
      <c r="G4782" s="1">
        <v>5166.07</v>
      </c>
      <c r="H4782" s="3"/>
      <c r="I4782" s="14" t="s">
        <v>6177</v>
      </c>
    </row>
    <row r="4783" spans="1:9" ht="18.75" customHeight="1" x14ac:dyDescent="0.4">
      <c r="A4783" s="14" t="s">
        <v>5936</v>
      </c>
      <c r="B4783" s="16" t="str">
        <f>TRIM("矢田教育の森保育所")</f>
        <v>矢田教育の森保育所</v>
      </c>
      <c r="C4783" s="14" t="s">
        <v>1514</v>
      </c>
      <c r="D4783" s="14" t="s">
        <v>5</v>
      </c>
      <c r="E4783" s="1">
        <v>3151.37</v>
      </c>
      <c r="F4783" s="2"/>
      <c r="G4783" s="1">
        <v>1483.5</v>
      </c>
      <c r="H4783" s="3"/>
      <c r="I4783" s="14" t="s">
        <v>5617</v>
      </c>
    </row>
    <row r="4784" spans="1:9" ht="18.75" customHeight="1" x14ac:dyDescent="0.4">
      <c r="A4784" s="14" t="s">
        <v>3006</v>
      </c>
      <c r="B4784" s="16" t="str">
        <f>TRIM("　大和川東公園")</f>
        <v>大和川東公園</v>
      </c>
      <c r="C4784" s="14" t="s">
        <v>1514</v>
      </c>
      <c r="D4784" s="14" t="s">
        <v>5</v>
      </c>
      <c r="E4784" s="1">
        <v>6617.89</v>
      </c>
      <c r="F4784" s="2"/>
      <c r="G4784" s="1"/>
      <c r="H4784" s="3"/>
      <c r="I4784" s="14" t="s">
        <v>2177</v>
      </c>
    </row>
    <row r="4785" spans="1:9" ht="18.75" customHeight="1" x14ac:dyDescent="0.4">
      <c r="A4785" s="14" t="s">
        <v>3352</v>
      </c>
      <c r="B4785" s="16" t="str">
        <f>TRIM("　矢田5公園")</f>
        <v>矢田5公園</v>
      </c>
      <c r="C4785" s="14" t="s">
        <v>1514</v>
      </c>
      <c r="D4785" s="14" t="s">
        <v>5</v>
      </c>
      <c r="E4785" s="1">
        <v>45.35</v>
      </c>
      <c r="F4785" s="2"/>
      <c r="G4785" s="1"/>
      <c r="H4785" s="3"/>
      <c r="I4785" s="14" t="s">
        <v>2177</v>
      </c>
    </row>
    <row r="4786" spans="1:9" ht="18.75" customHeight="1" x14ac:dyDescent="0.4">
      <c r="A4786" s="14" t="s">
        <v>3355</v>
      </c>
      <c r="B4786" s="16" t="str">
        <f>TRIM("　矢田教育の森公園")</f>
        <v>矢田教育の森公園</v>
      </c>
      <c r="C4786" s="14" t="s">
        <v>1514</v>
      </c>
      <c r="D4786" s="14" t="s">
        <v>5</v>
      </c>
      <c r="E4786" s="1">
        <v>12582.98</v>
      </c>
      <c r="F4786" s="2"/>
      <c r="G4786" s="1"/>
      <c r="H4786" s="3"/>
      <c r="I4786" s="14" t="s">
        <v>2177</v>
      </c>
    </row>
    <row r="4787" spans="1:9" ht="18.75" customHeight="1" x14ac:dyDescent="0.4">
      <c r="A4787" s="14" t="s">
        <v>3685</v>
      </c>
      <c r="B4787" s="16" t="str">
        <f>TRIM("　矢田教育の森公園")</f>
        <v>矢田教育の森公園</v>
      </c>
      <c r="C4787" s="14" t="s">
        <v>1514</v>
      </c>
      <c r="D4787" s="14" t="s">
        <v>5</v>
      </c>
      <c r="E4787" s="1"/>
      <c r="F4787" s="2"/>
      <c r="G4787" s="1">
        <v>20.399999999999999</v>
      </c>
      <c r="H4787" s="3"/>
      <c r="I4787" s="14" t="s">
        <v>2177</v>
      </c>
    </row>
    <row r="4788" spans="1:9" ht="18.75" customHeight="1" x14ac:dyDescent="0.4">
      <c r="A4788" s="14" t="s">
        <v>5148</v>
      </c>
      <c r="B4788" s="16" t="str">
        <f>TRIM("もと東住吉特別支援学校")</f>
        <v>もと東住吉特別支援学校</v>
      </c>
      <c r="C4788" s="14" t="s">
        <v>1514</v>
      </c>
      <c r="D4788" s="14" t="s">
        <v>5</v>
      </c>
      <c r="E4788" s="1">
        <v>1501.87</v>
      </c>
      <c r="F4788" s="2"/>
      <c r="G4788" s="1"/>
      <c r="H4788" s="3"/>
      <c r="I4788" s="14" t="s">
        <v>4689</v>
      </c>
    </row>
    <row r="4789" spans="1:9" ht="18.75" customHeight="1" x14ac:dyDescent="0.4">
      <c r="A4789" s="14" t="s">
        <v>6182</v>
      </c>
      <c r="B4789" s="16" t="str">
        <f>TRIM("もと矢田中住宅")</f>
        <v>もと矢田中住宅</v>
      </c>
      <c r="C4789" s="14" t="s">
        <v>1514</v>
      </c>
      <c r="D4789" s="14" t="s">
        <v>5</v>
      </c>
      <c r="E4789" s="1">
        <v>898.72</v>
      </c>
      <c r="F4789" s="2"/>
      <c r="G4789" s="1"/>
      <c r="H4789" s="3"/>
      <c r="I4789" s="14" t="s">
        <v>6177</v>
      </c>
    </row>
    <row r="4790" spans="1:9" ht="18.75" customHeight="1" x14ac:dyDescent="0.4">
      <c r="A4790" s="14" t="s">
        <v>6689</v>
      </c>
      <c r="B4790" s="16" t="str">
        <f>TRIM("矢田南住宅")</f>
        <v>矢田南住宅</v>
      </c>
      <c r="C4790" s="14" t="s">
        <v>1514</v>
      </c>
      <c r="D4790" s="14" t="s">
        <v>5</v>
      </c>
      <c r="E4790" s="1">
        <v>78.52</v>
      </c>
      <c r="F4790" s="2"/>
      <c r="G4790" s="1"/>
      <c r="H4790" s="3"/>
      <c r="I4790" s="14" t="s">
        <v>6177</v>
      </c>
    </row>
    <row r="4791" spans="1:9" ht="18.75" customHeight="1" x14ac:dyDescent="0.4">
      <c r="A4791" s="14" t="s">
        <v>6885</v>
      </c>
      <c r="B4791" s="16" t="str">
        <f>TRIM("もと矢田中住宅")</f>
        <v>もと矢田中住宅</v>
      </c>
      <c r="C4791" s="14" t="s">
        <v>1514</v>
      </c>
      <c r="D4791" s="14" t="s">
        <v>5</v>
      </c>
      <c r="E4791" s="1">
        <v>15.21</v>
      </c>
      <c r="F4791" s="2"/>
      <c r="G4791" s="1"/>
      <c r="H4791" s="3"/>
      <c r="I4791" s="14" t="s">
        <v>6177</v>
      </c>
    </row>
    <row r="4792" spans="1:9" ht="18.75" customHeight="1" x14ac:dyDescent="0.4">
      <c r="A4792" s="14" t="s">
        <v>6687</v>
      </c>
      <c r="B4792" s="16" t="str">
        <f>TRIM("矢田中住宅")</f>
        <v>矢田中住宅</v>
      </c>
      <c r="C4792" s="14" t="s">
        <v>1514</v>
      </c>
      <c r="D4792" s="14" t="s">
        <v>330</v>
      </c>
      <c r="E4792" s="1">
        <v>23205.759999999998</v>
      </c>
      <c r="F4792" s="2"/>
      <c r="G4792" s="1">
        <v>19228.46</v>
      </c>
      <c r="H4792" s="3"/>
      <c r="I4792" s="14" t="s">
        <v>6177</v>
      </c>
    </row>
    <row r="4793" spans="1:9" ht="18.75" customHeight="1" x14ac:dyDescent="0.4">
      <c r="A4793" s="14" t="s">
        <v>5653</v>
      </c>
      <c r="B4793" s="16" t="str">
        <f>TRIM("もと矢田児童遊園（矢田六丁目９‐１）")</f>
        <v>もと矢田児童遊園（矢田六丁目９‐１）</v>
      </c>
      <c r="C4793" s="14" t="s">
        <v>1514</v>
      </c>
      <c r="D4793" s="14" t="s">
        <v>330</v>
      </c>
      <c r="E4793" s="1">
        <v>350.41</v>
      </c>
      <c r="F4793" s="2">
        <v>687</v>
      </c>
      <c r="G4793" s="1"/>
      <c r="H4793" s="3"/>
      <c r="I4793" s="14" t="s">
        <v>5617</v>
      </c>
    </row>
    <row r="4794" spans="1:9" ht="18.75" customHeight="1" x14ac:dyDescent="0.4">
      <c r="A4794" s="14" t="s">
        <v>4625</v>
      </c>
      <c r="B4794" s="16" t="str">
        <f>TRIM("もと東住吉区役所矢田出張所")</f>
        <v>もと東住吉区役所矢田出張所</v>
      </c>
      <c r="C4794" s="14" t="s">
        <v>1514</v>
      </c>
      <c r="D4794" s="14" t="s">
        <v>330</v>
      </c>
      <c r="E4794" s="1">
        <v>1618.38</v>
      </c>
      <c r="F4794" s="2">
        <v>1735</v>
      </c>
      <c r="G4794" s="1">
        <v>1280.24</v>
      </c>
      <c r="H4794" s="3" t="s">
        <v>7353</v>
      </c>
      <c r="I4794" s="14" t="s">
        <v>1782</v>
      </c>
    </row>
    <row r="4795" spans="1:9" ht="18.75" customHeight="1" x14ac:dyDescent="0.4">
      <c r="A4795" s="14" t="s">
        <v>6685</v>
      </c>
      <c r="B4795" s="16" t="str">
        <f>TRIM("矢田住道西住宅")</f>
        <v>矢田住道西住宅</v>
      </c>
      <c r="C4795" s="14" t="s">
        <v>1514</v>
      </c>
      <c r="D4795" s="14" t="s">
        <v>330</v>
      </c>
      <c r="E4795" s="1">
        <v>2600.36</v>
      </c>
      <c r="F4795" s="2">
        <v>2080</v>
      </c>
      <c r="G4795" s="1">
        <v>69.42</v>
      </c>
      <c r="H4795" s="3"/>
      <c r="I4795" s="14" t="s">
        <v>6177</v>
      </c>
    </row>
    <row r="4796" spans="1:9" ht="18.75" customHeight="1" x14ac:dyDescent="0.4">
      <c r="A4796" s="14" t="s">
        <v>4623</v>
      </c>
      <c r="B4796" s="16" t="str">
        <f>TRIM("東住吉区役所矢田出張所")</f>
        <v>東住吉区役所矢田出張所</v>
      </c>
      <c r="C4796" s="14" t="s">
        <v>1514</v>
      </c>
      <c r="D4796" s="14" t="s">
        <v>330</v>
      </c>
      <c r="E4796" s="1">
        <v>1079.1199999999999</v>
      </c>
      <c r="F4796" s="2"/>
      <c r="G4796" s="1">
        <v>345.99</v>
      </c>
      <c r="H4796" s="3"/>
      <c r="I4796" s="14" t="s">
        <v>1782</v>
      </c>
    </row>
    <row r="4797" spans="1:9" ht="18.75" customHeight="1" x14ac:dyDescent="0.4">
      <c r="A4797" s="14" t="s">
        <v>5287</v>
      </c>
      <c r="B4797" s="16" t="str">
        <f>TRIM("東住吉消防署矢田出張所")</f>
        <v>東住吉消防署矢田出張所</v>
      </c>
      <c r="C4797" s="14" t="s">
        <v>1514</v>
      </c>
      <c r="D4797" s="14" t="s">
        <v>330</v>
      </c>
      <c r="E4797" s="1">
        <v>569.95000000000005</v>
      </c>
      <c r="F4797" s="2"/>
      <c r="G4797" s="1">
        <v>660.89</v>
      </c>
      <c r="H4797" s="3"/>
      <c r="I4797" s="14" t="s">
        <v>5219</v>
      </c>
    </row>
    <row r="4798" spans="1:9" ht="18.75" customHeight="1" x14ac:dyDescent="0.4">
      <c r="A4798" s="14" t="s">
        <v>6690</v>
      </c>
      <c r="B4798" s="16" t="str">
        <f>TRIM("矢田北住宅")</f>
        <v>矢田北住宅</v>
      </c>
      <c r="C4798" s="14" t="s">
        <v>1514</v>
      </c>
      <c r="D4798" s="14" t="s">
        <v>330</v>
      </c>
      <c r="E4798" s="1">
        <v>8865.41</v>
      </c>
      <c r="F4798" s="2"/>
      <c r="G4798" s="1">
        <v>7704.38</v>
      </c>
      <c r="H4798" s="3"/>
      <c r="I4798" s="14" t="s">
        <v>6177</v>
      </c>
    </row>
    <row r="4799" spans="1:9" ht="18.75" customHeight="1" x14ac:dyDescent="0.4">
      <c r="A4799" s="14" t="s">
        <v>1672</v>
      </c>
      <c r="B4799" s="16" t="str">
        <f>TRIM("矢田地区共同浴場")</f>
        <v>矢田地区共同浴場</v>
      </c>
      <c r="C4799" s="14" t="s">
        <v>1514</v>
      </c>
      <c r="D4799" s="14" t="s">
        <v>330</v>
      </c>
      <c r="E4799" s="1">
        <v>1154.3499999999999</v>
      </c>
      <c r="F4799" s="2"/>
      <c r="G4799" s="1"/>
      <c r="H4799" s="3"/>
      <c r="I4799" s="14" t="s">
        <v>1654</v>
      </c>
    </row>
    <row r="4800" spans="1:9" ht="18.75" customHeight="1" x14ac:dyDescent="0.4">
      <c r="A4800" s="14" t="s">
        <v>1706</v>
      </c>
      <c r="B4800" s="16" t="str">
        <f>TRIM("もと矢田障がい者会館")</f>
        <v>もと矢田障がい者会館</v>
      </c>
      <c r="C4800" s="14" t="s">
        <v>1514</v>
      </c>
      <c r="D4800" s="14" t="s">
        <v>330</v>
      </c>
      <c r="E4800" s="1">
        <v>80.16</v>
      </c>
      <c r="F4800" s="2"/>
      <c r="G4800" s="1"/>
      <c r="H4800" s="3"/>
      <c r="I4800" s="14" t="s">
        <v>1654</v>
      </c>
    </row>
    <row r="4801" spans="1:9" ht="18.75" customHeight="1" x14ac:dyDescent="0.4">
      <c r="A4801" s="14" t="s">
        <v>1947</v>
      </c>
      <c r="B4801" s="16" t="str">
        <f>TRIM("特別養護老人ホーム花嵐・矢田南地域在宅サービスステーション・障がい福祉サービス事業所もくれん")</f>
        <v>特別養護老人ホーム花嵐・矢田南地域在宅サービスステーション・障がい福祉サービス事業所もくれん</v>
      </c>
      <c r="C4801" s="14" t="s">
        <v>1514</v>
      </c>
      <c r="D4801" s="14" t="s">
        <v>330</v>
      </c>
      <c r="E4801" s="1">
        <v>4780.93</v>
      </c>
      <c r="F4801" s="2"/>
      <c r="G4801" s="1"/>
      <c r="H4801" s="3"/>
      <c r="I4801" s="14" t="s">
        <v>1654</v>
      </c>
    </row>
    <row r="4802" spans="1:9" ht="18.75" customHeight="1" x14ac:dyDescent="0.4">
      <c r="A4802" s="14" t="s">
        <v>3353</v>
      </c>
      <c r="B4802" s="16" t="str">
        <f>TRIM("　矢田6公園")</f>
        <v>矢田6公園</v>
      </c>
      <c r="C4802" s="14" t="s">
        <v>1514</v>
      </c>
      <c r="D4802" s="14" t="s">
        <v>330</v>
      </c>
      <c r="E4802" s="1">
        <v>2469.92</v>
      </c>
      <c r="F4802" s="2"/>
      <c r="G4802" s="1"/>
      <c r="H4802" s="3"/>
      <c r="I4802" s="14" t="s">
        <v>2177</v>
      </c>
    </row>
    <row r="4803" spans="1:9" ht="18.75" customHeight="1" x14ac:dyDescent="0.4">
      <c r="A4803" s="14" t="s">
        <v>4707</v>
      </c>
      <c r="B4803" s="16" t="str">
        <f>TRIM("もと矢田小学校")</f>
        <v>もと矢田小学校</v>
      </c>
      <c r="C4803" s="14" t="s">
        <v>1514</v>
      </c>
      <c r="D4803" s="14" t="s">
        <v>330</v>
      </c>
      <c r="E4803" s="1">
        <v>13.22</v>
      </c>
      <c r="F4803" s="2"/>
      <c r="G4803" s="1"/>
      <c r="H4803" s="3"/>
      <c r="I4803" s="14" t="s">
        <v>4689</v>
      </c>
    </row>
    <row r="4804" spans="1:9" ht="18.75" customHeight="1" x14ac:dyDescent="0.4">
      <c r="A4804" s="14" t="s">
        <v>5637</v>
      </c>
      <c r="B4804" s="16" t="str">
        <f>TRIM("もと矢田児童遊園")</f>
        <v>もと矢田児童遊園</v>
      </c>
      <c r="C4804" s="14" t="s">
        <v>1514</v>
      </c>
      <c r="D4804" s="14" t="s">
        <v>330</v>
      </c>
      <c r="E4804" s="1">
        <v>1.1499999999999999</v>
      </c>
      <c r="F4804" s="2"/>
      <c r="G4804" s="1"/>
      <c r="H4804" s="3"/>
      <c r="I4804" s="14" t="s">
        <v>5617</v>
      </c>
    </row>
    <row r="4805" spans="1:9" ht="18.75" customHeight="1" x14ac:dyDescent="0.4">
      <c r="A4805" s="14" t="s">
        <v>6684</v>
      </c>
      <c r="B4805" s="16" t="str">
        <f>TRIM("矢田住宅地区改良事業用地")</f>
        <v>矢田住宅地区改良事業用地</v>
      </c>
      <c r="C4805" s="14" t="s">
        <v>1514</v>
      </c>
      <c r="D4805" s="14" t="s">
        <v>330</v>
      </c>
      <c r="E4805" s="1">
        <v>320.45</v>
      </c>
      <c r="F4805" s="2"/>
      <c r="G4805" s="1"/>
      <c r="H4805" s="3"/>
      <c r="I4805" s="14" t="s">
        <v>6177</v>
      </c>
    </row>
    <row r="4806" spans="1:9" ht="18.75" customHeight="1" x14ac:dyDescent="0.4">
      <c r="A4806" s="14" t="s">
        <v>6688</v>
      </c>
      <c r="B4806" s="16" t="str">
        <f>TRIM("矢田東地区改良事業用地")</f>
        <v>矢田東地区改良事業用地</v>
      </c>
      <c r="C4806" s="14" t="s">
        <v>1514</v>
      </c>
      <c r="D4806" s="14" t="s">
        <v>330</v>
      </c>
      <c r="E4806" s="1">
        <v>61.72</v>
      </c>
      <c r="F4806" s="2"/>
      <c r="G4806" s="1"/>
      <c r="H4806" s="3"/>
      <c r="I4806" s="14" t="s">
        <v>6177</v>
      </c>
    </row>
    <row r="4807" spans="1:9" ht="18.75" customHeight="1" x14ac:dyDescent="0.4">
      <c r="A4807" s="14" t="s">
        <v>6691</v>
      </c>
      <c r="B4807" s="16" t="str">
        <f>TRIM("矢田北住宅地区改良事業用地")</f>
        <v>矢田北住宅地区改良事業用地</v>
      </c>
      <c r="C4807" s="14" t="s">
        <v>1514</v>
      </c>
      <c r="D4807" s="14" t="s">
        <v>330</v>
      </c>
      <c r="E4807" s="1">
        <v>611.72</v>
      </c>
      <c r="F4807" s="2"/>
      <c r="G4807" s="1"/>
      <c r="H4807" s="3"/>
      <c r="I4807" s="14" t="s">
        <v>6177</v>
      </c>
    </row>
    <row r="4808" spans="1:9" ht="18.75" customHeight="1" x14ac:dyDescent="0.4">
      <c r="A4808" s="14" t="s">
        <v>6692</v>
      </c>
      <c r="B4808" s="16" t="str">
        <f>TRIM("矢田北住宅附帯駐車場")</f>
        <v>矢田北住宅附帯駐車場</v>
      </c>
      <c r="C4808" s="14" t="s">
        <v>1514</v>
      </c>
      <c r="D4808" s="14" t="s">
        <v>330</v>
      </c>
      <c r="E4808" s="1">
        <v>228.48</v>
      </c>
      <c r="F4808" s="2"/>
      <c r="G4808" s="1"/>
      <c r="H4808" s="3"/>
      <c r="I4808" s="14" t="s">
        <v>6177</v>
      </c>
    </row>
    <row r="4809" spans="1:9" ht="18.75" customHeight="1" x14ac:dyDescent="0.4">
      <c r="A4809" s="14" t="s">
        <v>6897</v>
      </c>
      <c r="B4809" s="16" t="str">
        <f>TRIM("矢田住宅地区改良事業用地")</f>
        <v>矢田住宅地区改良事業用地</v>
      </c>
      <c r="C4809" s="14" t="s">
        <v>1514</v>
      </c>
      <c r="D4809" s="14" t="s">
        <v>330</v>
      </c>
      <c r="E4809" s="1">
        <v>4408.58</v>
      </c>
      <c r="F4809" s="2"/>
      <c r="G4809" s="1"/>
      <c r="H4809" s="3"/>
      <c r="I4809" s="14" t="s">
        <v>6177</v>
      </c>
    </row>
    <row r="4810" spans="1:9" ht="18.75" customHeight="1" x14ac:dyDescent="0.4">
      <c r="A4810" s="14" t="s">
        <v>6898</v>
      </c>
      <c r="B4810" s="16" t="str">
        <f>TRIM("矢田中住宅")</f>
        <v>矢田中住宅</v>
      </c>
      <c r="C4810" s="14" t="s">
        <v>1514</v>
      </c>
      <c r="D4810" s="14" t="s">
        <v>330</v>
      </c>
      <c r="E4810" s="1">
        <v>1209.08</v>
      </c>
      <c r="F4810" s="2">
        <v>675</v>
      </c>
      <c r="G4810" s="1"/>
      <c r="H4810" s="3"/>
      <c r="I4810" s="14" t="s">
        <v>6177</v>
      </c>
    </row>
    <row r="4811" spans="1:9" ht="18.75" customHeight="1" x14ac:dyDescent="0.4">
      <c r="A4811" s="14" t="s">
        <v>6899</v>
      </c>
      <c r="B4811" s="16" t="str">
        <f>TRIM("矢田東地区改良事業用地")</f>
        <v>矢田東地区改良事業用地</v>
      </c>
      <c r="C4811" s="14" t="s">
        <v>1514</v>
      </c>
      <c r="D4811" s="14" t="s">
        <v>330</v>
      </c>
      <c r="E4811" s="1">
        <v>136.81</v>
      </c>
      <c r="F4811" s="2"/>
      <c r="G4811" s="1"/>
      <c r="H4811" s="3"/>
      <c r="I4811" s="14" t="s">
        <v>6177</v>
      </c>
    </row>
    <row r="4812" spans="1:9" ht="18.75" customHeight="1" x14ac:dyDescent="0.4">
      <c r="A4812" s="14" t="s">
        <v>6900</v>
      </c>
      <c r="B4812" s="16" t="str">
        <f>TRIM("矢田北住宅")</f>
        <v>矢田北住宅</v>
      </c>
      <c r="C4812" s="14" t="s">
        <v>1514</v>
      </c>
      <c r="D4812" s="14" t="s">
        <v>330</v>
      </c>
      <c r="E4812" s="1">
        <v>556.13</v>
      </c>
      <c r="F4812" s="2"/>
      <c r="G4812" s="1"/>
      <c r="H4812" s="3"/>
      <c r="I4812" s="14" t="s">
        <v>6177</v>
      </c>
    </row>
    <row r="4813" spans="1:9" ht="18.75" customHeight="1" x14ac:dyDescent="0.4">
      <c r="A4813" s="14" t="s">
        <v>6901</v>
      </c>
      <c r="B4813" s="16" t="str">
        <f>TRIM("矢田北住宅地区改良事業用地")</f>
        <v>矢田北住宅地区改良事業用地</v>
      </c>
      <c r="C4813" s="14" t="s">
        <v>1514</v>
      </c>
      <c r="D4813" s="14" t="s">
        <v>330</v>
      </c>
      <c r="E4813" s="1">
        <v>851.11</v>
      </c>
      <c r="F4813" s="2"/>
      <c r="G4813" s="1"/>
      <c r="H4813" s="3"/>
      <c r="I4813" s="14" t="s">
        <v>6177</v>
      </c>
    </row>
    <row r="4814" spans="1:9" ht="18.75" customHeight="1" x14ac:dyDescent="0.4">
      <c r="A4814" s="14" t="s">
        <v>4630</v>
      </c>
      <c r="B4814" s="16" t="str">
        <f>TRIM("枯木南会館")</f>
        <v>枯木南会館</v>
      </c>
      <c r="C4814" s="14" t="s">
        <v>1514</v>
      </c>
      <c r="D4814" s="14" t="s">
        <v>1034</v>
      </c>
      <c r="E4814" s="1">
        <v>250.52</v>
      </c>
      <c r="F4814" s="2"/>
      <c r="G4814" s="1">
        <v>100.45</v>
      </c>
      <c r="H4814" s="3"/>
      <c r="I4814" s="14" t="s">
        <v>1782</v>
      </c>
    </row>
    <row r="4815" spans="1:9" ht="18.75" customHeight="1" x14ac:dyDescent="0.4">
      <c r="A4815" s="14" t="s">
        <v>2677</v>
      </c>
      <c r="B4815" s="16" t="str">
        <f>TRIM("　枯木南公園")</f>
        <v>枯木南公園</v>
      </c>
      <c r="C4815" s="14" t="s">
        <v>1514</v>
      </c>
      <c r="D4815" s="14" t="s">
        <v>1034</v>
      </c>
      <c r="E4815" s="1">
        <v>2616.52</v>
      </c>
      <c r="F4815" s="2"/>
      <c r="G4815" s="1"/>
      <c r="H4815" s="3"/>
      <c r="I4815" s="14" t="s">
        <v>2177</v>
      </c>
    </row>
    <row r="4816" spans="1:9" ht="18.75" customHeight="1" x14ac:dyDescent="0.4">
      <c r="A4816" s="14" t="s">
        <v>4639</v>
      </c>
      <c r="B4816" s="16" t="str">
        <f>TRIM("北田辺文化会館")</f>
        <v>北田辺文化会館</v>
      </c>
      <c r="C4816" s="14" t="s">
        <v>1514</v>
      </c>
      <c r="D4816" s="14" t="s">
        <v>1507</v>
      </c>
      <c r="E4816" s="1"/>
      <c r="F4816" s="2"/>
      <c r="G4816" s="1">
        <v>124.8</v>
      </c>
      <c r="H4816" s="3"/>
      <c r="I4816" s="14" t="s">
        <v>1782</v>
      </c>
    </row>
    <row r="4817" spans="1:9" ht="18.75" customHeight="1" x14ac:dyDescent="0.4">
      <c r="A4817" s="14" t="s">
        <v>2759</v>
      </c>
      <c r="B4817" s="16" t="str">
        <f>TRIM("　山坂公園")</f>
        <v>山坂公園</v>
      </c>
      <c r="C4817" s="14" t="s">
        <v>1514</v>
      </c>
      <c r="D4817" s="14" t="s">
        <v>1063</v>
      </c>
      <c r="E4817" s="1">
        <v>3891.79</v>
      </c>
      <c r="F4817" s="2"/>
      <c r="G4817" s="1"/>
      <c r="H4817" s="3"/>
      <c r="I4817" s="14" t="s">
        <v>2177</v>
      </c>
    </row>
    <row r="4818" spans="1:9" ht="18.75" customHeight="1" x14ac:dyDescent="0.4">
      <c r="A4818" s="14" t="s">
        <v>3564</v>
      </c>
      <c r="B4818" s="16" t="str">
        <f>TRIM("　山坂公園")</f>
        <v>山坂公園</v>
      </c>
      <c r="C4818" s="14" t="s">
        <v>1514</v>
      </c>
      <c r="D4818" s="14" t="s">
        <v>1063</v>
      </c>
      <c r="E4818" s="1"/>
      <c r="F4818" s="2"/>
      <c r="G4818" s="1">
        <v>6.6</v>
      </c>
      <c r="H4818" s="3"/>
      <c r="I4818" s="14" t="s">
        <v>2177</v>
      </c>
    </row>
    <row r="4819" spans="1:9" ht="18.75" customHeight="1" x14ac:dyDescent="0.4">
      <c r="A4819" s="14" t="s">
        <v>6173</v>
      </c>
      <c r="B4819" s="16" t="str">
        <f>TRIM("もと松原霊園")</f>
        <v>もと松原霊園</v>
      </c>
      <c r="C4819" s="14" t="s">
        <v>1514</v>
      </c>
      <c r="D4819" s="14" t="s">
        <v>643</v>
      </c>
      <c r="E4819" s="1">
        <v>257</v>
      </c>
      <c r="F4819" s="2">
        <v>1504</v>
      </c>
      <c r="G4819" s="1"/>
      <c r="H4819" s="3"/>
      <c r="I4819" s="14" t="s">
        <v>5977</v>
      </c>
    </row>
    <row r="4820" spans="1:9" ht="18.75" customHeight="1" x14ac:dyDescent="0.4">
      <c r="A4820" s="14" t="s">
        <v>2443</v>
      </c>
      <c r="B4820" s="16" t="str">
        <f>TRIM("天王寺大和川線（東住吉）")</f>
        <v>天王寺大和川線（東住吉）</v>
      </c>
      <c r="C4820" s="14" t="s">
        <v>1514</v>
      </c>
      <c r="D4820" s="14" t="s">
        <v>643</v>
      </c>
      <c r="E4820" s="1">
        <v>7030.17</v>
      </c>
      <c r="F4820" s="2"/>
      <c r="G4820" s="1"/>
      <c r="H4820" s="3"/>
      <c r="I4820" s="14" t="s">
        <v>2177</v>
      </c>
    </row>
    <row r="4821" spans="1:9" ht="18.75" customHeight="1" x14ac:dyDescent="0.4">
      <c r="A4821" s="14" t="s">
        <v>6128</v>
      </c>
      <c r="B4821" s="16" t="str">
        <f>TRIM("松原霊園")</f>
        <v>松原霊園</v>
      </c>
      <c r="C4821" s="14" t="s">
        <v>1514</v>
      </c>
      <c r="D4821" s="14" t="s">
        <v>643</v>
      </c>
      <c r="E4821" s="1">
        <v>1761.16</v>
      </c>
      <c r="F4821" s="2"/>
      <c r="G4821" s="1"/>
      <c r="H4821" s="3"/>
      <c r="I4821" s="14" t="s">
        <v>5977</v>
      </c>
    </row>
    <row r="4822" spans="1:9" ht="18.75" customHeight="1" x14ac:dyDescent="0.4">
      <c r="A4822" s="14" t="s">
        <v>5053</v>
      </c>
      <c r="B4822" s="16" t="str">
        <f>TRIM("南百済小学校")</f>
        <v>南百済小学校</v>
      </c>
      <c r="C4822" s="14" t="s">
        <v>1514</v>
      </c>
      <c r="D4822" s="14" t="s">
        <v>1200</v>
      </c>
      <c r="E4822" s="1">
        <v>12658.18</v>
      </c>
      <c r="F4822" s="2"/>
      <c r="G4822" s="1">
        <v>5459.21</v>
      </c>
      <c r="H4822" s="3"/>
      <c r="I4822" s="14" t="s">
        <v>4689</v>
      </c>
    </row>
    <row r="4823" spans="1:9" ht="18.75" customHeight="1" x14ac:dyDescent="0.4">
      <c r="A4823" s="14" t="s">
        <v>3167</v>
      </c>
      <c r="B4823" s="16" t="str">
        <f>TRIM("　湯里街園")</f>
        <v>湯里街園</v>
      </c>
      <c r="C4823" s="14" t="s">
        <v>1514</v>
      </c>
      <c r="D4823" s="14" t="s">
        <v>1200</v>
      </c>
      <c r="E4823" s="1">
        <v>57.91</v>
      </c>
      <c r="F4823" s="2"/>
      <c r="G4823" s="1"/>
      <c r="H4823" s="3"/>
      <c r="I4823" s="14" t="s">
        <v>2177</v>
      </c>
    </row>
    <row r="4824" spans="1:9" ht="18.75" customHeight="1" x14ac:dyDescent="0.4">
      <c r="A4824" s="14" t="s">
        <v>3166</v>
      </c>
      <c r="B4824" s="16" t="str">
        <f>TRIM("　湯里の森公園")</f>
        <v>湯里の森公園</v>
      </c>
      <c r="C4824" s="14" t="s">
        <v>1514</v>
      </c>
      <c r="D4824" s="14" t="s">
        <v>1199</v>
      </c>
      <c r="E4824" s="1">
        <v>2038</v>
      </c>
      <c r="F4824" s="2"/>
      <c r="G4824" s="1"/>
      <c r="H4824" s="3"/>
      <c r="I4824" s="14" t="s">
        <v>2177</v>
      </c>
    </row>
    <row r="4825" spans="1:9" ht="18.75" customHeight="1" x14ac:dyDescent="0.4">
      <c r="A4825" s="14" t="s">
        <v>5035</v>
      </c>
      <c r="B4825" s="16" t="str">
        <f>TRIM("湯里小学校")</f>
        <v>湯里小学校</v>
      </c>
      <c r="C4825" s="14" t="s">
        <v>1514</v>
      </c>
      <c r="D4825" s="14" t="s">
        <v>1318</v>
      </c>
      <c r="E4825" s="1">
        <v>10112.1</v>
      </c>
      <c r="F4825" s="2"/>
      <c r="G4825" s="1">
        <v>5664.81</v>
      </c>
      <c r="H4825" s="3"/>
      <c r="I4825" s="14" t="s">
        <v>4689</v>
      </c>
    </row>
    <row r="4826" spans="1:9" ht="18.75" customHeight="1" x14ac:dyDescent="0.4">
      <c r="A4826" s="14" t="s">
        <v>4027</v>
      </c>
      <c r="B4826" s="16" t="str">
        <f>TRIM("下水道用地（東住吉）")</f>
        <v>下水道用地（東住吉）</v>
      </c>
      <c r="C4826" s="14" t="s">
        <v>1514</v>
      </c>
      <c r="D4826" s="14" t="s">
        <v>1318</v>
      </c>
      <c r="E4826" s="1">
        <v>7375.64</v>
      </c>
      <c r="F4826" s="2"/>
      <c r="G4826" s="1"/>
      <c r="H4826" s="3"/>
      <c r="I4826" s="14" t="s">
        <v>2177</v>
      </c>
    </row>
    <row r="4827" spans="1:9" ht="18.75" customHeight="1" x14ac:dyDescent="0.4">
      <c r="A4827" s="14" t="s">
        <v>1641</v>
      </c>
      <c r="B4827" s="16" t="str">
        <f>TRIM("公共用地先行取得事業用地（平野区瓜破）")</f>
        <v>公共用地先行取得事業用地（平野区瓜破）</v>
      </c>
      <c r="C4827" s="14" t="s">
        <v>1524</v>
      </c>
      <c r="D4827" s="14" t="s">
        <v>315</v>
      </c>
      <c r="E4827" s="1">
        <v>2174.37</v>
      </c>
      <c r="F4827" s="2" t="s">
        <v>7331</v>
      </c>
      <c r="G4827" s="1"/>
      <c r="H4827" s="3"/>
      <c r="I4827" s="14" t="s">
        <v>1633</v>
      </c>
    </row>
    <row r="4828" spans="1:9" ht="18.75" customHeight="1" x14ac:dyDescent="0.4">
      <c r="A4828" s="14" t="s">
        <v>4732</v>
      </c>
      <c r="B4828" s="16" t="str">
        <f>TRIM("瓜破北小学校")</f>
        <v>瓜破北小学校</v>
      </c>
      <c r="C4828" s="14" t="s">
        <v>1524</v>
      </c>
      <c r="D4828" s="14" t="s">
        <v>315</v>
      </c>
      <c r="E4828" s="1">
        <v>9862.07</v>
      </c>
      <c r="F4828" s="2"/>
      <c r="G4828" s="1">
        <v>6216.7</v>
      </c>
      <c r="H4828" s="3"/>
      <c r="I4828" s="14" t="s">
        <v>4689</v>
      </c>
    </row>
    <row r="4829" spans="1:9" ht="18.75" customHeight="1" x14ac:dyDescent="0.4">
      <c r="A4829" s="14" t="s">
        <v>5779</v>
      </c>
      <c r="B4829" s="16" t="str">
        <f>TRIM("瓜破北幼稚園")</f>
        <v>瓜破北幼稚園</v>
      </c>
      <c r="C4829" s="14" t="s">
        <v>1524</v>
      </c>
      <c r="D4829" s="14" t="s">
        <v>315</v>
      </c>
      <c r="E4829" s="1">
        <v>3592.12</v>
      </c>
      <c r="F4829" s="2"/>
      <c r="G4829" s="1">
        <v>803.48</v>
      </c>
      <c r="H4829" s="3"/>
      <c r="I4829" s="14" t="s">
        <v>5617</v>
      </c>
    </row>
    <row r="4830" spans="1:9" ht="18.75" customHeight="1" x14ac:dyDescent="0.4">
      <c r="A4830" s="14" t="s">
        <v>2217</v>
      </c>
      <c r="B4830" s="16" t="str">
        <f>TRIM("国道３０９号（平野）（管財課）")</f>
        <v>国道３０９号（平野）（管財課）</v>
      </c>
      <c r="C4830" s="14" t="s">
        <v>1524</v>
      </c>
      <c r="D4830" s="14" t="s">
        <v>315</v>
      </c>
      <c r="E4830" s="1">
        <v>82714.570000000007</v>
      </c>
      <c r="F4830" s="2"/>
      <c r="G4830" s="1"/>
      <c r="H4830" s="3"/>
      <c r="I4830" s="14" t="s">
        <v>2177</v>
      </c>
    </row>
    <row r="4831" spans="1:9" ht="18.75" customHeight="1" x14ac:dyDescent="0.4">
      <c r="A4831" s="14" t="s">
        <v>4730</v>
      </c>
      <c r="B4831" s="16" t="str">
        <f>TRIM("瓜破中学校")</f>
        <v>瓜破中学校</v>
      </c>
      <c r="C4831" s="14" t="s">
        <v>1524</v>
      </c>
      <c r="D4831" s="14" t="s">
        <v>869</v>
      </c>
      <c r="E4831" s="1">
        <v>17602.98</v>
      </c>
      <c r="F4831" s="2"/>
      <c r="G4831" s="1">
        <v>7068.86</v>
      </c>
      <c r="H4831" s="3"/>
      <c r="I4831" s="14" t="s">
        <v>4689</v>
      </c>
    </row>
    <row r="4832" spans="1:9" ht="18.75" customHeight="1" x14ac:dyDescent="0.4">
      <c r="A4832" s="14" t="s">
        <v>6771</v>
      </c>
      <c r="B4832" s="16" t="str">
        <f>TRIM("瓜破2丁目住宅")</f>
        <v>瓜破2丁目住宅</v>
      </c>
      <c r="C4832" s="14" t="s">
        <v>1524</v>
      </c>
      <c r="D4832" s="14" t="s">
        <v>869</v>
      </c>
      <c r="E4832" s="1">
        <v>18792.77</v>
      </c>
      <c r="F4832" s="2"/>
      <c r="G4832" s="1">
        <v>34910.699999999997</v>
      </c>
      <c r="H4832" s="3"/>
      <c r="I4832" s="14" t="s">
        <v>6177</v>
      </c>
    </row>
    <row r="4833" spans="1:9" ht="18.75" customHeight="1" x14ac:dyDescent="0.4">
      <c r="A4833" s="14" t="s">
        <v>5840</v>
      </c>
      <c r="B4833" s="16" t="str">
        <f>TRIM("瓜破保育所")</f>
        <v>瓜破保育所</v>
      </c>
      <c r="C4833" s="14" t="s">
        <v>1524</v>
      </c>
      <c r="D4833" s="14" t="s">
        <v>559</v>
      </c>
      <c r="E4833" s="1">
        <v>1053</v>
      </c>
      <c r="F4833" s="2"/>
      <c r="G4833" s="1">
        <v>423.44</v>
      </c>
      <c r="H4833" s="3"/>
      <c r="I4833" s="14" t="s">
        <v>5617</v>
      </c>
    </row>
    <row r="4834" spans="1:9" ht="18.75" customHeight="1" x14ac:dyDescent="0.4">
      <c r="A4834" s="14" t="s">
        <v>5686</v>
      </c>
      <c r="B4834" s="16" t="str">
        <f>TRIM("もと平野勤労青少年ホーム")</f>
        <v>もと平野勤労青少年ホーム</v>
      </c>
      <c r="C4834" s="14" t="s">
        <v>1524</v>
      </c>
      <c r="D4834" s="14" t="s">
        <v>559</v>
      </c>
      <c r="E4834" s="1"/>
      <c r="F4834" s="2"/>
      <c r="G4834" s="1">
        <v>523.37</v>
      </c>
      <c r="H4834" s="3" t="s">
        <v>7353</v>
      </c>
      <c r="I4834" s="14" t="s">
        <v>5617</v>
      </c>
    </row>
    <row r="4835" spans="1:9" ht="18.75" customHeight="1" x14ac:dyDescent="0.4">
      <c r="A4835" s="14" t="s">
        <v>5765</v>
      </c>
      <c r="B4835" s="16" t="str">
        <f>TRIM("もと瓜破幼稚園")</f>
        <v>もと瓜破幼稚園</v>
      </c>
      <c r="C4835" s="14" t="s">
        <v>1524</v>
      </c>
      <c r="D4835" s="14" t="s">
        <v>554</v>
      </c>
      <c r="E4835" s="1">
        <v>1475</v>
      </c>
      <c r="F4835" s="2">
        <v>1743</v>
      </c>
      <c r="G4835" s="1">
        <v>624.32000000000005</v>
      </c>
      <c r="H4835" s="3" t="s">
        <v>7353</v>
      </c>
      <c r="I4835" s="14" t="s">
        <v>5617</v>
      </c>
    </row>
    <row r="4836" spans="1:9" ht="18.75" customHeight="1" x14ac:dyDescent="0.4">
      <c r="A4836" s="14" t="s">
        <v>4727</v>
      </c>
      <c r="B4836" s="16" t="str">
        <f>TRIM("瓜破小学校")</f>
        <v>瓜破小学校</v>
      </c>
      <c r="C4836" s="14" t="s">
        <v>1524</v>
      </c>
      <c r="D4836" s="14" t="s">
        <v>554</v>
      </c>
      <c r="E4836" s="1">
        <v>11879.7</v>
      </c>
      <c r="F4836" s="2"/>
      <c r="G4836" s="1">
        <v>4989.6499999999996</v>
      </c>
      <c r="H4836" s="3"/>
      <c r="I4836" s="14" t="s">
        <v>4689</v>
      </c>
    </row>
    <row r="4837" spans="1:9" ht="18.75" customHeight="1" x14ac:dyDescent="0.4">
      <c r="A4837" s="14" t="s">
        <v>3405</v>
      </c>
      <c r="B4837" s="16" t="str">
        <f>TRIM("瓜破北西公園")</f>
        <v>瓜破北西公園</v>
      </c>
      <c r="C4837" s="14" t="s">
        <v>1524</v>
      </c>
      <c r="D4837" s="14" t="s">
        <v>554</v>
      </c>
      <c r="E4837" s="1">
        <v>1533.01</v>
      </c>
      <c r="F4837" s="2"/>
      <c r="G4837" s="1"/>
      <c r="H4837" s="3"/>
      <c r="I4837" s="14" t="s">
        <v>2177</v>
      </c>
    </row>
    <row r="4838" spans="1:9" ht="18.75" customHeight="1" x14ac:dyDescent="0.4">
      <c r="A4838" s="14" t="s">
        <v>2574</v>
      </c>
      <c r="B4838" s="16" t="str">
        <f>TRIM("　瓜破駒ヶ池公園")</f>
        <v>瓜破駒ヶ池公園</v>
      </c>
      <c r="C4838" s="14" t="s">
        <v>1524</v>
      </c>
      <c r="D4838" s="14" t="s">
        <v>1004</v>
      </c>
      <c r="E4838" s="1">
        <v>3203</v>
      </c>
      <c r="F4838" s="2"/>
      <c r="G4838" s="1"/>
      <c r="H4838" s="3"/>
      <c r="I4838" s="14" t="s">
        <v>2177</v>
      </c>
    </row>
    <row r="4839" spans="1:9" ht="18.75" customHeight="1" x14ac:dyDescent="0.4">
      <c r="A4839" s="14" t="s">
        <v>3717</v>
      </c>
      <c r="B4839" s="16" t="str">
        <f>TRIM(" 瓜破自転車保管所トイレ")</f>
        <v>瓜破自転車保管所トイレ</v>
      </c>
      <c r="C4839" s="14" t="s">
        <v>1524</v>
      </c>
      <c r="D4839" s="14" t="s">
        <v>1004</v>
      </c>
      <c r="E4839" s="1"/>
      <c r="F4839" s="2"/>
      <c r="G4839" s="1">
        <v>1.87</v>
      </c>
      <c r="H4839" s="3"/>
      <c r="I4839" s="14" t="s">
        <v>2177</v>
      </c>
    </row>
    <row r="4840" spans="1:9" ht="18.75" customHeight="1" x14ac:dyDescent="0.4">
      <c r="A4840" s="14" t="s">
        <v>3774</v>
      </c>
      <c r="B4840" s="16" t="str">
        <f>TRIM("瓜破自転車保管所")</f>
        <v>瓜破自転車保管所</v>
      </c>
      <c r="C4840" s="14" t="s">
        <v>1524</v>
      </c>
      <c r="D4840" s="14" t="s">
        <v>1004</v>
      </c>
      <c r="E4840" s="1"/>
      <c r="F4840" s="2"/>
      <c r="G4840" s="1">
        <v>9.93</v>
      </c>
      <c r="H4840" s="3"/>
      <c r="I4840" s="14" t="s">
        <v>2177</v>
      </c>
    </row>
    <row r="4841" spans="1:9" ht="18.75" customHeight="1" x14ac:dyDescent="0.4">
      <c r="A4841" s="14" t="s">
        <v>2572</v>
      </c>
      <c r="B4841" s="16" t="str">
        <f>TRIM("　瓜破7公園")</f>
        <v>瓜破7公園</v>
      </c>
      <c r="C4841" s="14" t="s">
        <v>1524</v>
      </c>
      <c r="D4841" s="14" t="s">
        <v>1002</v>
      </c>
      <c r="E4841" s="1">
        <v>120.66</v>
      </c>
      <c r="F4841" s="2"/>
      <c r="G4841" s="1"/>
      <c r="H4841" s="3"/>
      <c r="I4841" s="14" t="s">
        <v>2177</v>
      </c>
    </row>
    <row r="4842" spans="1:9" ht="18.75" customHeight="1" x14ac:dyDescent="0.4">
      <c r="A4842" s="14" t="s">
        <v>4650</v>
      </c>
      <c r="B4842" s="16" t="str">
        <f>TRIM("平野区南部地域花づくり広場")</f>
        <v>平野区南部地域花づくり広場</v>
      </c>
      <c r="C4842" s="14" t="s">
        <v>1524</v>
      </c>
      <c r="D4842" s="14" t="s">
        <v>1002</v>
      </c>
      <c r="E4842" s="1">
        <v>1142.57</v>
      </c>
      <c r="F4842" s="2"/>
      <c r="G4842" s="1"/>
      <c r="H4842" s="3"/>
      <c r="I4842" s="14" t="s">
        <v>1990</v>
      </c>
    </row>
    <row r="4843" spans="1:9" ht="18.75" customHeight="1" x14ac:dyDescent="0.4">
      <c r="A4843" s="14" t="s">
        <v>4651</v>
      </c>
      <c r="B4843" s="16" t="str">
        <f>TRIM("瓜破地域集会所・老人憩の家")</f>
        <v>瓜破地域集会所・老人憩の家</v>
      </c>
      <c r="C4843" s="14" t="s">
        <v>1524</v>
      </c>
      <c r="D4843" s="14" t="s">
        <v>1002</v>
      </c>
      <c r="E4843" s="1">
        <v>402.86</v>
      </c>
      <c r="F4843" s="2"/>
      <c r="G4843" s="1"/>
      <c r="H4843" s="3"/>
      <c r="I4843" s="14" t="s">
        <v>1990</v>
      </c>
    </row>
    <row r="4844" spans="1:9" ht="18.75" customHeight="1" x14ac:dyDescent="0.4">
      <c r="A4844" s="14" t="s">
        <v>6782</v>
      </c>
      <c r="B4844" s="16" t="str">
        <f>TRIM("瓜破西住宅")</f>
        <v>瓜破西住宅</v>
      </c>
      <c r="C4844" s="14" t="s">
        <v>1524</v>
      </c>
      <c r="D4844" s="14" t="s">
        <v>720</v>
      </c>
      <c r="E4844" s="1">
        <v>86206.47</v>
      </c>
      <c r="F4844" s="2"/>
      <c r="G4844" s="1">
        <v>85877.75</v>
      </c>
      <c r="H4844" s="3"/>
      <c r="I4844" s="14" t="s">
        <v>6177</v>
      </c>
    </row>
    <row r="4845" spans="1:9" ht="18.75" customHeight="1" x14ac:dyDescent="0.4">
      <c r="A4845" s="14" t="s">
        <v>6294</v>
      </c>
      <c r="B4845" s="16" t="str">
        <f>TRIM("瓜破西第2住宅")</f>
        <v>瓜破西第2住宅</v>
      </c>
      <c r="C4845" s="14" t="s">
        <v>1524</v>
      </c>
      <c r="D4845" s="14" t="s">
        <v>720</v>
      </c>
      <c r="E4845" s="1">
        <v>14337.27</v>
      </c>
      <c r="F4845" s="2"/>
      <c r="G4845" s="1">
        <v>22909.040000000001</v>
      </c>
      <c r="H4845" s="3"/>
      <c r="I4845" s="14" t="s">
        <v>6177</v>
      </c>
    </row>
    <row r="4846" spans="1:9" ht="18.75" customHeight="1" x14ac:dyDescent="0.4">
      <c r="A4846" s="14" t="s">
        <v>2576</v>
      </c>
      <c r="B4846" s="16" t="str">
        <f>TRIM("　瓜破西北公園")</f>
        <v>瓜破西北公園</v>
      </c>
      <c r="C4846" s="14" t="s">
        <v>1524</v>
      </c>
      <c r="D4846" s="14" t="s">
        <v>720</v>
      </c>
      <c r="E4846" s="1">
        <v>2297.2600000000002</v>
      </c>
      <c r="F4846" s="2"/>
      <c r="G4846" s="1"/>
      <c r="H4846" s="3"/>
      <c r="I4846" s="14" t="s">
        <v>2177</v>
      </c>
    </row>
    <row r="4847" spans="1:9" ht="18.75" customHeight="1" x14ac:dyDescent="0.4">
      <c r="A4847" s="14" t="s">
        <v>4673</v>
      </c>
      <c r="B4847" s="16" t="str">
        <f>TRIM("瓜破北老人憩の家")</f>
        <v>瓜破北老人憩の家</v>
      </c>
      <c r="C4847" s="14" t="s">
        <v>1524</v>
      </c>
      <c r="D4847" s="14" t="s">
        <v>720</v>
      </c>
      <c r="E4847" s="1"/>
      <c r="F4847" s="2"/>
      <c r="G4847" s="1">
        <v>67.98</v>
      </c>
      <c r="H4847" s="3"/>
      <c r="I4847" s="14" t="s">
        <v>1990</v>
      </c>
    </row>
    <row r="4848" spans="1:9" ht="18.75" customHeight="1" x14ac:dyDescent="0.4">
      <c r="A4848" s="14" t="s">
        <v>4728</v>
      </c>
      <c r="B4848" s="16" t="str">
        <f>TRIM("瓜破西小学校")</f>
        <v>瓜破西小学校</v>
      </c>
      <c r="C4848" s="14" t="s">
        <v>1524</v>
      </c>
      <c r="D4848" s="14" t="s">
        <v>1005</v>
      </c>
      <c r="E4848" s="1">
        <v>13190.78</v>
      </c>
      <c r="F4848" s="2"/>
      <c r="G4848" s="1">
        <v>5990.7</v>
      </c>
      <c r="H4848" s="3"/>
      <c r="I4848" s="14" t="s">
        <v>4689</v>
      </c>
    </row>
    <row r="4849" spans="1:9" ht="18.75" customHeight="1" x14ac:dyDescent="0.4">
      <c r="A4849" s="14" t="s">
        <v>4729</v>
      </c>
      <c r="B4849" s="16" t="str">
        <f>TRIM("瓜破西中学校")</f>
        <v>瓜破西中学校</v>
      </c>
      <c r="C4849" s="14" t="s">
        <v>1524</v>
      </c>
      <c r="D4849" s="14" t="s">
        <v>1005</v>
      </c>
      <c r="E4849" s="1">
        <v>15995.16</v>
      </c>
      <c r="F4849" s="2"/>
      <c r="G4849" s="1">
        <v>7512.11</v>
      </c>
      <c r="H4849" s="3"/>
      <c r="I4849" s="14" t="s">
        <v>4689</v>
      </c>
    </row>
    <row r="4850" spans="1:9" ht="18.75" customHeight="1" x14ac:dyDescent="0.4">
      <c r="A4850" s="14" t="s">
        <v>2575</v>
      </c>
      <c r="B4850" s="16" t="str">
        <f>TRIM("　瓜破西ヶ池公園")</f>
        <v>瓜破西ヶ池公園</v>
      </c>
      <c r="C4850" s="14" t="s">
        <v>1524</v>
      </c>
      <c r="D4850" s="14" t="s">
        <v>1005</v>
      </c>
      <c r="E4850" s="1">
        <v>1193.8499999999999</v>
      </c>
      <c r="F4850" s="2"/>
      <c r="G4850" s="1"/>
      <c r="H4850" s="3"/>
      <c r="I4850" s="14" t="s">
        <v>2177</v>
      </c>
    </row>
    <row r="4851" spans="1:9" ht="18.75" customHeight="1" x14ac:dyDescent="0.4">
      <c r="A4851" s="14" t="s">
        <v>6184</v>
      </c>
      <c r="B4851" s="16" t="str">
        <f>TRIM("瓜破西住宅")</f>
        <v>瓜破西住宅</v>
      </c>
      <c r="C4851" s="14" t="s">
        <v>1524</v>
      </c>
      <c r="D4851" s="14" t="s">
        <v>693</v>
      </c>
      <c r="E4851" s="1">
        <v>29758.91</v>
      </c>
      <c r="F4851" s="2" t="s">
        <v>7305</v>
      </c>
      <c r="G4851" s="1"/>
      <c r="H4851" s="3"/>
      <c r="I4851" s="14" t="s">
        <v>6177</v>
      </c>
    </row>
    <row r="4852" spans="1:9" ht="18.75" customHeight="1" x14ac:dyDescent="0.4">
      <c r="A4852" s="14" t="s">
        <v>6296</v>
      </c>
      <c r="B4852" s="16" t="str">
        <f>TRIM("瓜破東第1住宅")</f>
        <v>瓜破東第1住宅</v>
      </c>
      <c r="C4852" s="14" t="s">
        <v>1524</v>
      </c>
      <c r="D4852" s="14" t="s">
        <v>721</v>
      </c>
      <c r="E4852" s="1">
        <v>22436.27</v>
      </c>
      <c r="F4852" s="2"/>
      <c r="G4852" s="1">
        <v>29154.19</v>
      </c>
      <c r="H4852" s="3"/>
      <c r="I4852" s="14" t="s">
        <v>6177</v>
      </c>
    </row>
    <row r="4853" spans="1:9" ht="18.75" customHeight="1" x14ac:dyDescent="0.4">
      <c r="A4853" s="14" t="s">
        <v>6716</v>
      </c>
      <c r="B4853" s="16" t="str">
        <f>TRIM("瓜破東1丁目住宅")</f>
        <v>瓜破東1丁目住宅</v>
      </c>
      <c r="C4853" s="14" t="s">
        <v>1524</v>
      </c>
      <c r="D4853" s="14" t="s">
        <v>721</v>
      </c>
      <c r="E4853" s="1">
        <v>14339.29</v>
      </c>
      <c r="F4853" s="2"/>
      <c r="G4853" s="1">
        <v>21738.15</v>
      </c>
      <c r="H4853" s="3"/>
      <c r="I4853" s="14" t="s">
        <v>6177</v>
      </c>
    </row>
    <row r="4854" spans="1:9" ht="18.75" customHeight="1" x14ac:dyDescent="0.4">
      <c r="A4854" s="14" t="s">
        <v>6298</v>
      </c>
      <c r="B4854" s="16" t="str">
        <f>TRIM("瓜破東第3住宅")</f>
        <v>瓜破東第3住宅</v>
      </c>
      <c r="C4854" s="14" t="s">
        <v>1524</v>
      </c>
      <c r="D4854" s="14" t="s">
        <v>722</v>
      </c>
      <c r="E4854" s="1">
        <v>22860.04</v>
      </c>
      <c r="F4854" s="2" t="s">
        <v>7298</v>
      </c>
      <c r="G4854" s="1"/>
      <c r="H4854" s="3"/>
      <c r="I4854" s="14" t="s">
        <v>6177</v>
      </c>
    </row>
    <row r="4855" spans="1:9" ht="18.75" customHeight="1" x14ac:dyDescent="0.4">
      <c r="A4855" s="14" t="s">
        <v>4731</v>
      </c>
      <c r="B4855" s="16" t="str">
        <f>TRIM("瓜破東小学校")</f>
        <v>瓜破東小学校</v>
      </c>
      <c r="C4855" s="14" t="s">
        <v>1524</v>
      </c>
      <c r="D4855" s="14" t="s">
        <v>722</v>
      </c>
      <c r="E4855" s="1">
        <v>12288.6</v>
      </c>
      <c r="F4855" s="2"/>
      <c r="G4855" s="1">
        <v>6679.85</v>
      </c>
      <c r="H4855" s="3"/>
      <c r="I4855" s="14" t="s">
        <v>4689</v>
      </c>
    </row>
    <row r="4856" spans="1:9" ht="18.75" customHeight="1" x14ac:dyDescent="0.4">
      <c r="A4856" s="14" t="s">
        <v>6297</v>
      </c>
      <c r="B4856" s="16" t="str">
        <f>TRIM("瓜破東第2住宅")</f>
        <v>瓜破東第2住宅</v>
      </c>
      <c r="C4856" s="14" t="s">
        <v>1524</v>
      </c>
      <c r="D4856" s="14" t="s">
        <v>722</v>
      </c>
      <c r="E4856" s="1">
        <v>43300.3</v>
      </c>
      <c r="F4856" s="2"/>
      <c r="G4856" s="1">
        <v>60276.52</v>
      </c>
      <c r="H4856" s="3"/>
      <c r="I4856" s="14" t="s">
        <v>6177</v>
      </c>
    </row>
    <row r="4857" spans="1:9" ht="18.75" customHeight="1" x14ac:dyDescent="0.4">
      <c r="A4857" s="14" t="s">
        <v>1632</v>
      </c>
      <c r="B4857" s="16" t="str">
        <f>TRIM("ＪＲ阪和貨物線跡地活用事業用地")</f>
        <v>ＪＲ阪和貨物線跡地活用事業用地</v>
      </c>
      <c r="C4857" s="14" t="s">
        <v>1524</v>
      </c>
      <c r="D4857" s="14" t="s">
        <v>722</v>
      </c>
      <c r="E4857" s="1">
        <v>2349.44</v>
      </c>
      <c r="F4857" s="2"/>
      <c r="G4857" s="1"/>
      <c r="H4857" s="3"/>
      <c r="I4857" s="14" t="s">
        <v>1633</v>
      </c>
    </row>
    <row r="4858" spans="1:9" ht="18.75" customHeight="1" x14ac:dyDescent="0.4">
      <c r="A4858" s="14" t="s">
        <v>2577</v>
      </c>
      <c r="B4858" s="16" t="str">
        <f>TRIM("　瓜破東中公園")</f>
        <v>瓜破東中公園</v>
      </c>
      <c r="C4858" s="14" t="s">
        <v>1524</v>
      </c>
      <c r="D4858" s="14" t="s">
        <v>722</v>
      </c>
      <c r="E4858" s="1">
        <v>1130.7</v>
      </c>
      <c r="F4858" s="2"/>
      <c r="G4858" s="1"/>
      <c r="H4858" s="3"/>
      <c r="I4858" s="14" t="s">
        <v>2177</v>
      </c>
    </row>
    <row r="4859" spans="1:9" ht="18.75" customHeight="1" x14ac:dyDescent="0.4">
      <c r="A4859" s="14" t="s">
        <v>2578</v>
      </c>
      <c r="B4859" s="16" t="str">
        <f>TRIM("　瓜破東北公園")</f>
        <v>瓜破東北公園</v>
      </c>
      <c r="C4859" s="14" t="s">
        <v>1524</v>
      </c>
      <c r="D4859" s="14" t="s">
        <v>722</v>
      </c>
      <c r="E4859" s="1">
        <v>1447.94</v>
      </c>
      <c r="F4859" s="2"/>
      <c r="G4859" s="1"/>
      <c r="H4859" s="3"/>
      <c r="I4859" s="14" t="s">
        <v>2177</v>
      </c>
    </row>
    <row r="4860" spans="1:9" ht="18.75" customHeight="1" x14ac:dyDescent="0.4">
      <c r="A4860" s="14" t="s">
        <v>4674</v>
      </c>
      <c r="B4860" s="16" t="str">
        <f>TRIM("瓜破東地域集会所")</f>
        <v>瓜破東地域集会所</v>
      </c>
      <c r="C4860" s="14" t="s">
        <v>1524</v>
      </c>
      <c r="D4860" s="14" t="s">
        <v>722</v>
      </c>
      <c r="E4860" s="1">
        <v>415.8</v>
      </c>
      <c r="F4860" s="2"/>
      <c r="G4860" s="1"/>
      <c r="H4860" s="3"/>
      <c r="I4860" s="14" t="s">
        <v>1990</v>
      </c>
    </row>
    <row r="4861" spans="1:9" ht="18.75" customHeight="1" x14ac:dyDescent="0.4">
      <c r="A4861" s="14" t="s">
        <v>6295</v>
      </c>
      <c r="B4861" s="16" t="str">
        <f>TRIM("瓜破東住宅")</f>
        <v>瓜破東住宅</v>
      </c>
      <c r="C4861" s="14" t="s">
        <v>1524</v>
      </c>
      <c r="D4861" s="14" t="s">
        <v>722</v>
      </c>
      <c r="E4861" s="1"/>
      <c r="F4861" s="2"/>
      <c r="G4861" s="1">
        <v>27563.919999999998</v>
      </c>
      <c r="H4861" s="3"/>
      <c r="I4861" s="14" t="s">
        <v>6177</v>
      </c>
    </row>
    <row r="4862" spans="1:9" ht="18.75" customHeight="1" x14ac:dyDescent="0.4">
      <c r="A4862" s="14" t="s">
        <v>3404</v>
      </c>
      <c r="B4862" s="16" t="str">
        <f>TRIM("瓜破第一公園")</f>
        <v>瓜破第一公園</v>
      </c>
      <c r="C4862" s="14" t="s">
        <v>1524</v>
      </c>
      <c r="D4862" s="14" t="s">
        <v>1270</v>
      </c>
      <c r="E4862" s="1">
        <v>1073.74</v>
      </c>
      <c r="F4862" s="2"/>
      <c r="G4862" s="1"/>
      <c r="H4862" s="3"/>
      <c r="I4862" s="14" t="s">
        <v>2177</v>
      </c>
    </row>
    <row r="4863" spans="1:9" ht="18.75" customHeight="1" x14ac:dyDescent="0.4">
      <c r="A4863" s="14" t="s">
        <v>6102</v>
      </c>
      <c r="B4863" s="16" t="str">
        <f>TRIM("瓜破霊園")</f>
        <v>瓜破霊園</v>
      </c>
      <c r="C4863" s="14" t="s">
        <v>1524</v>
      </c>
      <c r="D4863" s="14" t="s">
        <v>627</v>
      </c>
      <c r="E4863" s="1">
        <v>309679.21000000002</v>
      </c>
      <c r="F4863" s="2" t="s">
        <v>7345</v>
      </c>
      <c r="G4863" s="1">
        <v>965.7</v>
      </c>
      <c r="H4863" s="3"/>
      <c r="I4863" s="14" t="s">
        <v>5977</v>
      </c>
    </row>
    <row r="4864" spans="1:9" ht="18.75" customHeight="1" x14ac:dyDescent="0.4">
      <c r="A4864" s="14" t="s">
        <v>1989</v>
      </c>
      <c r="B4864" s="16" t="str">
        <f>TRIM("瓜破東老人憩の家")</f>
        <v>瓜破東老人憩の家</v>
      </c>
      <c r="C4864" s="14" t="s">
        <v>1524</v>
      </c>
      <c r="D4864" s="14" t="s">
        <v>627</v>
      </c>
      <c r="E4864" s="1">
        <v>370.75</v>
      </c>
      <c r="F4864" s="2"/>
      <c r="G4864" s="1"/>
      <c r="H4864" s="3"/>
      <c r="I4864" s="14" t="s">
        <v>1990</v>
      </c>
    </row>
    <row r="4865" spans="1:9" ht="18.75" customHeight="1" x14ac:dyDescent="0.4">
      <c r="A4865" s="14" t="s">
        <v>6098</v>
      </c>
      <c r="B4865" s="16" t="str">
        <f>TRIM("もと瓜破霊園")</f>
        <v>もと瓜破霊園</v>
      </c>
      <c r="C4865" s="14" t="s">
        <v>1524</v>
      </c>
      <c r="D4865" s="14" t="s">
        <v>627</v>
      </c>
      <c r="E4865" s="1"/>
      <c r="F4865" s="2"/>
      <c r="G4865" s="1">
        <v>26.5</v>
      </c>
      <c r="H4865" s="3" t="s">
        <v>7353</v>
      </c>
      <c r="I4865" s="14" t="s">
        <v>5977</v>
      </c>
    </row>
    <row r="4866" spans="1:9" ht="18.75" customHeight="1" x14ac:dyDescent="0.4">
      <c r="A4866" s="14" t="s">
        <v>6101</v>
      </c>
      <c r="B4866" s="16" t="str">
        <f>TRIM("瓜破斎場")</f>
        <v>瓜破斎場</v>
      </c>
      <c r="C4866" s="14" t="s">
        <v>1524</v>
      </c>
      <c r="D4866" s="14" t="s">
        <v>627</v>
      </c>
      <c r="E4866" s="1"/>
      <c r="F4866" s="2"/>
      <c r="G4866" s="1">
        <v>4274.82</v>
      </c>
      <c r="H4866" s="3"/>
      <c r="I4866" s="14" t="s">
        <v>5977</v>
      </c>
    </row>
    <row r="4867" spans="1:9" ht="18.75" customHeight="1" x14ac:dyDescent="0.4">
      <c r="A4867" s="14" t="s">
        <v>6103</v>
      </c>
      <c r="B4867" s="16" t="str">
        <f>TRIM("瓜破霊園内合葬式墓地")</f>
        <v>瓜破霊園内合葬式墓地</v>
      </c>
      <c r="C4867" s="14" t="s">
        <v>1524</v>
      </c>
      <c r="D4867" s="14" t="s">
        <v>627</v>
      </c>
      <c r="E4867" s="1"/>
      <c r="F4867" s="2"/>
      <c r="G4867" s="1">
        <v>610.22</v>
      </c>
      <c r="H4867" s="3"/>
      <c r="I4867" s="14" t="s">
        <v>5977</v>
      </c>
    </row>
    <row r="4868" spans="1:9" ht="18.75" customHeight="1" x14ac:dyDescent="0.4">
      <c r="A4868" s="14" t="s">
        <v>6185</v>
      </c>
      <c r="B4868" s="16" t="str">
        <f>TRIM("瓜破東第2住宅建替事業用地")</f>
        <v>瓜破東第2住宅建替事業用地</v>
      </c>
      <c r="C4868" s="14" t="s">
        <v>1524</v>
      </c>
      <c r="D4868" s="14" t="s">
        <v>627</v>
      </c>
      <c r="E4868" s="1">
        <v>938.83</v>
      </c>
      <c r="F4868" s="2"/>
      <c r="G4868" s="1"/>
      <c r="H4868" s="3"/>
      <c r="I4868" s="14" t="s">
        <v>6177</v>
      </c>
    </row>
    <row r="4869" spans="1:9" ht="18.75" customHeight="1" x14ac:dyDescent="0.4">
      <c r="A4869" s="14" t="s">
        <v>2573</v>
      </c>
      <c r="B4869" s="16" t="str">
        <f>TRIM("　瓜破下池公園")</f>
        <v>瓜破下池公園</v>
      </c>
      <c r="C4869" s="14" t="s">
        <v>1524</v>
      </c>
      <c r="D4869" s="14" t="s">
        <v>1003</v>
      </c>
      <c r="E4869" s="1">
        <v>601.48</v>
      </c>
      <c r="F4869" s="2"/>
      <c r="G4869" s="1"/>
      <c r="H4869" s="3"/>
      <c r="I4869" s="14" t="s">
        <v>2177</v>
      </c>
    </row>
    <row r="4870" spans="1:9" ht="18.75" customHeight="1" x14ac:dyDescent="0.4">
      <c r="A4870" s="14" t="s">
        <v>3396</v>
      </c>
      <c r="B4870" s="16" t="str">
        <f>TRIM("(仮称)瓜破東8公園")</f>
        <v>(仮称)瓜破東8公園</v>
      </c>
      <c r="C4870" s="14" t="s">
        <v>1524</v>
      </c>
      <c r="D4870" s="14" t="s">
        <v>852</v>
      </c>
      <c r="E4870" s="1">
        <v>10649.18</v>
      </c>
      <c r="F4870" s="2">
        <v>700</v>
      </c>
      <c r="G4870" s="1"/>
      <c r="H4870" s="3"/>
      <c r="I4870" s="14" t="s">
        <v>2177</v>
      </c>
    </row>
    <row r="4871" spans="1:9" ht="18.75" customHeight="1" x14ac:dyDescent="0.4">
      <c r="A4871" s="14" t="s">
        <v>6717</v>
      </c>
      <c r="B4871" s="16" t="str">
        <f>TRIM("瓜破東８丁目住宅")</f>
        <v>瓜破東８丁目住宅</v>
      </c>
      <c r="C4871" s="14" t="s">
        <v>1524</v>
      </c>
      <c r="D4871" s="14" t="s">
        <v>852</v>
      </c>
      <c r="E4871" s="1">
        <v>12247.21</v>
      </c>
      <c r="F4871" s="2"/>
      <c r="G4871" s="1">
        <v>10855.64</v>
      </c>
      <c r="H4871" s="3"/>
      <c r="I4871" s="14" t="s">
        <v>6177</v>
      </c>
    </row>
    <row r="4872" spans="1:9" ht="18.75" customHeight="1" x14ac:dyDescent="0.4">
      <c r="A4872" s="14" t="s">
        <v>3401</v>
      </c>
      <c r="B4872" s="16" t="str">
        <f>TRIM("瓜破新池緑地公園")</f>
        <v>瓜破新池緑地公園</v>
      </c>
      <c r="C4872" s="14" t="s">
        <v>1524</v>
      </c>
      <c r="D4872" s="14" t="s">
        <v>852</v>
      </c>
      <c r="E4872" s="1">
        <v>2745.9</v>
      </c>
      <c r="F4872" s="2"/>
      <c r="G4872" s="1"/>
      <c r="H4872" s="3"/>
      <c r="I4872" s="14" t="s">
        <v>2177</v>
      </c>
    </row>
    <row r="4873" spans="1:9" ht="18.75" customHeight="1" x14ac:dyDescent="0.4">
      <c r="A4873" s="14" t="s">
        <v>3402</v>
      </c>
      <c r="B4873" s="16" t="str">
        <f>TRIM("瓜破新池緑地南公園")</f>
        <v>瓜破新池緑地南公園</v>
      </c>
      <c r="C4873" s="14" t="s">
        <v>1524</v>
      </c>
      <c r="D4873" s="14" t="s">
        <v>852</v>
      </c>
      <c r="E4873" s="1">
        <v>1500.02</v>
      </c>
      <c r="F4873" s="2"/>
      <c r="G4873" s="1"/>
      <c r="H4873" s="3"/>
      <c r="I4873" s="14" t="s">
        <v>2177</v>
      </c>
    </row>
    <row r="4874" spans="1:9" ht="18.75" customHeight="1" x14ac:dyDescent="0.4">
      <c r="A4874" s="14" t="s">
        <v>3403</v>
      </c>
      <c r="B4874" s="16" t="str">
        <f>TRIM("瓜破新池緑地北公園")</f>
        <v>瓜破新池緑地北公園</v>
      </c>
      <c r="C4874" s="14" t="s">
        <v>1524</v>
      </c>
      <c r="D4874" s="14" t="s">
        <v>852</v>
      </c>
      <c r="E4874" s="1">
        <v>1675.86</v>
      </c>
      <c r="F4874" s="2"/>
      <c r="G4874" s="1"/>
      <c r="H4874" s="3"/>
      <c r="I4874" s="14" t="s">
        <v>2177</v>
      </c>
    </row>
    <row r="4875" spans="1:9" ht="18.75" customHeight="1" x14ac:dyDescent="0.4">
      <c r="A4875" s="14" t="s">
        <v>6814</v>
      </c>
      <c r="B4875" s="16" t="str">
        <f>TRIM("肩替地（長吉瓜破）")</f>
        <v>肩替地（長吉瓜破）</v>
      </c>
      <c r="C4875" s="14" t="s">
        <v>1524</v>
      </c>
      <c r="D4875" s="14" t="s">
        <v>852</v>
      </c>
      <c r="E4875" s="1">
        <v>321.93</v>
      </c>
      <c r="F4875" s="2"/>
      <c r="G4875" s="1"/>
      <c r="H4875" s="3"/>
      <c r="I4875" s="14" t="s">
        <v>6177</v>
      </c>
    </row>
    <row r="4876" spans="1:9" ht="18.75" customHeight="1" x14ac:dyDescent="0.4">
      <c r="A4876" s="14" t="s">
        <v>6047</v>
      </c>
      <c r="B4876" s="16" t="str">
        <f>TRIM("東南環境事業センター")</f>
        <v>東南環境事業センター</v>
      </c>
      <c r="C4876" s="14" t="s">
        <v>1524</v>
      </c>
      <c r="D4876" s="14" t="s">
        <v>420</v>
      </c>
      <c r="E4876" s="1">
        <v>9776.7800000000007</v>
      </c>
      <c r="F4876" s="2"/>
      <c r="G4876" s="1">
        <v>4745.62</v>
      </c>
      <c r="H4876" s="3"/>
      <c r="I4876" s="14" t="s">
        <v>5977</v>
      </c>
    </row>
    <row r="4877" spans="1:9" ht="18.75" customHeight="1" x14ac:dyDescent="0.4">
      <c r="A4877" s="14" t="s">
        <v>6084</v>
      </c>
      <c r="B4877" s="16" t="str">
        <f>TRIM("リフレうりわり")</f>
        <v>リフレうりわり</v>
      </c>
      <c r="C4877" s="14" t="s">
        <v>1524</v>
      </c>
      <c r="D4877" s="14" t="s">
        <v>420</v>
      </c>
      <c r="E4877" s="1">
        <v>5535.21</v>
      </c>
      <c r="F4877" s="2"/>
      <c r="G4877" s="1">
        <v>3296.84</v>
      </c>
      <c r="H4877" s="3"/>
      <c r="I4877" s="14" t="s">
        <v>5977</v>
      </c>
    </row>
    <row r="4878" spans="1:9" ht="18.75" customHeight="1" x14ac:dyDescent="0.4">
      <c r="A4878" s="14" t="s">
        <v>1944</v>
      </c>
      <c r="B4878" s="16" t="str">
        <f>TRIM("特別養護老人ホーム永寿・瓜破地域在宅サービスステーション")</f>
        <v>特別養護老人ホーム永寿・瓜破地域在宅サービスステーション</v>
      </c>
      <c r="C4878" s="14" t="s">
        <v>1524</v>
      </c>
      <c r="D4878" s="14" t="s">
        <v>420</v>
      </c>
      <c r="E4878" s="1">
        <v>1717.06</v>
      </c>
      <c r="F4878" s="2"/>
      <c r="G4878" s="1"/>
      <c r="H4878" s="3"/>
      <c r="I4878" s="14" t="s">
        <v>1654</v>
      </c>
    </row>
    <row r="4879" spans="1:9" ht="18.75" customHeight="1" x14ac:dyDescent="0.4">
      <c r="A4879" s="14" t="s">
        <v>6069</v>
      </c>
      <c r="B4879" s="16" t="str">
        <f>TRIM("平野工場")</f>
        <v>平野工場</v>
      </c>
      <c r="C4879" s="14" t="s">
        <v>1524</v>
      </c>
      <c r="D4879" s="14" t="s">
        <v>420</v>
      </c>
      <c r="E4879" s="1">
        <v>39473.26</v>
      </c>
      <c r="F4879" s="2"/>
      <c r="G4879" s="1"/>
      <c r="H4879" s="3"/>
      <c r="I4879" s="14" t="s">
        <v>5977</v>
      </c>
    </row>
    <row r="4880" spans="1:9" ht="18.75" customHeight="1" x14ac:dyDescent="0.4">
      <c r="A4880" s="14" t="s">
        <v>6092</v>
      </c>
      <c r="B4880" s="16" t="str">
        <f>TRIM("平野工場（局管理分）")</f>
        <v>平野工場（局管理分）</v>
      </c>
      <c r="C4880" s="14" t="s">
        <v>1524</v>
      </c>
      <c r="D4880" s="14" t="s">
        <v>420</v>
      </c>
      <c r="E4880" s="1">
        <v>1953.8</v>
      </c>
      <c r="F4880" s="2"/>
      <c r="G4880" s="1"/>
      <c r="H4880" s="3"/>
      <c r="I4880" s="14" t="s">
        <v>5977</v>
      </c>
    </row>
    <row r="4881" spans="1:9" ht="18.75" customHeight="1" x14ac:dyDescent="0.4">
      <c r="A4881" s="14" t="s">
        <v>2579</v>
      </c>
      <c r="B4881" s="16" t="str">
        <f>TRIM("　瓜破南公園")</f>
        <v>瓜破南公園</v>
      </c>
      <c r="C4881" s="14" t="s">
        <v>1524</v>
      </c>
      <c r="D4881" s="14" t="s">
        <v>1006</v>
      </c>
      <c r="E4881" s="1">
        <v>1055.01</v>
      </c>
      <c r="F4881" s="2"/>
      <c r="G4881" s="1"/>
      <c r="H4881" s="3"/>
      <c r="I4881" s="14" t="s">
        <v>2177</v>
      </c>
    </row>
    <row r="4882" spans="1:9" ht="18.75" customHeight="1" x14ac:dyDescent="0.4">
      <c r="A4882" s="14" t="s">
        <v>4652</v>
      </c>
      <c r="B4882" s="16" t="str">
        <f>TRIM("瓜破南地域集会所・老人憩の家")</f>
        <v>瓜破南地域集会所・老人憩の家</v>
      </c>
      <c r="C4882" s="14" t="s">
        <v>1524</v>
      </c>
      <c r="D4882" s="14" t="s">
        <v>1006</v>
      </c>
      <c r="E4882" s="1">
        <v>1464.22</v>
      </c>
      <c r="F4882" s="2"/>
      <c r="G4882" s="1"/>
      <c r="H4882" s="3"/>
      <c r="I4882" s="14" t="s">
        <v>1990</v>
      </c>
    </row>
    <row r="4883" spans="1:9" ht="18.75" customHeight="1" x14ac:dyDescent="0.4">
      <c r="A4883" s="14" t="s">
        <v>4100</v>
      </c>
      <c r="B4883" s="16" t="str">
        <f>TRIM("平野下水処理場")</f>
        <v>平野下水処理場</v>
      </c>
      <c r="C4883" s="14" t="s">
        <v>1524</v>
      </c>
      <c r="D4883" s="14" t="s">
        <v>1336</v>
      </c>
      <c r="E4883" s="1">
        <v>98772.24</v>
      </c>
      <c r="F4883" s="2"/>
      <c r="G4883" s="1">
        <v>32903.17</v>
      </c>
      <c r="H4883" s="3"/>
      <c r="I4883" s="14" t="s">
        <v>2177</v>
      </c>
    </row>
    <row r="4884" spans="1:9" ht="18.75" customHeight="1" x14ac:dyDescent="0.4">
      <c r="A4884" s="14" t="s">
        <v>5828</v>
      </c>
      <c r="B4884" s="16" t="str">
        <f>TRIM("加美北幼稚園")</f>
        <v>加美北幼稚園</v>
      </c>
      <c r="C4884" s="14" t="s">
        <v>1524</v>
      </c>
      <c r="D4884" s="14" t="s">
        <v>494</v>
      </c>
      <c r="E4884" s="1">
        <v>1946</v>
      </c>
      <c r="F4884" s="2"/>
      <c r="G4884" s="1">
        <v>653.96</v>
      </c>
      <c r="H4884" s="3"/>
      <c r="I4884" s="14" t="s">
        <v>5617</v>
      </c>
    </row>
    <row r="4885" spans="1:9" ht="18.75" customHeight="1" x14ac:dyDescent="0.4">
      <c r="A4885" s="14" t="s">
        <v>6323</v>
      </c>
      <c r="B4885" s="16" t="str">
        <f>TRIM("加美長沢第3住宅")</f>
        <v>加美長沢第3住宅</v>
      </c>
      <c r="C4885" s="14" t="s">
        <v>1524</v>
      </c>
      <c r="D4885" s="14" t="s">
        <v>494</v>
      </c>
      <c r="E4885" s="1">
        <v>3991</v>
      </c>
      <c r="F4885" s="2"/>
      <c r="G4885" s="1">
        <v>4408.1000000000004</v>
      </c>
      <c r="H4885" s="3"/>
      <c r="I4885" s="14" t="s">
        <v>6177</v>
      </c>
    </row>
    <row r="4886" spans="1:9" ht="18.75" customHeight="1" x14ac:dyDescent="0.4">
      <c r="A4886" s="14" t="s">
        <v>2614</v>
      </c>
      <c r="B4886" s="16" t="str">
        <f>TRIM("　加美北公園")</f>
        <v>加美北公園</v>
      </c>
      <c r="C4886" s="14" t="s">
        <v>1524</v>
      </c>
      <c r="D4886" s="14" t="s">
        <v>494</v>
      </c>
      <c r="E4886" s="1">
        <v>11536</v>
      </c>
      <c r="F4886" s="2"/>
      <c r="G4886" s="1"/>
      <c r="H4886" s="3"/>
      <c r="I4886" s="14" t="s">
        <v>2177</v>
      </c>
    </row>
    <row r="4887" spans="1:9" ht="18.75" customHeight="1" x14ac:dyDescent="0.4">
      <c r="A4887" s="14" t="s">
        <v>5780</v>
      </c>
      <c r="B4887" s="16" t="str">
        <f>TRIM("加美北幼稚園拡張事業用地")</f>
        <v>加美北幼稚園拡張事業用地</v>
      </c>
      <c r="C4887" s="14" t="s">
        <v>1524</v>
      </c>
      <c r="D4887" s="14" t="s">
        <v>494</v>
      </c>
      <c r="E4887" s="1">
        <v>292.44</v>
      </c>
      <c r="F4887" s="2"/>
      <c r="G4887" s="1"/>
      <c r="H4887" s="3"/>
      <c r="I4887" s="14" t="s">
        <v>5617</v>
      </c>
    </row>
    <row r="4888" spans="1:9" ht="18.75" customHeight="1" x14ac:dyDescent="0.4">
      <c r="A4888" s="14" t="s">
        <v>4655</v>
      </c>
      <c r="B4888" s="16" t="str">
        <f>TRIM("加美北会館")</f>
        <v>加美北会館</v>
      </c>
      <c r="C4888" s="14" t="s">
        <v>1524</v>
      </c>
      <c r="D4888" s="14" t="s">
        <v>537</v>
      </c>
      <c r="E4888" s="1">
        <v>179.86</v>
      </c>
      <c r="F4888" s="2"/>
      <c r="G4888" s="1">
        <v>88.02</v>
      </c>
      <c r="H4888" s="3"/>
      <c r="I4888" s="14" t="s">
        <v>1990</v>
      </c>
    </row>
    <row r="4889" spans="1:9" ht="18.75" customHeight="1" x14ac:dyDescent="0.4">
      <c r="A4889" s="14" t="s">
        <v>5727</v>
      </c>
      <c r="B4889" s="16" t="str">
        <f>TRIM("加美長沢保育園")</f>
        <v>加美長沢保育園</v>
      </c>
      <c r="C4889" s="14" t="s">
        <v>1524</v>
      </c>
      <c r="D4889" s="14" t="s">
        <v>537</v>
      </c>
      <c r="E4889" s="1">
        <v>766.34</v>
      </c>
      <c r="F4889" s="2"/>
      <c r="G4889" s="1">
        <v>493.89</v>
      </c>
      <c r="H4889" s="3"/>
      <c r="I4889" s="14" t="s">
        <v>5617</v>
      </c>
    </row>
    <row r="4890" spans="1:9" ht="18.75" customHeight="1" x14ac:dyDescent="0.4">
      <c r="A4890" s="14" t="s">
        <v>2611</v>
      </c>
      <c r="B4890" s="16" t="str">
        <f>TRIM("　加美長沢西公園")</f>
        <v>加美長沢西公園</v>
      </c>
      <c r="C4890" s="14" t="s">
        <v>1524</v>
      </c>
      <c r="D4890" s="14" t="s">
        <v>537</v>
      </c>
      <c r="E4890" s="1">
        <v>1613.29</v>
      </c>
      <c r="F4890" s="2"/>
      <c r="G4890" s="1"/>
      <c r="H4890" s="3"/>
      <c r="I4890" s="14" t="s">
        <v>2177</v>
      </c>
    </row>
    <row r="4891" spans="1:9" ht="18.75" customHeight="1" x14ac:dyDescent="0.4">
      <c r="A4891" s="14" t="s">
        <v>4671</v>
      </c>
      <c r="B4891" s="16" t="str">
        <f>TRIM("加美正北老人憩の家")</f>
        <v>加美正北老人憩の家</v>
      </c>
      <c r="C4891" s="14" t="s">
        <v>1524</v>
      </c>
      <c r="D4891" s="14" t="s">
        <v>729</v>
      </c>
      <c r="E4891" s="1">
        <v>213.78</v>
      </c>
      <c r="F4891" s="2"/>
      <c r="G4891" s="1">
        <v>100.7</v>
      </c>
      <c r="H4891" s="3"/>
      <c r="I4891" s="14" t="s">
        <v>1990</v>
      </c>
    </row>
    <row r="4892" spans="1:9" ht="18.75" customHeight="1" x14ac:dyDescent="0.4">
      <c r="A4892" s="14" t="s">
        <v>6320</v>
      </c>
      <c r="B4892" s="16" t="str">
        <f>TRIM("加美正覚寺住宅")</f>
        <v>加美正覚寺住宅</v>
      </c>
      <c r="C4892" s="14" t="s">
        <v>1524</v>
      </c>
      <c r="D4892" s="14" t="s">
        <v>729</v>
      </c>
      <c r="E4892" s="1">
        <v>12735.77</v>
      </c>
      <c r="F4892" s="2"/>
      <c r="G4892" s="1">
        <v>13606.96</v>
      </c>
      <c r="H4892" s="3"/>
      <c r="I4892" s="14" t="s">
        <v>6177</v>
      </c>
    </row>
    <row r="4893" spans="1:9" ht="18.75" customHeight="1" x14ac:dyDescent="0.4">
      <c r="A4893" s="14" t="s">
        <v>2606</v>
      </c>
      <c r="B4893" s="16" t="str">
        <f>TRIM("　加美柿花公園")</f>
        <v>加美柿花公園</v>
      </c>
      <c r="C4893" s="14" t="s">
        <v>1524</v>
      </c>
      <c r="D4893" s="14" t="s">
        <v>729</v>
      </c>
      <c r="E4893" s="1">
        <v>2134</v>
      </c>
      <c r="F4893" s="2"/>
      <c r="G4893" s="1"/>
      <c r="H4893" s="3"/>
      <c r="I4893" s="14" t="s">
        <v>2177</v>
      </c>
    </row>
    <row r="4894" spans="1:9" ht="18.75" customHeight="1" x14ac:dyDescent="0.4">
      <c r="A4894" s="14" t="s">
        <v>3410</v>
      </c>
      <c r="B4894" s="16" t="str">
        <f>TRIM("加美正北ふれあい公園")</f>
        <v>加美正北ふれあい公園</v>
      </c>
      <c r="C4894" s="14" t="s">
        <v>1524</v>
      </c>
      <c r="D4894" s="14" t="s">
        <v>729</v>
      </c>
      <c r="E4894" s="1">
        <v>2127.39</v>
      </c>
      <c r="F4894" s="2"/>
      <c r="G4894" s="1"/>
      <c r="H4894" s="3"/>
      <c r="I4894" s="14" t="s">
        <v>2177</v>
      </c>
    </row>
    <row r="4895" spans="1:9" ht="18.75" customHeight="1" x14ac:dyDescent="0.4">
      <c r="A4895" s="14" t="s">
        <v>1694</v>
      </c>
      <c r="B4895" s="16" t="str">
        <f>TRIM("加美北救護施設")</f>
        <v>加美北救護施設</v>
      </c>
      <c r="C4895" s="14" t="s">
        <v>1524</v>
      </c>
      <c r="D4895" s="14" t="s">
        <v>340</v>
      </c>
      <c r="E4895" s="1">
        <v>2695.23</v>
      </c>
      <c r="F4895" s="2"/>
      <c r="G4895" s="1">
        <v>2807.57</v>
      </c>
      <c r="H4895" s="3"/>
      <c r="I4895" s="14" t="s">
        <v>1654</v>
      </c>
    </row>
    <row r="4896" spans="1:9" ht="18.75" customHeight="1" x14ac:dyDescent="0.4">
      <c r="A4896" s="14" t="s">
        <v>4751</v>
      </c>
      <c r="B4896" s="16" t="str">
        <f>TRIM("加美北小学校")</f>
        <v>加美北小学校</v>
      </c>
      <c r="C4896" s="14" t="s">
        <v>1524</v>
      </c>
      <c r="D4896" s="14" t="s">
        <v>340</v>
      </c>
      <c r="E4896" s="1">
        <v>10977.84</v>
      </c>
      <c r="F4896" s="2"/>
      <c r="G4896" s="1">
        <v>7351.99</v>
      </c>
      <c r="H4896" s="3"/>
      <c r="I4896" s="14" t="s">
        <v>4689</v>
      </c>
    </row>
    <row r="4897" spans="1:9" ht="18.75" customHeight="1" x14ac:dyDescent="0.4">
      <c r="A4897" s="14" t="s">
        <v>1946</v>
      </c>
      <c r="B4897" s="16" t="str">
        <f>TRIM("特別養護老人ホーム加美北・加美北地域在宅サービスステーション")</f>
        <v>特別養護老人ホーム加美北・加美北地域在宅サービスステーション</v>
      </c>
      <c r="C4897" s="14" t="s">
        <v>1524</v>
      </c>
      <c r="D4897" s="14" t="s">
        <v>340</v>
      </c>
      <c r="E4897" s="1">
        <v>2503.3000000000002</v>
      </c>
      <c r="F4897" s="2"/>
      <c r="G4897" s="1"/>
      <c r="H4897" s="3"/>
      <c r="I4897" s="14" t="s">
        <v>1654</v>
      </c>
    </row>
    <row r="4898" spans="1:9" ht="18.75" customHeight="1" x14ac:dyDescent="0.4">
      <c r="A4898" s="14" t="s">
        <v>4672</v>
      </c>
      <c r="B4898" s="16" t="str">
        <f>TRIM("加美北老人憩の家")</f>
        <v>加美北老人憩の家</v>
      </c>
      <c r="C4898" s="14" t="s">
        <v>1524</v>
      </c>
      <c r="D4898" s="14" t="s">
        <v>629</v>
      </c>
      <c r="E4898" s="1">
        <v>359.29</v>
      </c>
      <c r="F4898" s="2"/>
      <c r="G4898" s="1">
        <v>104.34</v>
      </c>
      <c r="H4898" s="3"/>
      <c r="I4898" s="14" t="s">
        <v>1990</v>
      </c>
    </row>
    <row r="4899" spans="1:9" ht="18.75" customHeight="1" x14ac:dyDescent="0.4">
      <c r="A4899" s="14" t="s">
        <v>6322</v>
      </c>
      <c r="B4899" s="16" t="str">
        <f>TRIM("加美長沢住宅")</f>
        <v>加美長沢住宅</v>
      </c>
      <c r="C4899" s="14" t="s">
        <v>1524</v>
      </c>
      <c r="D4899" s="14" t="s">
        <v>629</v>
      </c>
      <c r="E4899" s="1">
        <v>28868.71</v>
      </c>
      <c r="F4899" s="2"/>
      <c r="G4899" s="1">
        <v>49811.11</v>
      </c>
      <c r="H4899" s="3"/>
      <c r="I4899" s="14" t="s">
        <v>6177</v>
      </c>
    </row>
    <row r="4900" spans="1:9" ht="18.75" customHeight="1" x14ac:dyDescent="0.4">
      <c r="A4900" s="14" t="s">
        <v>6327</v>
      </c>
      <c r="B4900" s="16" t="str">
        <f>TRIM("加美北住宅")</f>
        <v>加美北住宅</v>
      </c>
      <c r="C4900" s="14" t="s">
        <v>1524</v>
      </c>
      <c r="D4900" s="14" t="s">
        <v>629</v>
      </c>
      <c r="E4900" s="1">
        <v>13708.31</v>
      </c>
      <c r="F4900" s="2"/>
      <c r="G4900" s="1">
        <v>15806.08</v>
      </c>
      <c r="H4900" s="3"/>
      <c r="I4900" s="14" t="s">
        <v>6177</v>
      </c>
    </row>
    <row r="4901" spans="1:9" ht="18.75" customHeight="1" x14ac:dyDescent="0.4">
      <c r="A4901" s="14" t="s">
        <v>6328</v>
      </c>
      <c r="B4901" s="16" t="str">
        <f>TRIM("加美北第2住宅")</f>
        <v>加美北第2住宅</v>
      </c>
      <c r="C4901" s="14" t="s">
        <v>1524</v>
      </c>
      <c r="D4901" s="14" t="s">
        <v>629</v>
      </c>
      <c r="E4901" s="1">
        <v>18978.900000000001</v>
      </c>
      <c r="F4901" s="2"/>
      <c r="G4901" s="1">
        <v>26554.6</v>
      </c>
      <c r="H4901" s="3"/>
      <c r="I4901" s="14" t="s">
        <v>6177</v>
      </c>
    </row>
    <row r="4902" spans="1:9" ht="18.75" customHeight="1" x14ac:dyDescent="0.4">
      <c r="A4902" s="14" t="s">
        <v>6329</v>
      </c>
      <c r="B4902" s="16" t="str">
        <f>TRIM("加美北第3住宅")</f>
        <v>加美北第3住宅</v>
      </c>
      <c r="C4902" s="14" t="s">
        <v>1524</v>
      </c>
      <c r="D4902" s="14" t="s">
        <v>629</v>
      </c>
      <c r="E4902" s="1">
        <v>7233.05</v>
      </c>
      <c r="F4902" s="2"/>
      <c r="G4902" s="1">
        <v>10565.75</v>
      </c>
      <c r="H4902" s="3"/>
      <c r="I4902" s="14" t="s">
        <v>6177</v>
      </c>
    </row>
    <row r="4903" spans="1:9" ht="18.75" customHeight="1" x14ac:dyDescent="0.4">
      <c r="A4903" s="14" t="s">
        <v>2188</v>
      </c>
      <c r="B4903" s="16" t="str">
        <f>TRIM("大阪都市計画事業　大阪外環状線連絡線付属街路2号線")</f>
        <v>大阪都市計画事業　大阪外環状線連絡線付属街路2号線</v>
      </c>
      <c r="C4903" s="14" t="s">
        <v>1524</v>
      </c>
      <c r="D4903" s="14" t="s">
        <v>629</v>
      </c>
      <c r="E4903" s="1">
        <v>1386.64</v>
      </c>
      <c r="F4903" s="2"/>
      <c r="G4903" s="1"/>
      <c r="H4903" s="3"/>
      <c r="I4903" s="14" t="s">
        <v>2177</v>
      </c>
    </row>
    <row r="4904" spans="1:9" ht="18.75" customHeight="1" x14ac:dyDescent="0.4">
      <c r="A4904" s="14" t="s">
        <v>2610</v>
      </c>
      <c r="B4904" s="16" t="str">
        <f>TRIM("　加美長沢公園")</f>
        <v>加美長沢公園</v>
      </c>
      <c r="C4904" s="14" t="s">
        <v>1524</v>
      </c>
      <c r="D4904" s="14" t="s">
        <v>629</v>
      </c>
      <c r="E4904" s="1">
        <v>3581.78</v>
      </c>
      <c r="F4904" s="2"/>
      <c r="G4904" s="1"/>
      <c r="H4904" s="3"/>
      <c r="I4904" s="14" t="s">
        <v>2177</v>
      </c>
    </row>
    <row r="4905" spans="1:9" ht="18.75" customHeight="1" x14ac:dyDescent="0.4">
      <c r="A4905" s="14" t="s">
        <v>6107</v>
      </c>
      <c r="B4905" s="16" t="str">
        <f>TRIM("加美霊園")</f>
        <v>加美霊園</v>
      </c>
      <c r="C4905" s="14" t="s">
        <v>1524</v>
      </c>
      <c r="D4905" s="14" t="s">
        <v>629</v>
      </c>
      <c r="E4905" s="1">
        <v>15349.61</v>
      </c>
      <c r="F4905" s="2"/>
      <c r="G4905" s="1"/>
      <c r="H4905" s="3"/>
      <c r="I4905" s="14" t="s">
        <v>5977</v>
      </c>
    </row>
    <row r="4906" spans="1:9" ht="18.75" customHeight="1" x14ac:dyDescent="0.4">
      <c r="A4906" s="14" t="s">
        <v>6061</v>
      </c>
      <c r="B4906" s="16" t="str">
        <f>TRIM("もと加美詰所")</f>
        <v>もと加美詰所</v>
      </c>
      <c r="C4906" s="14" t="s">
        <v>1524</v>
      </c>
      <c r="D4906" s="14" t="s">
        <v>462</v>
      </c>
      <c r="E4906" s="1">
        <v>991.73</v>
      </c>
      <c r="F4906" s="2">
        <v>704</v>
      </c>
      <c r="G4906" s="1"/>
      <c r="H4906" s="3"/>
      <c r="I4906" s="14" t="s">
        <v>5977</v>
      </c>
    </row>
    <row r="4907" spans="1:9" ht="18.75" customHeight="1" x14ac:dyDescent="0.4">
      <c r="A4907" s="14" t="s">
        <v>1834</v>
      </c>
      <c r="B4907" s="16" t="str">
        <f>TRIM("平野区老人福祉センター")</f>
        <v>平野区老人福祉センター</v>
      </c>
      <c r="C4907" s="14" t="s">
        <v>1524</v>
      </c>
      <c r="D4907" s="14" t="s">
        <v>462</v>
      </c>
      <c r="E4907" s="1">
        <v>1529.46</v>
      </c>
      <c r="F4907" s="2"/>
      <c r="G4907" s="1">
        <v>1515.55</v>
      </c>
      <c r="H4907" s="3"/>
      <c r="I4907" s="14" t="s">
        <v>1654</v>
      </c>
    </row>
    <row r="4908" spans="1:9" ht="18.75" customHeight="1" x14ac:dyDescent="0.4">
      <c r="A4908" s="14" t="s">
        <v>4644</v>
      </c>
      <c r="B4908" s="16" t="str">
        <f>TRIM("平野区北部サービスセンター")</f>
        <v>平野区北部サービスセンター</v>
      </c>
      <c r="C4908" s="14" t="s">
        <v>1524</v>
      </c>
      <c r="D4908" s="14" t="s">
        <v>462</v>
      </c>
      <c r="E4908" s="1">
        <v>1905.51</v>
      </c>
      <c r="F4908" s="2"/>
      <c r="G4908" s="1">
        <v>959.78</v>
      </c>
      <c r="H4908" s="3"/>
      <c r="I4908" s="14" t="s">
        <v>1990</v>
      </c>
    </row>
    <row r="4909" spans="1:9" ht="18.75" customHeight="1" x14ac:dyDescent="0.4">
      <c r="A4909" s="14" t="s">
        <v>5302</v>
      </c>
      <c r="B4909" s="16" t="str">
        <f>TRIM("平野消防署加美出張所")</f>
        <v>平野消防署加美出張所</v>
      </c>
      <c r="C4909" s="14" t="s">
        <v>1524</v>
      </c>
      <c r="D4909" s="14" t="s">
        <v>462</v>
      </c>
      <c r="E4909" s="1">
        <v>297.51</v>
      </c>
      <c r="F4909" s="2"/>
      <c r="G4909" s="1">
        <v>314.24</v>
      </c>
      <c r="H4909" s="3"/>
      <c r="I4909" s="14" t="s">
        <v>5219</v>
      </c>
    </row>
    <row r="4910" spans="1:9" ht="18.75" customHeight="1" x14ac:dyDescent="0.4">
      <c r="A4910" s="14" t="s">
        <v>3780</v>
      </c>
      <c r="B4910" s="16" t="str">
        <f>TRIM("加美駅自転車駐車場管理ボックス")</f>
        <v>加美駅自転車駐車場管理ボックス</v>
      </c>
      <c r="C4910" s="14" t="s">
        <v>1524</v>
      </c>
      <c r="D4910" s="14" t="s">
        <v>462</v>
      </c>
      <c r="E4910" s="1"/>
      <c r="F4910" s="2"/>
      <c r="G4910" s="1">
        <v>3.89</v>
      </c>
      <c r="H4910" s="3"/>
      <c r="I4910" s="14" t="s">
        <v>2177</v>
      </c>
    </row>
    <row r="4911" spans="1:9" ht="18.75" customHeight="1" x14ac:dyDescent="0.4">
      <c r="A4911" s="14" t="s">
        <v>4646</v>
      </c>
      <c r="B4911" s="16" t="str">
        <f>TRIM("加美記念碑")</f>
        <v>加美記念碑</v>
      </c>
      <c r="C4911" s="14" t="s">
        <v>1524</v>
      </c>
      <c r="D4911" s="14" t="s">
        <v>462</v>
      </c>
      <c r="E4911" s="1">
        <v>70.34</v>
      </c>
      <c r="F4911" s="2"/>
      <c r="G4911" s="1"/>
      <c r="H4911" s="3"/>
      <c r="I4911" s="14" t="s">
        <v>1990</v>
      </c>
    </row>
    <row r="4912" spans="1:9" ht="18.75" customHeight="1" x14ac:dyDescent="0.4">
      <c r="A4912" s="14" t="s">
        <v>4660</v>
      </c>
      <c r="B4912" s="16" t="str">
        <f>TRIM("橘会館")</f>
        <v>橘会館</v>
      </c>
      <c r="C4912" s="14" t="s">
        <v>1524</v>
      </c>
      <c r="D4912" s="14" t="s">
        <v>462</v>
      </c>
      <c r="E4912" s="1"/>
      <c r="F4912" s="2"/>
      <c r="G4912" s="1">
        <v>321.24</v>
      </c>
      <c r="H4912" s="3" t="s">
        <v>7353</v>
      </c>
      <c r="I4912" s="14" t="s">
        <v>1990</v>
      </c>
    </row>
    <row r="4913" spans="1:9" ht="18.75" customHeight="1" x14ac:dyDescent="0.4">
      <c r="A4913" s="14" t="s">
        <v>5629</v>
      </c>
      <c r="B4913" s="16" t="str">
        <f>TRIM("もと加美ユースセンター")</f>
        <v>もと加美ユースセンター</v>
      </c>
      <c r="C4913" s="14" t="s">
        <v>1524</v>
      </c>
      <c r="D4913" s="14" t="s">
        <v>462</v>
      </c>
      <c r="E4913" s="1"/>
      <c r="F4913" s="2"/>
      <c r="G4913" s="1">
        <v>317.91000000000003</v>
      </c>
      <c r="H4913" s="3" t="s">
        <v>7353</v>
      </c>
      <c r="I4913" s="14" t="s">
        <v>5617</v>
      </c>
    </row>
    <row r="4914" spans="1:9" ht="18.75" customHeight="1" x14ac:dyDescent="0.4">
      <c r="A4914" s="14" t="s">
        <v>5303</v>
      </c>
      <c r="B4914" s="16" t="str">
        <f>TRIM("平野消防署加美正覚寺出張所")</f>
        <v>平野消防署加美正覚寺出張所</v>
      </c>
      <c r="C4914" s="14" t="s">
        <v>1524</v>
      </c>
      <c r="D4914" s="14" t="s">
        <v>1372</v>
      </c>
      <c r="E4914" s="1">
        <v>404.09</v>
      </c>
      <c r="F4914" s="2"/>
      <c r="G4914" s="1">
        <v>211.88</v>
      </c>
      <c r="H4914" s="3"/>
      <c r="I4914" s="14" t="s">
        <v>5219</v>
      </c>
    </row>
    <row r="4915" spans="1:9" ht="18.75" customHeight="1" x14ac:dyDescent="0.4">
      <c r="A4915" s="14" t="s">
        <v>5843</v>
      </c>
      <c r="B4915" s="16" t="str">
        <f>TRIM("加美第1保育所")</f>
        <v>加美第1保育所</v>
      </c>
      <c r="C4915" s="14" t="s">
        <v>1524</v>
      </c>
      <c r="D4915" s="14" t="s">
        <v>561</v>
      </c>
      <c r="E4915" s="1">
        <v>1371.89</v>
      </c>
      <c r="F4915" s="2"/>
      <c r="G4915" s="1">
        <v>613.97</v>
      </c>
      <c r="H4915" s="3"/>
      <c r="I4915" s="14" t="s">
        <v>5617</v>
      </c>
    </row>
    <row r="4916" spans="1:9" ht="18.75" customHeight="1" x14ac:dyDescent="0.4">
      <c r="A4916" s="14" t="s">
        <v>4746</v>
      </c>
      <c r="B4916" s="16" t="str">
        <f>TRIM("加美小学校")</f>
        <v>加美小学校</v>
      </c>
      <c r="C4916" s="14" t="s">
        <v>1524</v>
      </c>
      <c r="D4916" s="14" t="s">
        <v>728</v>
      </c>
      <c r="E4916" s="1">
        <v>5461.1</v>
      </c>
      <c r="F4916" s="2"/>
      <c r="G4916" s="1">
        <v>7314.38</v>
      </c>
      <c r="H4916" s="3"/>
      <c r="I4916" s="14" t="s">
        <v>4689</v>
      </c>
    </row>
    <row r="4917" spans="1:9" ht="18.75" customHeight="1" x14ac:dyDescent="0.4">
      <c r="A4917" s="14" t="s">
        <v>4747</v>
      </c>
      <c r="B4917" s="16" t="str">
        <f>TRIM("加美中学校")</f>
        <v>加美中学校</v>
      </c>
      <c r="C4917" s="14" t="s">
        <v>1524</v>
      </c>
      <c r="D4917" s="14" t="s">
        <v>728</v>
      </c>
      <c r="E4917" s="1">
        <v>11981.23</v>
      </c>
      <c r="F4917" s="2"/>
      <c r="G4917" s="1">
        <v>7831.55</v>
      </c>
      <c r="H4917" s="3"/>
      <c r="I4917" s="14" t="s">
        <v>4689</v>
      </c>
    </row>
    <row r="4918" spans="1:9" ht="18.75" customHeight="1" x14ac:dyDescent="0.4">
      <c r="A4918" s="14" t="s">
        <v>6321</v>
      </c>
      <c r="B4918" s="16" t="str">
        <f>TRIM("加美正覚寺東住宅")</f>
        <v>加美正覚寺東住宅</v>
      </c>
      <c r="C4918" s="14" t="s">
        <v>1524</v>
      </c>
      <c r="D4918" s="14" t="s">
        <v>728</v>
      </c>
      <c r="E4918" s="1">
        <v>15184.49</v>
      </c>
      <c r="F4918" s="2"/>
      <c r="G4918" s="1">
        <v>21017.61</v>
      </c>
      <c r="H4918" s="3"/>
      <c r="I4918" s="14" t="s">
        <v>6177</v>
      </c>
    </row>
    <row r="4919" spans="1:9" ht="18.75" customHeight="1" x14ac:dyDescent="0.4">
      <c r="A4919" s="14" t="s">
        <v>2608</v>
      </c>
      <c r="B4919" s="16" t="str">
        <f>TRIM("　加美正覚寺公園")</f>
        <v>加美正覚寺公園</v>
      </c>
      <c r="C4919" s="14" t="s">
        <v>1524</v>
      </c>
      <c r="D4919" s="14" t="s">
        <v>728</v>
      </c>
      <c r="E4919" s="1">
        <v>1810.24</v>
      </c>
      <c r="F4919" s="2"/>
      <c r="G4919" s="1"/>
      <c r="H4919" s="3"/>
      <c r="I4919" s="14" t="s">
        <v>2177</v>
      </c>
    </row>
    <row r="4920" spans="1:9" ht="18.75" customHeight="1" x14ac:dyDescent="0.4">
      <c r="A4920" s="14" t="s">
        <v>4656</v>
      </c>
      <c r="B4920" s="16" t="str">
        <f>TRIM("加美連合会館")</f>
        <v>加美連合会館</v>
      </c>
      <c r="C4920" s="14" t="s">
        <v>1524</v>
      </c>
      <c r="D4920" s="14" t="s">
        <v>728</v>
      </c>
      <c r="E4920" s="1">
        <v>197.98</v>
      </c>
      <c r="F4920" s="2"/>
      <c r="G4920" s="1"/>
      <c r="H4920" s="3"/>
      <c r="I4920" s="14" t="s">
        <v>1990</v>
      </c>
    </row>
    <row r="4921" spans="1:9" ht="18.75" customHeight="1" x14ac:dyDescent="0.4">
      <c r="A4921" s="14" t="s">
        <v>6318</v>
      </c>
      <c r="B4921" s="16" t="str">
        <f>TRIM("加美神明住宅")</f>
        <v>加美神明住宅</v>
      </c>
      <c r="C4921" s="14" t="s">
        <v>1524</v>
      </c>
      <c r="D4921" s="14" t="s">
        <v>728</v>
      </c>
      <c r="E4921" s="1">
        <v>92.73</v>
      </c>
      <c r="F4921" s="2"/>
      <c r="G4921" s="1"/>
      <c r="H4921" s="3"/>
      <c r="I4921" s="14" t="s">
        <v>6177</v>
      </c>
    </row>
    <row r="4922" spans="1:9" ht="18.75" customHeight="1" x14ac:dyDescent="0.4">
      <c r="A4922" s="14" t="s">
        <v>2449</v>
      </c>
      <c r="B4922" s="16" t="str">
        <f>TRIM("大阪外環状線連絡線付属街路2号線（所有権共有地）")</f>
        <v>大阪外環状線連絡線付属街路2号線（所有権共有地）</v>
      </c>
      <c r="C4922" s="14" t="s">
        <v>1524</v>
      </c>
      <c r="D4922" s="14" t="s">
        <v>988</v>
      </c>
      <c r="E4922" s="1">
        <v>5.03</v>
      </c>
      <c r="F4922" s="2"/>
      <c r="G4922" s="1"/>
      <c r="H4922" s="3"/>
      <c r="I4922" s="14" t="s">
        <v>2177</v>
      </c>
    </row>
    <row r="4923" spans="1:9" ht="18.75" customHeight="1" x14ac:dyDescent="0.4">
      <c r="A4923" s="14" t="s">
        <v>2893</v>
      </c>
      <c r="B4923" s="16" t="str">
        <f>TRIM("　正覚寺中公園")</f>
        <v>正覚寺中公園</v>
      </c>
      <c r="C4923" s="14" t="s">
        <v>1524</v>
      </c>
      <c r="D4923" s="14" t="s">
        <v>988</v>
      </c>
      <c r="E4923" s="1">
        <v>1164.6400000000001</v>
      </c>
      <c r="F4923" s="2"/>
      <c r="G4923" s="1"/>
      <c r="H4923" s="3"/>
      <c r="I4923" s="14" t="s">
        <v>2177</v>
      </c>
    </row>
    <row r="4924" spans="1:9" ht="18.75" customHeight="1" x14ac:dyDescent="0.4">
      <c r="A4924" s="14" t="s">
        <v>2540</v>
      </c>
      <c r="B4924" s="16" t="str">
        <f>TRIM("　たちばな公園")</f>
        <v>たちばな公園</v>
      </c>
      <c r="C4924" s="14" t="s">
        <v>1524</v>
      </c>
      <c r="D4924" s="14" t="s">
        <v>695</v>
      </c>
      <c r="E4924" s="1">
        <v>1273.5</v>
      </c>
      <c r="F4924" s="2"/>
      <c r="G4924" s="1"/>
      <c r="H4924" s="3"/>
      <c r="I4924" s="14" t="s">
        <v>2177</v>
      </c>
    </row>
    <row r="4925" spans="1:9" ht="18.75" customHeight="1" x14ac:dyDescent="0.4">
      <c r="A4925" s="14" t="s">
        <v>6187</v>
      </c>
      <c r="B4925" s="16" t="str">
        <f>TRIM("加美西住宅用地")</f>
        <v>加美西住宅用地</v>
      </c>
      <c r="C4925" s="14" t="s">
        <v>1524</v>
      </c>
      <c r="D4925" s="14" t="s">
        <v>695</v>
      </c>
      <c r="E4925" s="1">
        <v>7185.8</v>
      </c>
      <c r="F4925" s="2"/>
      <c r="G4925" s="1"/>
      <c r="H4925" s="3"/>
      <c r="I4925" s="14" t="s">
        <v>6177</v>
      </c>
    </row>
    <row r="4926" spans="1:9" ht="18.75" customHeight="1" x14ac:dyDescent="0.4">
      <c r="A4926" s="14" t="s">
        <v>1723</v>
      </c>
      <c r="B4926" s="16" t="str">
        <f>TRIM("障がい福祉サービス事業所　ピアエール")</f>
        <v>障がい福祉サービス事業所　ピアエール</v>
      </c>
      <c r="C4926" s="14" t="s">
        <v>1524</v>
      </c>
      <c r="D4926" s="14" t="s">
        <v>350</v>
      </c>
      <c r="E4926" s="1">
        <v>100.95</v>
      </c>
      <c r="F4926" s="2"/>
      <c r="G4926" s="1"/>
      <c r="H4926" s="3"/>
      <c r="I4926" s="14" t="s">
        <v>1654</v>
      </c>
    </row>
    <row r="4927" spans="1:9" ht="18.75" customHeight="1" x14ac:dyDescent="0.4">
      <c r="A4927" s="14" t="s">
        <v>2609</v>
      </c>
      <c r="B4927" s="16" t="str">
        <f>TRIM("　加美西公園")</f>
        <v>加美西公園</v>
      </c>
      <c r="C4927" s="14" t="s">
        <v>1524</v>
      </c>
      <c r="D4927" s="14" t="s">
        <v>350</v>
      </c>
      <c r="E4927" s="1">
        <v>2217.84</v>
      </c>
      <c r="F4927" s="2"/>
      <c r="G4927" s="1"/>
      <c r="H4927" s="3"/>
      <c r="I4927" s="14" t="s">
        <v>2177</v>
      </c>
    </row>
    <row r="4928" spans="1:9" ht="18.75" customHeight="1" x14ac:dyDescent="0.4">
      <c r="A4928" s="14" t="s">
        <v>1855</v>
      </c>
      <c r="B4928" s="16" t="str">
        <f>TRIM("加美地域在宅サービスステーション")</f>
        <v>加美地域在宅サービスステーション</v>
      </c>
      <c r="C4928" s="14" t="s">
        <v>1524</v>
      </c>
      <c r="D4928" s="14" t="s">
        <v>370</v>
      </c>
      <c r="E4928" s="1">
        <v>845.58</v>
      </c>
      <c r="F4928" s="2"/>
      <c r="G4928" s="1"/>
      <c r="H4928" s="3"/>
      <c r="I4928" s="14" t="s">
        <v>1654</v>
      </c>
    </row>
    <row r="4929" spans="1:9" ht="18.75" customHeight="1" x14ac:dyDescent="0.4">
      <c r="A4929" s="14" t="s">
        <v>2607</v>
      </c>
      <c r="B4929" s="16" t="str">
        <f>TRIM("　加美神明公園")</f>
        <v>加美神明公園</v>
      </c>
      <c r="C4929" s="14" t="s">
        <v>1524</v>
      </c>
      <c r="D4929" s="14" t="s">
        <v>370</v>
      </c>
      <c r="E4929" s="1">
        <v>1827.26</v>
      </c>
      <c r="F4929" s="2"/>
      <c r="G4929" s="1"/>
      <c r="H4929" s="3"/>
      <c r="I4929" s="14" t="s">
        <v>2177</v>
      </c>
    </row>
    <row r="4930" spans="1:9" ht="18.75" customHeight="1" x14ac:dyDescent="0.4">
      <c r="A4930" s="14" t="s">
        <v>4653</v>
      </c>
      <c r="B4930" s="16" t="str">
        <f>TRIM("加美地域集会所")</f>
        <v>加美地域集会所</v>
      </c>
      <c r="C4930" s="14" t="s">
        <v>1524</v>
      </c>
      <c r="D4930" s="14" t="s">
        <v>370</v>
      </c>
      <c r="E4930" s="1">
        <v>215.07</v>
      </c>
      <c r="F4930" s="2"/>
      <c r="G4930" s="1"/>
      <c r="H4930" s="3"/>
      <c r="I4930" s="14" t="s">
        <v>1990</v>
      </c>
    </row>
    <row r="4931" spans="1:9" ht="18.75" customHeight="1" x14ac:dyDescent="0.4">
      <c r="A4931" s="14" t="s">
        <v>1999</v>
      </c>
      <c r="B4931" s="16" t="str">
        <f>TRIM("加美老人憩の家")</f>
        <v>加美老人憩の家</v>
      </c>
      <c r="C4931" s="14" t="s">
        <v>1524</v>
      </c>
      <c r="D4931" s="14" t="s">
        <v>563</v>
      </c>
      <c r="E4931" s="1">
        <v>167.04</v>
      </c>
      <c r="F4931" s="2"/>
      <c r="G4931" s="1">
        <v>107.16</v>
      </c>
      <c r="H4931" s="3"/>
      <c r="I4931" s="14" t="s">
        <v>1990</v>
      </c>
    </row>
    <row r="4932" spans="1:9" ht="18.75" customHeight="1" x14ac:dyDescent="0.4">
      <c r="A4932" s="14" t="s">
        <v>6319</v>
      </c>
      <c r="B4932" s="16" t="str">
        <f>TRIM("加美神明第2住宅")</f>
        <v>加美神明第2住宅</v>
      </c>
      <c r="C4932" s="14" t="s">
        <v>1524</v>
      </c>
      <c r="D4932" s="14" t="s">
        <v>563</v>
      </c>
      <c r="E4932" s="1">
        <v>5936.14</v>
      </c>
      <c r="F4932" s="2"/>
      <c r="G4932" s="1">
        <v>5089.21</v>
      </c>
      <c r="H4932" s="3"/>
      <c r="I4932" s="14" t="s">
        <v>6177</v>
      </c>
    </row>
    <row r="4933" spans="1:9" ht="18.75" customHeight="1" x14ac:dyDescent="0.4">
      <c r="A4933" s="14" t="s">
        <v>2613</v>
      </c>
      <c r="B4933" s="16" t="str">
        <f>TRIM("　加美東北公園")</f>
        <v>加美東北公園</v>
      </c>
      <c r="C4933" s="14" t="s">
        <v>1524</v>
      </c>
      <c r="D4933" s="14" t="s">
        <v>563</v>
      </c>
      <c r="E4933" s="1">
        <v>665.86</v>
      </c>
      <c r="F4933" s="2"/>
      <c r="G4933" s="1"/>
      <c r="H4933" s="3"/>
      <c r="I4933" s="14" t="s">
        <v>2177</v>
      </c>
    </row>
    <row r="4934" spans="1:9" ht="18.75" customHeight="1" x14ac:dyDescent="0.4">
      <c r="A4934" s="14" t="s">
        <v>5845</v>
      </c>
      <c r="B4934" s="16" t="str">
        <f>TRIM("加美東保育園")</f>
        <v>加美東保育園</v>
      </c>
      <c r="C4934" s="14" t="s">
        <v>1524</v>
      </c>
      <c r="D4934" s="14" t="s">
        <v>563</v>
      </c>
      <c r="E4934" s="1">
        <v>1299.82</v>
      </c>
      <c r="F4934" s="2"/>
      <c r="G4934" s="1"/>
      <c r="H4934" s="3"/>
      <c r="I4934" s="14" t="s">
        <v>5617</v>
      </c>
    </row>
    <row r="4935" spans="1:9" ht="18.75" customHeight="1" x14ac:dyDescent="0.4">
      <c r="A4935" s="14" t="s">
        <v>6324</v>
      </c>
      <c r="B4935" s="16" t="str">
        <f>TRIM("加美東第1住宅")</f>
        <v>加美東第1住宅</v>
      </c>
      <c r="C4935" s="14" t="s">
        <v>1524</v>
      </c>
      <c r="D4935" s="14" t="s">
        <v>694</v>
      </c>
      <c r="E4935" s="1">
        <v>15916.18</v>
      </c>
      <c r="F4935" s="2"/>
      <c r="G4935" s="1">
        <v>23673.8</v>
      </c>
      <c r="H4935" s="3"/>
      <c r="I4935" s="14" t="s">
        <v>6177</v>
      </c>
    </row>
    <row r="4936" spans="1:9" ht="18.75" customHeight="1" x14ac:dyDescent="0.4">
      <c r="A4936" s="14" t="s">
        <v>6186</v>
      </c>
      <c r="B4936" s="16" t="str">
        <f>TRIM("加美神明東住宅")</f>
        <v>加美神明東住宅</v>
      </c>
      <c r="C4936" s="14" t="s">
        <v>1524</v>
      </c>
      <c r="D4936" s="14" t="s">
        <v>694</v>
      </c>
      <c r="E4936" s="1">
        <v>711.35</v>
      </c>
      <c r="F4936" s="2"/>
      <c r="G4936" s="1"/>
      <c r="H4936" s="3"/>
      <c r="I4936" s="14" t="s">
        <v>6177</v>
      </c>
    </row>
    <row r="4937" spans="1:9" ht="18.75" customHeight="1" x14ac:dyDescent="0.4">
      <c r="A4937" s="14" t="s">
        <v>6317</v>
      </c>
      <c r="B4937" s="16" t="str">
        <f>TRIM("加美絹木住宅")</f>
        <v>加美絹木住宅</v>
      </c>
      <c r="C4937" s="14" t="s">
        <v>1524</v>
      </c>
      <c r="D4937" s="14" t="s">
        <v>727</v>
      </c>
      <c r="E4937" s="1">
        <v>7193.85</v>
      </c>
      <c r="F4937" s="2" t="s">
        <v>7293</v>
      </c>
      <c r="G4937" s="1"/>
      <c r="H4937" s="3"/>
      <c r="I4937" s="14" t="s">
        <v>6177</v>
      </c>
    </row>
    <row r="4938" spans="1:9" ht="18.75" customHeight="1" x14ac:dyDescent="0.4">
      <c r="A4938" s="14" t="s">
        <v>3718</v>
      </c>
      <c r="B4938" s="16" t="str">
        <f>TRIM(" 加美駅自転車駐車場トイレ")</f>
        <v>加美駅自転車駐車場トイレ</v>
      </c>
      <c r="C4938" s="14" t="s">
        <v>1524</v>
      </c>
      <c r="D4938" s="14" t="s">
        <v>727</v>
      </c>
      <c r="E4938" s="1"/>
      <c r="F4938" s="2"/>
      <c r="G4938" s="1">
        <v>1.44</v>
      </c>
      <c r="H4938" s="3"/>
      <c r="I4938" s="14" t="s">
        <v>2177</v>
      </c>
    </row>
    <row r="4939" spans="1:9" ht="18.75" customHeight="1" x14ac:dyDescent="0.4">
      <c r="A4939" s="14" t="s">
        <v>3781</v>
      </c>
      <c r="B4939" s="16" t="str">
        <f>TRIM("加美駅自転車駐車場管理員詰所")</f>
        <v>加美駅自転車駐車場管理員詰所</v>
      </c>
      <c r="C4939" s="14" t="s">
        <v>1524</v>
      </c>
      <c r="D4939" s="14" t="s">
        <v>727</v>
      </c>
      <c r="E4939" s="1"/>
      <c r="F4939" s="2"/>
      <c r="G4939" s="1">
        <v>4.6500000000000004</v>
      </c>
      <c r="H4939" s="3"/>
      <c r="I4939" s="14" t="s">
        <v>2177</v>
      </c>
    </row>
    <row r="4940" spans="1:9" ht="18.75" customHeight="1" x14ac:dyDescent="0.4">
      <c r="A4940" s="14" t="s">
        <v>3782</v>
      </c>
      <c r="B4940" s="16" t="str">
        <f>TRIM("加美駅自転車駐車場管理事務所")</f>
        <v>加美駅自転車駐車場管理事務所</v>
      </c>
      <c r="C4940" s="14" t="s">
        <v>1524</v>
      </c>
      <c r="D4940" s="14" t="s">
        <v>727</v>
      </c>
      <c r="E4940" s="1"/>
      <c r="F4940" s="2"/>
      <c r="G4940" s="1">
        <v>3.89</v>
      </c>
      <c r="H4940" s="3"/>
      <c r="I4940" s="14" t="s">
        <v>2177</v>
      </c>
    </row>
    <row r="4941" spans="1:9" ht="18.75" customHeight="1" x14ac:dyDescent="0.4">
      <c r="A4941" s="14" t="s">
        <v>1997</v>
      </c>
      <c r="B4941" s="16" t="str">
        <f>TRIM("加美東老人憩の家")</f>
        <v>加美東老人憩の家</v>
      </c>
      <c r="C4941" s="14" t="s">
        <v>1524</v>
      </c>
      <c r="D4941" s="14" t="s">
        <v>1015</v>
      </c>
      <c r="E4941" s="1">
        <v>182.42</v>
      </c>
      <c r="F4941" s="2"/>
      <c r="G4941" s="1">
        <v>104.77</v>
      </c>
      <c r="H4941" s="3"/>
      <c r="I4941" s="14" t="s">
        <v>1990</v>
      </c>
    </row>
    <row r="4942" spans="1:9" ht="18.75" customHeight="1" x14ac:dyDescent="0.4">
      <c r="A4942" s="14" t="s">
        <v>4748</v>
      </c>
      <c r="B4942" s="16" t="str">
        <f>TRIM("加美東小学校")</f>
        <v>加美東小学校</v>
      </c>
      <c r="C4942" s="14" t="s">
        <v>1524</v>
      </c>
      <c r="D4942" s="14" t="s">
        <v>1015</v>
      </c>
      <c r="E4942" s="1">
        <v>11343.91</v>
      </c>
      <c r="F4942" s="2"/>
      <c r="G4942" s="1">
        <v>5693.31</v>
      </c>
      <c r="H4942" s="3"/>
      <c r="I4942" s="14" t="s">
        <v>4689</v>
      </c>
    </row>
    <row r="4943" spans="1:9" ht="18.75" customHeight="1" x14ac:dyDescent="0.4">
      <c r="A4943" s="14" t="s">
        <v>2404</v>
      </c>
      <c r="B4943" s="16" t="str">
        <f>TRIM("加美鞍作ポンプ場")</f>
        <v>加美鞍作ポンプ場</v>
      </c>
      <c r="C4943" s="14" t="s">
        <v>1524</v>
      </c>
      <c r="D4943" s="14" t="s">
        <v>1015</v>
      </c>
      <c r="E4943" s="1"/>
      <c r="F4943" s="2"/>
      <c r="G4943" s="1">
        <v>21.47</v>
      </c>
      <c r="H4943" s="3"/>
      <c r="I4943" s="14" t="s">
        <v>2177</v>
      </c>
    </row>
    <row r="4944" spans="1:9" ht="18.75" customHeight="1" x14ac:dyDescent="0.4">
      <c r="A4944" s="14" t="s">
        <v>2612</v>
      </c>
      <c r="B4944" s="16" t="str">
        <f>TRIM("　加美東公園")</f>
        <v>加美東公園</v>
      </c>
      <c r="C4944" s="14" t="s">
        <v>1524</v>
      </c>
      <c r="D4944" s="14" t="s">
        <v>1015</v>
      </c>
      <c r="E4944" s="1">
        <v>478.74</v>
      </c>
      <c r="F4944" s="2"/>
      <c r="G4944" s="1"/>
      <c r="H4944" s="3"/>
      <c r="I4944" s="14" t="s">
        <v>2177</v>
      </c>
    </row>
    <row r="4945" spans="1:9" ht="18.75" customHeight="1" x14ac:dyDescent="0.4">
      <c r="A4945" s="14" t="s">
        <v>6325</v>
      </c>
      <c r="B4945" s="16" t="str">
        <f>TRIM("加美東第2住宅")</f>
        <v>加美東第2住宅</v>
      </c>
      <c r="C4945" s="14" t="s">
        <v>1524</v>
      </c>
      <c r="D4945" s="14" t="s">
        <v>31</v>
      </c>
      <c r="E4945" s="1">
        <v>21100.02</v>
      </c>
      <c r="F4945" s="2"/>
      <c r="G4945" s="1">
        <v>29995.040000000001</v>
      </c>
      <c r="H4945" s="3"/>
      <c r="I4945" s="14" t="s">
        <v>6177</v>
      </c>
    </row>
    <row r="4946" spans="1:9" ht="18.75" customHeight="1" x14ac:dyDescent="0.4">
      <c r="A4946" s="14" t="s">
        <v>2452</v>
      </c>
      <c r="B4946" s="16" t="str">
        <f>TRIM("鞍作線（基金）")</f>
        <v>鞍作線（基金）</v>
      </c>
      <c r="C4946" s="14" t="s">
        <v>1524</v>
      </c>
      <c r="D4946" s="14" t="s">
        <v>31</v>
      </c>
      <c r="E4946" s="1">
        <v>49.36</v>
      </c>
      <c r="F4946" s="2"/>
      <c r="G4946" s="1"/>
      <c r="H4946" s="3"/>
      <c r="I4946" s="14" t="s">
        <v>2177</v>
      </c>
    </row>
    <row r="4947" spans="1:9" ht="18.75" customHeight="1" x14ac:dyDescent="0.4">
      <c r="A4947" s="14" t="s">
        <v>4654</v>
      </c>
      <c r="B4947" s="16" t="str">
        <f>TRIM("加美東地域集会所")</f>
        <v>加美東地域集会所</v>
      </c>
      <c r="C4947" s="14" t="s">
        <v>1524</v>
      </c>
      <c r="D4947" s="14" t="s">
        <v>31</v>
      </c>
      <c r="E4947" s="1">
        <v>205.76</v>
      </c>
      <c r="F4947" s="2"/>
      <c r="G4947" s="1"/>
      <c r="H4947" s="3"/>
      <c r="I4947" s="14" t="s">
        <v>1990</v>
      </c>
    </row>
    <row r="4948" spans="1:9" ht="18.75" customHeight="1" x14ac:dyDescent="0.4">
      <c r="A4948" s="14" t="s">
        <v>7045</v>
      </c>
      <c r="B4948" s="16" t="str">
        <f>TRIM("加美工場団地緑地帯")</f>
        <v>加美工場団地緑地帯</v>
      </c>
      <c r="C4948" s="14" t="s">
        <v>1524</v>
      </c>
      <c r="D4948" s="14" t="s">
        <v>31</v>
      </c>
      <c r="E4948" s="1">
        <v>438.53</v>
      </c>
      <c r="F4948" s="2"/>
      <c r="G4948" s="1"/>
      <c r="H4948" s="3"/>
      <c r="I4948" s="14" t="s">
        <v>4115</v>
      </c>
    </row>
    <row r="4949" spans="1:9" ht="18.75" customHeight="1" x14ac:dyDescent="0.4">
      <c r="A4949" s="14" t="s">
        <v>4749</v>
      </c>
      <c r="B4949" s="16" t="str">
        <f>TRIM("加美南中学校")</f>
        <v>加美南中学校</v>
      </c>
      <c r="C4949" s="14" t="s">
        <v>1524</v>
      </c>
      <c r="D4949" s="14" t="s">
        <v>562</v>
      </c>
      <c r="E4949" s="1">
        <v>17402.25</v>
      </c>
      <c r="F4949" s="2"/>
      <c r="G4949" s="1">
        <v>6503.61</v>
      </c>
      <c r="H4949" s="3"/>
      <c r="I4949" s="14" t="s">
        <v>4689</v>
      </c>
    </row>
    <row r="4950" spans="1:9" ht="18.75" customHeight="1" x14ac:dyDescent="0.4">
      <c r="A4950" s="14" t="s">
        <v>4750</v>
      </c>
      <c r="B4950" s="16" t="str">
        <f>TRIM("加美南部小学校")</f>
        <v>加美南部小学校</v>
      </c>
      <c r="C4950" s="14" t="s">
        <v>1524</v>
      </c>
      <c r="D4950" s="14" t="s">
        <v>562</v>
      </c>
      <c r="E4950" s="1">
        <v>9722.43</v>
      </c>
      <c r="F4950" s="2"/>
      <c r="G4950" s="1">
        <v>5042.3599999999997</v>
      </c>
      <c r="H4950" s="3"/>
      <c r="I4950" s="14" t="s">
        <v>4689</v>
      </c>
    </row>
    <row r="4951" spans="1:9" ht="18.75" customHeight="1" x14ac:dyDescent="0.4">
      <c r="A4951" s="14" t="s">
        <v>5844</v>
      </c>
      <c r="B4951" s="16" t="str">
        <f>TRIM("加美第2保育所")</f>
        <v>加美第2保育所</v>
      </c>
      <c r="C4951" s="14" t="s">
        <v>1524</v>
      </c>
      <c r="D4951" s="14" t="s">
        <v>562</v>
      </c>
      <c r="E4951" s="1">
        <v>1857.09</v>
      </c>
      <c r="F4951" s="2"/>
      <c r="G4951" s="1">
        <v>780.82</v>
      </c>
      <c r="H4951" s="3"/>
      <c r="I4951" s="14" t="s">
        <v>5617</v>
      </c>
    </row>
    <row r="4952" spans="1:9" ht="18.75" customHeight="1" x14ac:dyDescent="0.4">
      <c r="A4952" s="14" t="s">
        <v>6326</v>
      </c>
      <c r="B4952" s="16" t="str">
        <f>TRIM("加美南住宅")</f>
        <v>加美南住宅</v>
      </c>
      <c r="C4952" s="14" t="s">
        <v>1524</v>
      </c>
      <c r="D4952" s="14" t="s">
        <v>562</v>
      </c>
      <c r="E4952" s="1">
        <v>5014.87</v>
      </c>
      <c r="F4952" s="2"/>
      <c r="G4952" s="1">
        <v>6410.06</v>
      </c>
      <c r="H4952" s="3"/>
      <c r="I4952" s="14" t="s">
        <v>6177</v>
      </c>
    </row>
    <row r="4953" spans="1:9" ht="18.75" customHeight="1" x14ac:dyDescent="0.4">
      <c r="A4953" s="14" t="s">
        <v>2560</v>
      </c>
      <c r="B4953" s="16" t="str">
        <f>TRIM("　鞍作公園")</f>
        <v>鞍作公園</v>
      </c>
      <c r="C4953" s="14" t="s">
        <v>1524</v>
      </c>
      <c r="D4953" s="14" t="s">
        <v>562</v>
      </c>
      <c r="E4953" s="1">
        <v>10347.41</v>
      </c>
      <c r="F4953" s="2"/>
      <c r="G4953" s="1"/>
      <c r="H4953" s="3"/>
      <c r="I4953" s="14" t="s">
        <v>2177</v>
      </c>
    </row>
    <row r="4954" spans="1:9" ht="18.75" customHeight="1" x14ac:dyDescent="0.4">
      <c r="A4954" s="14" t="s">
        <v>3530</v>
      </c>
      <c r="B4954" s="16" t="str">
        <f>TRIM("　鞍作公園")</f>
        <v>鞍作公園</v>
      </c>
      <c r="C4954" s="14" t="s">
        <v>1524</v>
      </c>
      <c r="D4954" s="14" t="s">
        <v>562</v>
      </c>
      <c r="E4954" s="1"/>
      <c r="F4954" s="2"/>
      <c r="G4954" s="1">
        <v>19.2</v>
      </c>
      <c r="H4954" s="3"/>
      <c r="I4954" s="14" t="s">
        <v>2177</v>
      </c>
    </row>
    <row r="4955" spans="1:9" ht="18.75" customHeight="1" x14ac:dyDescent="0.4">
      <c r="A4955" s="14" t="s">
        <v>5154</v>
      </c>
      <c r="B4955" s="16" t="str">
        <f>TRIM("もと加美南中学校")</f>
        <v>もと加美南中学校</v>
      </c>
      <c r="C4955" s="14" t="s">
        <v>1524</v>
      </c>
      <c r="D4955" s="14" t="s">
        <v>562</v>
      </c>
      <c r="E4955" s="1"/>
      <c r="F4955" s="2"/>
      <c r="G4955" s="1">
        <v>785.56</v>
      </c>
      <c r="H4955" s="3"/>
      <c r="I4955" s="14" t="s">
        <v>4689</v>
      </c>
    </row>
    <row r="4956" spans="1:9" ht="18.75" customHeight="1" x14ac:dyDescent="0.4">
      <c r="A4956" s="14" t="s">
        <v>1998</v>
      </c>
      <c r="B4956" s="16" t="str">
        <f>TRIM("加美南老人憩の家")</f>
        <v>加美南老人憩の家</v>
      </c>
      <c r="C4956" s="14" t="s">
        <v>1524</v>
      </c>
      <c r="D4956" s="14" t="s">
        <v>1469</v>
      </c>
      <c r="E4956" s="1">
        <v>117.75</v>
      </c>
      <c r="F4956" s="2"/>
      <c r="G4956" s="1">
        <v>100.28</v>
      </c>
      <c r="H4956" s="3"/>
      <c r="I4956" s="14" t="s">
        <v>1990</v>
      </c>
    </row>
    <row r="4957" spans="1:9" ht="18.75" customHeight="1" x14ac:dyDescent="0.4">
      <c r="A4957" s="14" t="s">
        <v>4772</v>
      </c>
      <c r="B4957" s="16" t="str">
        <f>TRIM("喜連北小学校")</f>
        <v>喜連北小学校</v>
      </c>
      <c r="C4957" s="14" t="s">
        <v>1524</v>
      </c>
      <c r="D4957" s="14" t="s">
        <v>1274</v>
      </c>
      <c r="E4957" s="1">
        <v>14669.47</v>
      </c>
      <c r="F4957" s="2"/>
      <c r="G4957" s="1">
        <v>5951.97</v>
      </c>
      <c r="H4957" s="3"/>
      <c r="I4957" s="14" t="s">
        <v>4689</v>
      </c>
    </row>
    <row r="4958" spans="1:9" ht="18.75" customHeight="1" x14ac:dyDescent="0.4">
      <c r="A4958" s="14" t="s">
        <v>3415</v>
      </c>
      <c r="B4958" s="16" t="str">
        <f>TRIM("喜連北第一公園")</f>
        <v>喜連北第一公園</v>
      </c>
      <c r="C4958" s="14" t="s">
        <v>1524</v>
      </c>
      <c r="D4958" s="14" t="s">
        <v>1274</v>
      </c>
      <c r="E4958" s="1">
        <v>4067.14</v>
      </c>
      <c r="F4958" s="2"/>
      <c r="G4958" s="1"/>
      <c r="H4958" s="3"/>
      <c r="I4958" s="14" t="s">
        <v>2177</v>
      </c>
    </row>
    <row r="4959" spans="1:9" ht="18.75" customHeight="1" x14ac:dyDescent="0.4">
      <c r="A4959" s="14" t="s">
        <v>3796</v>
      </c>
      <c r="B4959" s="16" t="str">
        <f>TRIM("喜連瓜破（1）駅自転車駐車場")</f>
        <v>喜連瓜破（1）駅自転車駐車場</v>
      </c>
      <c r="C4959" s="14" t="s">
        <v>1524</v>
      </c>
      <c r="D4959" s="14" t="s">
        <v>1023</v>
      </c>
      <c r="E4959" s="1">
        <v>307.22000000000003</v>
      </c>
      <c r="F4959" s="2"/>
      <c r="G4959" s="1">
        <v>763.59</v>
      </c>
      <c r="H4959" s="3"/>
      <c r="I4959" s="14" t="s">
        <v>2177</v>
      </c>
    </row>
    <row r="4960" spans="1:9" ht="18.75" customHeight="1" x14ac:dyDescent="0.4">
      <c r="A4960" s="14" t="s">
        <v>2638</v>
      </c>
      <c r="B4960" s="16" t="str">
        <f>TRIM("　喜連2公園")</f>
        <v>喜連2公園</v>
      </c>
      <c r="C4960" s="14" t="s">
        <v>1524</v>
      </c>
      <c r="D4960" s="14" t="s">
        <v>1023</v>
      </c>
      <c r="E4960" s="1">
        <v>1274.92</v>
      </c>
      <c r="F4960" s="2"/>
      <c r="G4960" s="1"/>
      <c r="H4960" s="3"/>
      <c r="I4960" s="14" t="s">
        <v>2177</v>
      </c>
    </row>
    <row r="4961" spans="1:9" ht="18.75" customHeight="1" x14ac:dyDescent="0.4">
      <c r="A4961" s="14" t="s">
        <v>3797</v>
      </c>
      <c r="B4961" s="16" t="str">
        <f>TRIM("喜連瓜破駅自転車駐車場管理ボックス")</f>
        <v>喜連瓜破駅自転車駐車場管理ボックス</v>
      </c>
      <c r="C4961" s="14" t="s">
        <v>1524</v>
      </c>
      <c r="D4961" s="14" t="s">
        <v>1023</v>
      </c>
      <c r="E4961" s="1"/>
      <c r="F4961" s="2"/>
      <c r="G4961" s="1">
        <v>1.44</v>
      </c>
      <c r="H4961" s="3"/>
      <c r="I4961" s="14" t="s">
        <v>2177</v>
      </c>
    </row>
    <row r="4962" spans="1:9" ht="18.75" customHeight="1" x14ac:dyDescent="0.4">
      <c r="A4962" s="14" t="s">
        <v>6343</v>
      </c>
      <c r="B4962" s="16" t="str">
        <f>TRIM("喜連第2住宅")</f>
        <v>喜連第2住宅</v>
      </c>
      <c r="C4962" s="14" t="s">
        <v>1524</v>
      </c>
      <c r="D4962" s="14" t="s">
        <v>734</v>
      </c>
      <c r="E4962" s="1">
        <v>19714.939999999999</v>
      </c>
      <c r="F4962" s="2"/>
      <c r="G4962" s="1">
        <v>21752.560000000001</v>
      </c>
      <c r="H4962" s="3"/>
      <c r="I4962" s="14" t="s">
        <v>6177</v>
      </c>
    </row>
    <row r="4963" spans="1:9" ht="18.75" customHeight="1" x14ac:dyDescent="0.4">
      <c r="A4963" s="14" t="s">
        <v>3414</v>
      </c>
      <c r="B4963" s="16" t="str">
        <f>TRIM("喜連北公園")</f>
        <v>喜連北公園</v>
      </c>
      <c r="C4963" s="14" t="s">
        <v>1524</v>
      </c>
      <c r="D4963" s="14" t="s">
        <v>1273</v>
      </c>
      <c r="E4963" s="1">
        <v>2499.9699999999998</v>
      </c>
      <c r="F4963" s="2"/>
      <c r="G4963" s="1"/>
      <c r="H4963" s="3"/>
      <c r="I4963" s="14" t="s">
        <v>2177</v>
      </c>
    </row>
    <row r="4964" spans="1:9" ht="18.75" customHeight="1" x14ac:dyDescent="0.4">
      <c r="A4964" s="14" t="s">
        <v>5849</v>
      </c>
      <c r="B4964" s="16" t="str">
        <f>TRIM("喜連保育所")</f>
        <v>喜連保育所</v>
      </c>
      <c r="C4964" s="14" t="s">
        <v>1524</v>
      </c>
      <c r="D4964" s="14" t="s">
        <v>566</v>
      </c>
      <c r="E4964" s="1">
        <v>1579.14</v>
      </c>
      <c r="F4964" s="2"/>
      <c r="G4964" s="1">
        <v>618.1</v>
      </c>
      <c r="H4964" s="3"/>
      <c r="I4964" s="14" t="s">
        <v>5617</v>
      </c>
    </row>
    <row r="4965" spans="1:9" ht="18.75" customHeight="1" x14ac:dyDescent="0.4">
      <c r="A4965" s="14" t="s">
        <v>1785</v>
      </c>
      <c r="B4965" s="16" t="str">
        <f>TRIM("もと喜連老人憩の家")</f>
        <v>もと喜連老人憩の家</v>
      </c>
      <c r="C4965" s="14" t="s">
        <v>1524</v>
      </c>
      <c r="D4965" s="14" t="s">
        <v>566</v>
      </c>
      <c r="E4965" s="1"/>
      <c r="F4965" s="2"/>
      <c r="G4965" s="1">
        <v>103.48</v>
      </c>
      <c r="H4965" s="3" t="s">
        <v>7353</v>
      </c>
      <c r="I4965" s="14" t="s">
        <v>1654</v>
      </c>
    </row>
    <row r="4966" spans="1:9" ht="18.75" customHeight="1" x14ac:dyDescent="0.4">
      <c r="A4966" s="14" t="s">
        <v>2642</v>
      </c>
      <c r="B4966" s="16" t="str">
        <f>TRIM("　喜連中公園")</f>
        <v>喜連中公園</v>
      </c>
      <c r="C4966" s="14" t="s">
        <v>1524</v>
      </c>
      <c r="D4966" s="14" t="s">
        <v>566</v>
      </c>
      <c r="E4966" s="1">
        <v>1112.46</v>
      </c>
      <c r="F4966" s="2"/>
      <c r="G4966" s="1"/>
      <c r="H4966" s="3"/>
      <c r="I4966" s="14" t="s">
        <v>2177</v>
      </c>
    </row>
    <row r="4967" spans="1:9" ht="18.75" customHeight="1" x14ac:dyDescent="0.4">
      <c r="A4967" s="14" t="s">
        <v>5687</v>
      </c>
      <c r="B4967" s="16" t="str">
        <f>TRIM("もと平野児童館")</f>
        <v>もと平野児童館</v>
      </c>
      <c r="C4967" s="14" t="s">
        <v>1524</v>
      </c>
      <c r="D4967" s="14" t="s">
        <v>566</v>
      </c>
      <c r="E4967" s="1"/>
      <c r="F4967" s="2"/>
      <c r="G4967" s="1">
        <v>183.12</v>
      </c>
      <c r="H4967" s="3"/>
      <c r="I4967" s="14" t="s">
        <v>5617</v>
      </c>
    </row>
    <row r="4968" spans="1:9" ht="18.75" customHeight="1" x14ac:dyDescent="0.4">
      <c r="A4968" s="14" t="s">
        <v>4768</v>
      </c>
      <c r="B4968" s="16" t="str">
        <f>TRIM("喜連小学校")</f>
        <v>喜連小学校</v>
      </c>
      <c r="C4968" s="14" t="s">
        <v>1524</v>
      </c>
      <c r="D4968" s="14" t="s">
        <v>733</v>
      </c>
      <c r="E4968" s="1">
        <v>11646.57</v>
      </c>
      <c r="F4968" s="2"/>
      <c r="G4968" s="1">
        <v>6179.74</v>
      </c>
      <c r="H4968" s="3"/>
      <c r="I4968" s="14" t="s">
        <v>4689</v>
      </c>
    </row>
    <row r="4969" spans="1:9" ht="18.75" customHeight="1" x14ac:dyDescent="0.4">
      <c r="A4969" s="14" t="s">
        <v>6342</v>
      </c>
      <c r="B4969" s="16" t="str">
        <f>TRIM("喜連住宅")</f>
        <v>喜連住宅</v>
      </c>
      <c r="C4969" s="14" t="s">
        <v>1524</v>
      </c>
      <c r="D4969" s="14" t="s">
        <v>733</v>
      </c>
      <c r="E4969" s="1">
        <v>19246.189999999999</v>
      </c>
      <c r="F4969" s="2"/>
      <c r="G4969" s="1">
        <v>29363.9</v>
      </c>
      <c r="H4969" s="3"/>
      <c r="I4969" s="14" t="s">
        <v>6177</v>
      </c>
    </row>
    <row r="4970" spans="1:9" ht="18.75" customHeight="1" x14ac:dyDescent="0.4">
      <c r="A4970" s="14" t="s">
        <v>4658</v>
      </c>
      <c r="B4970" s="16" t="str">
        <f>TRIM("喜連地域集会所")</f>
        <v>喜連地域集会所</v>
      </c>
      <c r="C4970" s="14" t="s">
        <v>1524</v>
      </c>
      <c r="D4970" s="14" t="s">
        <v>733</v>
      </c>
      <c r="E4970" s="1">
        <v>355.38</v>
      </c>
      <c r="F4970" s="2"/>
      <c r="G4970" s="1"/>
      <c r="H4970" s="3"/>
      <c r="I4970" s="14" t="s">
        <v>1990</v>
      </c>
    </row>
    <row r="4971" spans="1:9" ht="18.75" customHeight="1" x14ac:dyDescent="0.4">
      <c r="A4971" s="14" t="s">
        <v>6654</v>
      </c>
      <c r="B4971" s="16" t="str">
        <f>TRIM("北喜連住宅")</f>
        <v>北喜連住宅</v>
      </c>
      <c r="C4971" s="14" t="s">
        <v>1524</v>
      </c>
      <c r="D4971" s="14" t="s">
        <v>837</v>
      </c>
      <c r="E4971" s="1">
        <v>12625</v>
      </c>
      <c r="F4971" s="2">
        <v>1912</v>
      </c>
      <c r="G4971" s="1">
        <v>3694.38</v>
      </c>
      <c r="H4971" s="3"/>
      <c r="I4971" s="14" t="s">
        <v>6177</v>
      </c>
    </row>
    <row r="4972" spans="1:9" ht="18.75" customHeight="1" x14ac:dyDescent="0.4">
      <c r="A4972" s="14" t="s">
        <v>4657</v>
      </c>
      <c r="B4972" s="16" t="str">
        <f>TRIM("喜連西コミュニティ会館")</f>
        <v>喜連西コミュニティ会館</v>
      </c>
      <c r="C4972" s="14" t="s">
        <v>1524</v>
      </c>
      <c r="D4972" s="14" t="s">
        <v>837</v>
      </c>
      <c r="E4972" s="1">
        <v>192.67</v>
      </c>
      <c r="F4972" s="2"/>
      <c r="G4972" s="1"/>
      <c r="H4972" s="3"/>
      <c r="I4972" s="14" t="s">
        <v>1990</v>
      </c>
    </row>
    <row r="4973" spans="1:9" ht="18.75" customHeight="1" x14ac:dyDescent="0.4">
      <c r="A4973" s="14" t="s">
        <v>5972</v>
      </c>
      <c r="B4973" s="16" t="str">
        <f>TRIM("もと西喜連保育所")</f>
        <v>もと西喜連保育所</v>
      </c>
      <c r="C4973" s="14" t="s">
        <v>1524</v>
      </c>
      <c r="D4973" s="14" t="s">
        <v>837</v>
      </c>
      <c r="E4973" s="1"/>
      <c r="F4973" s="2"/>
      <c r="G4973" s="1">
        <v>547.16999999999996</v>
      </c>
      <c r="H4973" s="3" t="s">
        <v>7353</v>
      </c>
      <c r="I4973" s="14" t="s">
        <v>5617</v>
      </c>
    </row>
    <row r="4974" spans="1:9" ht="18.75" customHeight="1" x14ac:dyDescent="0.4">
      <c r="A4974" s="14" t="s">
        <v>6450</v>
      </c>
      <c r="B4974" s="16" t="str">
        <f>TRIM("西喜連第4住宅")</f>
        <v>西喜連第4住宅</v>
      </c>
      <c r="C4974" s="14" t="s">
        <v>1524</v>
      </c>
      <c r="D4974" s="14" t="s">
        <v>770</v>
      </c>
      <c r="E4974" s="1">
        <v>32046.66</v>
      </c>
      <c r="F4974" s="2"/>
      <c r="G4974" s="1">
        <v>53018.18</v>
      </c>
      <c r="H4974" s="3"/>
      <c r="I4974" s="14" t="s">
        <v>6177</v>
      </c>
    </row>
    <row r="4975" spans="1:9" ht="18.75" customHeight="1" x14ac:dyDescent="0.4">
      <c r="A4975" s="14" t="s">
        <v>2641</v>
      </c>
      <c r="B4975" s="16" t="str">
        <f>TRIM("　喜連西中央公園")</f>
        <v>喜連西中央公園</v>
      </c>
      <c r="C4975" s="14" t="s">
        <v>1524</v>
      </c>
      <c r="D4975" s="14" t="s">
        <v>770</v>
      </c>
      <c r="E4975" s="1">
        <v>10000.299999999999</v>
      </c>
      <c r="F4975" s="2"/>
      <c r="G4975" s="1"/>
      <c r="H4975" s="3"/>
      <c r="I4975" s="14" t="s">
        <v>2177</v>
      </c>
    </row>
    <row r="4976" spans="1:9" ht="18.75" customHeight="1" x14ac:dyDescent="0.4">
      <c r="A4976" s="14" t="s">
        <v>3545</v>
      </c>
      <c r="B4976" s="16" t="str">
        <f>TRIM("　喜連西中央公園")</f>
        <v>喜連西中央公園</v>
      </c>
      <c r="C4976" s="14" t="s">
        <v>1524</v>
      </c>
      <c r="D4976" s="14" t="s">
        <v>770</v>
      </c>
      <c r="E4976" s="1"/>
      <c r="F4976" s="2"/>
      <c r="G4976" s="1">
        <v>18.239999999999998</v>
      </c>
      <c r="H4976" s="3"/>
      <c r="I4976" s="14" t="s">
        <v>2177</v>
      </c>
    </row>
    <row r="4977" spans="1:9" ht="18.75" customHeight="1" x14ac:dyDescent="0.4">
      <c r="A4977" s="14" t="s">
        <v>6265</v>
      </c>
      <c r="B4977" s="16" t="str">
        <f>TRIM("もと西喜連住宅")</f>
        <v>もと西喜連住宅</v>
      </c>
      <c r="C4977" s="14" t="s">
        <v>1524</v>
      </c>
      <c r="D4977" s="14" t="s">
        <v>770</v>
      </c>
      <c r="E4977" s="1">
        <v>3784.92</v>
      </c>
      <c r="F4977" s="2"/>
      <c r="G4977" s="1"/>
      <c r="H4977" s="3"/>
      <c r="I4977" s="14" t="s">
        <v>6177</v>
      </c>
    </row>
    <row r="4978" spans="1:9" ht="18.75" customHeight="1" x14ac:dyDescent="0.4">
      <c r="A4978" s="14" t="s">
        <v>6447</v>
      </c>
      <c r="B4978" s="16" t="str">
        <f>TRIM("西喜連住宅")</f>
        <v>西喜連住宅</v>
      </c>
      <c r="C4978" s="14" t="s">
        <v>1524</v>
      </c>
      <c r="D4978" s="14" t="s">
        <v>770</v>
      </c>
      <c r="E4978" s="1">
        <v>44088.71</v>
      </c>
      <c r="F4978" s="2"/>
      <c r="G4978" s="1"/>
      <c r="H4978" s="3"/>
      <c r="I4978" s="14" t="s">
        <v>6177</v>
      </c>
    </row>
    <row r="4979" spans="1:9" ht="18.75" customHeight="1" x14ac:dyDescent="0.4">
      <c r="A4979" s="14" t="s">
        <v>4769</v>
      </c>
      <c r="B4979" s="16" t="str">
        <f>TRIM("喜連西小学校")</f>
        <v>喜連西小学校</v>
      </c>
      <c r="C4979" s="14" t="s">
        <v>1524</v>
      </c>
      <c r="D4979" s="14" t="s">
        <v>374</v>
      </c>
      <c r="E4979" s="1">
        <v>9434.69</v>
      </c>
      <c r="F4979" s="2"/>
      <c r="G4979" s="1">
        <v>7522.32</v>
      </c>
      <c r="H4979" s="3"/>
      <c r="I4979" s="14" t="s">
        <v>4689</v>
      </c>
    </row>
    <row r="4980" spans="1:9" ht="18.75" customHeight="1" x14ac:dyDescent="0.4">
      <c r="A4980" s="14" t="s">
        <v>6448</v>
      </c>
      <c r="B4980" s="16" t="str">
        <f>TRIM("西喜連第2住宅")</f>
        <v>西喜連第2住宅</v>
      </c>
      <c r="C4980" s="14" t="s">
        <v>1524</v>
      </c>
      <c r="D4980" s="14" t="s">
        <v>374</v>
      </c>
      <c r="E4980" s="1">
        <v>7444.32</v>
      </c>
      <c r="F4980" s="2"/>
      <c r="G4980" s="1">
        <v>11421.13</v>
      </c>
      <c r="H4980" s="3"/>
      <c r="I4980" s="14" t="s">
        <v>6177</v>
      </c>
    </row>
    <row r="4981" spans="1:9" ht="18.75" customHeight="1" x14ac:dyDescent="0.4">
      <c r="A4981" s="14" t="s">
        <v>6449</v>
      </c>
      <c r="B4981" s="16" t="str">
        <f>TRIM("西喜連第3住宅")</f>
        <v>西喜連第3住宅</v>
      </c>
      <c r="C4981" s="14" t="s">
        <v>1524</v>
      </c>
      <c r="D4981" s="14" t="s">
        <v>374</v>
      </c>
      <c r="E4981" s="1">
        <v>29803.51</v>
      </c>
      <c r="F4981" s="2"/>
      <c r="G4981" s="1">
        <v>46415.839999999997</v>
      </c>
      <c r="H4981" s="3"/>
      <c r="I4981" s="14" t="s">
        <v>6177</v>
      </c>
    </row>
    <row r="4982" spans="1:9" ht="18.75" customHeight="1" x14ac:dyDescent="0.4">
      <c r="A4982" s="14" t="s">
        <v>6451</v>
      </c>
      <c r="B4982" s="16" t="str">
        <f>TRIM("西喜連第5住宅")</f>
        <v>西喜連第5住宅</v>
      </c>
      <c r="C4982" s="14" t="s">
        <v>1524</v>
      </c>
      <c r="D4982" s="14" t="s">
        <v>374</v>
      </c>
      <c r="E4982" s="1">
        <v>16292.29</v>
      </c>
      <c r="F4982" s="2"/>
      <c r="G4982" s="1">
        <v>75946.899999999994</v>
      </c>
      <c r="H4982" s="3"/>
      <c r="I4982" s="14" t="s">
        <v>6177</v>
      </c>
    </row>
    <row r="4983" spans="1:9" ht="18.75" customHeight="1" x14ac:dyDescent="0.4">
      <c r="A4983" s="14" t="s">
        <v>1865</v>
      </c>
      <c r="B4983" s="16" t="str">
        <f>TRIM("喜連西小規模多機能型居宅介護施設ゆたか")</f>
        <v>喜連西小規模多機能型居宅介護施設ゆたか</v>
      </c>
      <c r="C4983" s="14" t="s">
        <v>1524</v>
      </c>
      <c r="D4983" s="14" t="s">
        <v>374</v>
      </c>
      <c r="E4983" s="1">
        <v>106.54</v>
      </c>
      <c r="F4983" s="2"/>
      <c r="G4983" s="1"/>
      <c r="H4983" s="3"/>
      <c r="I4983" s="14" t="s">
        <v>1654</v>
      </c>
    </row>
    <row r="4984" spans="1:9" ht="18.75" customHeight="1" x14ac:dyDescent="0.4">
      <c r="A4984" s="14" t="s">
        <v>1866</v>
      </c>
      <c r="B4984" s="16" t="str">
        <f>TRIM("喜連西地域在宅サービスステーション")</f>
        <v>喜連西地域在宅サービスステーション</v>
      </c>
      <c r="C4984" s="14" t="s">
        <v>1524</v>
      </c>
      <c r="D4984" s="14" t="s">
        <v>374</v>
      </c>
      <c r="E4984" s="1">
        <v>454.18</v>
      </c>
      <c r="F4984" s="2"/>
      <c r="G4984" s="1"/>
      <c r="H4984" s="3"/>
      <c r="I4984" s="14" t="s">
        <v>1654</v>
      </c>
    </row>
    <row r="4985" spans="1:9" ht="18.75" customHeight="1" x14ac:dyDescent="0.4">
      <c r="A4985" s="14" t="s">
        <v>2006</v>
      </c>
      <c r="B4985" s="16" t="str">
        <f>TRIM("喜連西会館老人憩の家")</f>
        <v>喜連西会館老人憩の家</v>
      </c>
      <c r="C4985" s="14" t="s">
        <v>1524</v>
      </c>
      <c r="D4985" s="14" t="s">
        <v>374</v>
      </c>
      <c r="E4985" s="1">
        <v>323.85000000000002</v>
      </c>
      <c r="F4985" s="2"/>
      <c r="G4985" s="1"/>
      <c r="H4985" s="3"/>
      <c r="I4985" s="14" t="s">
        <v>1990</v>
      </c>
    </row>
    <row r="4986" spans="1:9" ht="18.75" customHeight="1" x14ac:dyDescent="0.4">
      <c r="A4986" s="14" t="s">
        <v>2640</v>
      </c>
      <c r="B4986" s="16" t="str">
        <f>TRIM("　喜連西公園")</f>
        <v>喜連西公園</v>
      </c>
      <c r="C4986" s="14" t="s">
        <v>1524</v>
      </c>
      <c r="D4986" s="14" t="s">
        <v>374</v>
      </c>
      <c r="E4986" s="1">
        <v>1348.81</v>
      </c>
      <c r="F4986" s="2"/>
      <c r="G4986" s="1"/>
      <c r="H4986" s="3"/>
      <c r="I4986" s="14" t="s">
        <v>2177</v>
      </c>
    </row>
    <row r="4987" spans="1:9" ht="18.75" customHeight="1" x14ac:dyDescent="0.4">
      <c r="A4987" s="14" t="s">
        <v>5967</v>
      </c>
      <c r="B4987" s="16" t="str">
        <f>TRIM("民間移管保育所建設用地（西喜連保育所）")</f>
        <v>民間移管保育所建設用地（西喜連保育所）</v>
      </c>
      <c r="C4987" s="14" t="s">
        <v>1524</v>
      </c>
      <c r="D4987" s="14" t="s">
        <v>374</v>
      </c>
      <c r="E4987" s="1">
        <v>959.86</v>
      </c>
      <c r="F4987" s="2"/>
      <c r="G4987" s="1"/>
      <c r="H4987" s="3"/>
      <c r="I4987" s="14" t="s">
        <v>5617</v>
      </c>
    </row>
    <row r="4988" spans="1:9" ht="18.75" customHeight="1" x14ac:dyDescent="0.4">
      <c r="A4988" s="14" t="s">
        <v>6211</v>
      </c>
      <c r="B4988" s="16" t="str">
        <f>TRIM("中野第2住宅用地")</f>
        <v>中野第2住宅用地</v>
      </c>
      <c r="C4988" s="14" t="s">
        <v>1524</v>
      </c>
      <c r="D4988" s="14" t="s">
        <v>374</v>
      </c>
      <c r="E4988" s="1">
        <v>1435.83</v>
      </c>
      <c r="F4988" s="2"/>
      <c r="G4988" s="1"/>
      <c r="H4988" s="3"/>
      <c r="I4988" s="14" t="s">
        <v>6177</v>
      </c>
    </row>
    <row r="4989" spans="1:9" ht="18.75" customHeight="1" x14ac:dyDescent="0.4">
      <c r="A4989" s="14" t="s">
        <v>6800</v>
      </c>
      <c r="B4989" s="16" t="str">
        <f>TRIM("公社賃貸住宅用地（コーシャハイツ中野）")</f>
        <v>公社賃貸住宅用地（コーシャハイツ中野）</v>
      </c>
      <c r="C4989" s="14" t="s">
        <v>1524</v>
      </c>
      <c r="D4989" s="14" t="s">
        <v>374</v>
      </c>
      <c r="E4989" s="1">
        <v>8792.1200000000008</v>
      </c>
      <c r="F4989" s="2"/>
      <c r="G4989" s="1"/>
      <c r="H4989" s="3"/>
      <c r="I4989" s="14" t="s">
        <v>6177</v>
      </c>
    </row>
    <row r="4990" spans="1:9" ht="18.75" customHeight="1" x14ac:dyDescent="0.4">
      <c r="A4990" s="14" t="s">
        <v>4032</v>
      </c>
      <c r="B4990" s="16" t="str">
        <f>TRIM("下水道用地（平野）")</f>
        <v>下水道用地（平野）</v>
      </c>
      <c r="C4990" s="14" t="s">
        <v>1524</v>
      </c>
      <c r="D4990" s="14" t="s">
        <v>1320</v>
      </c>
      <c r="E4990" s="1">
        <v>32191.63</v>
      </c>
      <c r="F4990" s="2"/>
      <c r="G4990" s="1"/>
      <c r="H4990" s="3"/>
      <c r="I4990" s="14" t="s">
        <v>2177</v>
      </c>
    </row>
    <row r="4991" spans="1:9" ht="18.75" customHeight="1" x14ac:dyDescent="0.4">
      <c r="A4991" s="14" t="s">
        <v>5709</v>
      </c>
      <c r="B4991" s="16" t="str">
        <f>TRIM("南部こども相談センター一時保護所建設用地")</f>
        <v>南部こども相談センター一時保護所建設用地</v>
      </c>
      <c r="C4991" s="14" t="s">
        <v>1524</v>
      </c>
      <c r="D4991" s="14" t="s">
        <v>1320</v>
      </c>
      <c r="E4991" s="1">
        <v>2501.86</v>
      </c>
      <c r="F4991" s="2"/>
      <c r="G4991" s="1"/>
      <c r="H4991" s="3"/>
      <c r="I4991" s="14" t="s">
        <v>5617</v>
      </c>
    </row>
    <row r="4992" spans="1:9" ht="18.75" customHeight="1" x14ac:dyDescent="0.4">
      <c r="A4992" s="14" t="s">
        <v>2639</v>
      </c>
      <c r="B4992" s="16" t="str">
        <f>TRIM("　喜連西5開発公園")</f>
        <v>喜連西5開発公園</v>
      </c>
      <c r="C4992" s="14" t="s">
        <v>1524</v>
      </c>
      <c r="D4992" s="14" t="s">
        <v>1024</v>
      </c>
      <c r="E4992" s="1">
        <v>155.32</v>
      </c>
      <c r="F4992" s="2"/>
      <c r="G4992" s="1"/>
      <c r="H4992" s="3"/>
      <c r="I4992" s="14" t="s">
        <v>2177</v>
      </c>
    </row>
    <row r="4993" spans="1:9" ht="18.75" customHeight="1" x14ac:dyDescent="0.4">
      <c r="A4993" s="14" t="s">
        <v>3416</v>
      </c>
      <c r="B4993" s="16" t="str">
        <f>TRIM("喜連北第二公園")</f>
        <v>喜連北第二公園</v>
      </c>
      <c r="C4993" s="14" t="s">
        <v>1524</v>
      </c>
      <c r="D4993" s="14" t="s">
        <v>1024</v>
      </c>
      <c r="E4993" s="1">
        <v>850</v>
      </c>
      <c r="F4993" s="2"/>
      <c r="G4993" s="1"/>
      <c r="H4993" s="3"/>
      <c r="I4993" s="14" t="s">
        <v>2177</v>
      </c>
    </row>
    <row r="4994" spans="1:9" ht="18.75" customHeight="1" x14ac:dyDescent="0.4">
      <c r="A4994" s="14" t="s">
        <v>1623</v>
      </c>
      <c r="B4994" s="16" t="str">
        <f>TRIM("男女共同参画センター南部館 クレオ大阪南")</f>
        <v>男女共同参画センター南部館 クレオ大阪南</v>
      </c>
      <c r="C4994" s="14" t="s">
        <v>1524</v>
      </c>
      <c r="D4994" s="14" t="s">
        <v>112</v>
      </c>
      <c r="E4994" s="1">
        <v>3053</v>
      </c>
      <c r="F4994" s="2"/>
      <c r="G4994" s="1">
        <v>3162.4</v>
      </c>
      <c r="H4994" s="3"/>
      <c r="I4994" s="14" t="s">
        <v>1598</v>
      </c>
    </row>
    <row r="4995" spans="1:9" ht="18.75" customHeight="1" x14ac:dyDescent="0.4">
      <c r="A4995" s="14" t="s">
        <v>1860</v>
      </c>
      <c r="B4995" s="16" t="str">
        <f>TRIM("もと介護老人保健施設おとしよりすこやかセンター（南部館）")</f>
        <v>もと介護老人保健施設おとしよりすこやかセンター（南部館）</v>
      </c>
      <c r="C4995" s="14" t="s">
        <v>1524</v>
      </c>
      <c r="D4995" s="14" t="s">
        <v>112</v>
      </c>
      <c r="E4995" s="1">
        <v>3989</v>
      </c>
      <c r="F4995" s="2"/>
      <c r="G4995" s="1">
        <v>7780.13</v>
      </c>
      <c r="H4995" s="3"/>
      <c r="I4995" s="14" t="s">
        <v>1654</v>
      </c>
    </row>
    <row r="4996" spans="1:9" ht="18.75" customHeight="1" x14ac:dyDescent="0.4">
      <c r="A4996" s="14" t="s">
        <v>2175</v>
      </c>
      <c r="B4996" s="16" t="str">
        <f>TRIM("心身障害者リハビリテーションセンター")</f>
        <v>心身障害者リハビリテーションセンター</v>
      </c>
      <c r="C4996" s="14" t="s">
        <v>1524</v>
      </c>
      <c r="D4996" s="14" t="s">
        <v>112</v>
      </c>
      <c r="E4996" s="1">
        <v>5101.83</v>
      </c>
      <c r="F4996" s="2"/>
      <c r="G4996" s="1">
        <v>7296.26</v>
      </c>
      <c r="H4996" s="3"/>
      <c r="I4996" s="14" t="s">
        <v>1654</v>
      </c>
    </row>
    <row r="4997" spans="1:9" ht="18.75" customHeight="1" x14ac:dyDescent="0.4">
      <c r="A4997" s="14" t="s">
        <v>4770</v>
      </c>
      <c r="B4997" s="16" t="str">
        <f>TRIM("喜連中学校")</f>
        <v>喜連中学校</v>
      </c>
      <c r="C4997" s="14" t="s">
        <v>1524</v>
      </c>
      <c r="D4997" s="14" t="s">
        <v>112</v>
      </c>
      <c r="E4997" s="1">
        <v>15098.43</v>
      </c>
      <c r="F4997" s="2"/>
      <c r="G4997" s="1">
        <v>7427.63</v>
      </c>
      <c r="H4997" s="3"/>
      <c r="I4997" s="14" t="s">
        <v>4689</v>
      </c>
    </row>
    <row r="4998" spans="1:9" ht="18.75" customHeight="1" x14ac:dyDescent="0.4">
      <c r="A4998" s="14" t="s">
        <v>5304</v>
      </c>
      <c r="B4998" s="16" t="str">
        <f>TRIM("平野消防署喜連出張所")</f>
        <v>平野消防署喜連出張所</v>
      </c>
      <c r="C4998" s="14" t="s">
        <v>1524</v>
      </c>
      <c r="D4998" s="14" t="s">
        <v>112</v>
      </c>
      <c r="E4998" s="1">
        <v>331.04</v>
      </c>
      <c r="F4998" s="2"/>
      <c r="G4998" s="1">
        <v>280.66000000000003</v>
      </c>
      <c r="H4998" s="3"/>
      <c r="I4998" s="14" t="s">
        <v>5219</v>
      </c>
    </row>
    <row r="4999" spans="1:9" ht="18.75" customHeight="1" x14ac:dyDescent="0.4">
      <c r="A4999" s="14" t="s">
        <v>5710</v>
      </c>
      <c r="B4999" s="16" t="str">
        <f>TRIM("南部こども相談センター")</f>
        <v>南部こども相談センター</v>
      </c>
      <c r="C4999" s="14" t="s">
        <v>1524</v>
      </c>
      <c r="D4999" s="14" t="s">
        <v>112</v>
      </c>
      <c r="E4999" s="1">
        <v>1693.96</v>
      </c>
      <c r="F4999" s="2"/>
      <c r="G4999" s="1">
        <v>2424.87</v>
      </c>
      <c r="H4999" s="3"/>
      <c r="I4999" s="14" t="s">
        <v>5617</v>
      </c>
    </row>
    <row r="5000" spans="1:9" ht="18.75" customHeight="1" x14ac:dyDescent="0.4">
      <c r="A5000" s="14" t="s">
        <v>2174</v>
      </c>
      <c r="B5000" s="16" t="str">
        <f>TRIM("職業リハビリテーションセンター")</f>
        <v>職業リハビリテーションセンター</v>
      </c>
      <c r="C5000" s="14" t="s">
        <v>1524</v>
      </c>
      <c r="D5000" s="14" t="s">
        <v>112</v>
      </c>
      <c r="E5000" s="1">
        <v>2243.84</v>
      </c>
      <c r="F5000" s="2"/>
      <c r="G5000" s="1"/>
      <c r="H5000" s="3"/>
      <c r="I5000" s="14" t="s">
        <v>1654</v>
      </c>
    </row>
    <row r="5001" spans="1:9" ht="18.75" customHeight="1" x14ac:dyDescent="0.4">
      <c r="A5001" s="14" t="s">
        <v>2226</v>
      </c>
      <c r="B5001" s="16" t="str">
        <f>TRIM("国道４７９号（平野）（管財課）")</f>
        <v>国道４７９号（平野）（管財課）</v>
      </c>
      <c r="C5001" s="14" t="s">
        <v>1524</v>
      </c>
      <c r="D5001" s="14" t="s">
        <v>112</v>
      </c>
      <c r="E5001" s="1">
        <v>121325.18</v>
      </c>
      <c r="F5001" s="2"/>
      <c r="G5001" s="1"/>
      <c r="H5001" s="3"/>
      <c r="I5001" s="14" t="s">
        <v>2177</v>
      </c>
    </row>
    <row r="5002" spans="1:9" ht="18.75" customHeight="1" x14ac:dyDescent="0.4">
      <c r="A5002" s="14" t="s">
        <v>6796</v>
      </c>
      <c r="B5002" s="16" t="str">
        <f>TRIM("公社賃貸住宅用地（コーシャハイツ喜連西）")</f>
        <v>公社賃貸住宅用地（コーシャハイツ喜連西）</v>
      </c>
      <c r="C5002" s="14" t="s">
        <v>1524</v>
      </c>
      <c r="D5002" s="14" t="s">
        <v>112</v>
      </c>
      <c r="E5002" s="1">
        <v>1129.5899999999999</v>
      </c>
      <c r="F5002" s="2"/>
      <c r="G5002" s="1"/>
      <c r="H5002" s="3"/>
      <c r="I5002" s="14" t="s">
        <v>6177</v>
      </c>
    </row>
    <row r="5003" spans="1:9" ht="18.75" customHeight="1" x14ac:dyDescent="0.4">
      <c r="A5003" s="14" t="s">
        <v>4771</v>
      </c>
      <c r="B5003" s="16" t="str">
        <f>TRIM("喜連東小学校")</f>
        <v>喜連東小学校</v>
      </c>
      <c r="C5003" s="14" t="s">
        <v>1524</v>
      </c>
      <c r="D5003" s="14" t="s">
        <v>735</v>
      </c>
      <c r="E5003" s="1">
        <v>11020.54</v>
      </c>
      <c r="F5003" s="2"/>
      <c r="G5003" s="1">
        <v>7257.58</v>
      </c>
      <c r="H5003" s="3"/>
      <c r="I5003" s="14" t="s">
        <v>4689</v>
      </c>
    </row>
    <row r="5004" spans="1:9" ht="18.75" customHeight="1" x14ac:dyDescent="0.4">
      <c r="A5004" s="14" t="s">
        <v>6344</v>
      </c>
      <c r="B5004" s="16" t="str">
        <f>TRIM("喜連北池住宅")</f>
        <v>喜連北池住宅</v>
      </c>
      <c r="C5004" s="14" t="s">
        <v>1524</v>
      </c>
      <c r="D5004" s="14" t="s">
        <v>735</v>
      </c>
      <c r="E5004" s="1">
        <v>18104.62</v>
      </c>
      <c r="F5004" s="2"/>
      <c r="G5004" s="1">
        <v>16933.169999999998</v>
      </c>
      <c r="H5004" s="3"/>
      <c r="I5004" s="14" t="s">
        <v>6177</v>
      </c>
    </row>
    <row r="5005" spans="1:9" ht="18.75" customHeight="1" x14ac:dyDescent="0.4">
      <c r="A5005" s="14" t="s">
        <v>2644</v>
      </c>
      <c r="B5005" s="16" t="str">
        <f>TRIM("　喜連八坂公園")</f>
        <v>喜連八坂公園</v>
      </c>
      <c r="C5005" s="14" t="s">
        <v>1524</v>
      </c>
      <c r="D5005" s="14" t="s">
        <v>1025</v>
      </c>
      <c r="E5005" s="1">
        <v>575.23</v>
      </c>
      <c r="F5005" s="2"/>
      <c r="G5005" s="1"/>
      <c r="H5005" s="3"/>
      <c r="I5005" s="14" t="s">
        <v>2177</v>
      </c>
    </row>
    <row r="5006" spans="1:9" ht="18.75" customHeight="1" x14ac:dyDescent="0.4">
      <c r="A5006" s="14" t="s">
        <v>6111</v>
      </c>
      <c r="B5006" s="16" t="str">
        <f>TRIM("喜連霊園")</f>
        <v>喜連霊園</v>
      </c>
      <c r="C5006" s="14" t="s">
        <v>1524</v>
      </c>
      <c r="D5006" s="14" t="s">
        <v>375</v>
      </c>
      <c r="E5006" s="1">
        <v>3645.48</v>
      </c>
      <c r="F5006" s="2">
        <v>1828</v>
      </c>
      <c r="G5006" s="1"/>
      <c r="H5006" s="3"/>
      <c r="I5006" s="14" t="s">
        <v>5977</v>
      </c>
    </row>
    <row r="5007" spans="1:9" ht="18.75" customHeight="1" x14ac:dyDescent="0.4">
      <c r="A5007" s="14" t="s">
        <v>6574</v>
      </c>
      <c r="B5007" s="16" t="str">
        <f>TRIM("東喜連第2住宅")</f>
        <v>東喜連第2住宅</v>
      </c>
      <c r="C5007" s="14" t="s">
        <v>1524</v>
      </c>
      <c r="D5007" s="14" t="s">
        <v>375</v>
      </c>
      <c r="E5007" s="1">
        <v>18663.57</v>
      </c>
      <c r="F5007" s="2"/>
      <c r="G5007" s="1">
        <v>29760.15</v>
      </c>
      <c r="H5007" s="3"/>
      <c r="I5007" s="14" t="s">
        <v>6177</v>
      </c>
    </row>
    <row r="5008" spans="1:9" ht="18.75" customHeight="1" x14ac:dyDescent="0.4">
      <c r="A5008" s="14" t="s">
        <v>6723</v>
      </c>
      <c r="B5008" s="16" t="str">
        <f>TRIM("喜連第3住宅")</f>
        <v>喜連第3住宅</v>
      </c>
      <c r="C5008" s="14" t="s">
        <v>1524</v>
      </c>
      <c r="D5008" s="14" t="s">
        <v>375</v>
      </c>
      <c r="E5008" s="1">
        <v>10747</v>
      </c>
      <c r="F5008" s="2"/>
      <c r="G5008" s="1">
        <v>9524.7800000000007</v>
      </c>
      <c r="H5008" s="3"/>
      <c r="I5008" s="14" t="s">
        <v>6177</v>
      </c>
    </row>
    <row r="5009" spans="1:9" ht="18.75" customHeight="1" x14ac:dyDescent="0.4">
      <c r="A5009" s="14" t="s">
        <v>1867</v>
      </c>
      <c r="B5009" s="16" t="str">
        <f>TRIM("喜連東地域在宅サービスステーション")</f>
        <v>喜連東地域在宅サービスステーション</v>
      </c>
      <c r="C5009" s="14" t="s">
        <v>1524</v>
      </c>
      <c r="D5009" s="14" t="s">
        <v>375</v>
      </c>
      <c r="E5009" s="1">
        <v>607.86</v>
      </c>
      <c r="F5009" s="2"/>
      <c r="G5009" s="1"/>
      <c r="H5009" s="3"/>
      <c r="I5009" s="14" t="s">
        <v>1654</v>
      </c>
    </row>
    <row r="5010" spans="1:9" ht="18.75" customHeight="1" x14ac:dyDescent="0.4">
      <c r="A5010" s="14" t="s">
        <v>2007</v>
      </c>
      <c r="B5010" s="16" t="str">
        <f>TRIM("喜連東老人憩の家")</f>
        <v>喜連東老人憩の家</v>
      </c>
      <c r="C5010" s="14" t="s">
        <v>1524</v>
      </c>
      <c r="D5010" s="14" t="s">
        <v>375</v>
      </c>
      <c r="E5010" s="1">
        <v>281.52</v>
      </c>
      <c r="F5010" s="2"/>
      <c r="G5010" s="1"/>
      <c r="H5010" s="3"/>
      <c r="I5010" s="14" t="s">
        <v>1990</v>
      </c>
    </row>
    <row r="5011" spans="1:9" ht="18.75" customHeight="1" x14ac:dyDescent="0.4">
      <c r="A5011" s="14" t="s">
        <v>2643</v>
      </c>
      <c r="B5011" s="16" t="str">
        <f>TRIM("　喜連東公園")</f>
        <v>喜連東公園</v>
      </c>
      <c r="C5011" s="14" t="s">
        <v>1524</v>
      </c>
      <c r="D5011" s="14" t="s">
        <v>375</v>
      </c>
      <c r="E5011" s="1">
        <v>1236.1400000000001</v>
      </c>
      <c r="F5011" s="2"/>
      <c r="G5011" s="1"/>
      <c r="H5011" s="3"/>
      <c r="I5011" s="14" t="s">
        <v>2177</v>
      </c>
    </row>
    <row r="5012" spans="1:9" ht="18.75" customHeight="1" x14ac:dyDescent="0.4">
      <c r="A5012" s="14" t="s">
        <v>6573</v>
      </c>
      <c r="B5012" s="16" t="str">
        <f>TRIM("東喜連住宅")</f>
        <v>東喜連住宅</v>
      </c>
      <c r="C5012" s="14" t="s">
        <v>1524</v>
      </c>
      <c r="D5012" s="14" t="s">
        <v>608</v>
      </c>
      <c r="E5012" s="1">
        <v>2568.7600000000002</v>
      </c>
      <c r="F5012" s="2"/>
      <c r="G5012" s="1">
        <v>5646.16</v>
      </c>
      <c r="H5012" s="3"/>
      <c r="I5012" s="14" t="s">
        <v>6177</v>
      </c>
    </row>
    <row r="5013" spans="1:9" ht="18.75" customHeight="1" x14ac:dyDescent="0.4">
      <c r="A5013" s="14" t="s">
        <v>6575</v>
      </c>
      <c r="B5013" s="16" t="str">
        <f>TRIM("東喜連第3住宅")</f>
        <v>東喜連第3住宅</v>
      </c>
      <c r="C5013" s="14" t="s">
        <v>1524</v>
      </c>
      <c r="D5013" s="14" t="s">
        <v>608</v>
      </c>
      <c r="E5013" s="1">
        <v>34571.089999999997</v>
      </c>
      <c r="F5013" s="2"/>
      <c r="G5013" s="1">
        <v>35208.1</v>
      </c>
      <c r="H5013" s="3"/>
      <c r="I5013" s="14" t="s">
        <v>6177</v>
      </c>
    </row>
    <row r="5014" spans="1:9" ht="18.75" customHeight="1" x14ac:dyDescent="0.4">
      <c r="A5014" s="14" t="s">
        <v>6577</v>
      </c>
      <c r="B5014" s="16" t="str">
        <f>TRIM("東喜連第5住宅")</f>
        <v>東喜連第5住宅</v>
      </c>
      <c r="C5014" s="14" t="s">
        <v>1524</v>
      </c>
      <c r="D5014" s="14" t="s">
        <v>608</v>
      </c>
      <c r="E5014" s="1">
        <v>15591.46</v>
      </c>
      <c r="F5014" s="2"/>
      <c r="G5014" s="1">
        <v>24156.400000000001</v>
      </c>
      <c r="H5014" s="3"/>
      <c r="I5014" s="14" t="s">
        <v>6177</v>
      </c>
    </row>
    <row r="5015" spans="1:9" ht="18.75" customHeight="1" x14ac:dyDescent="0.4">
      <c r="A5015" s="14" t="s">
        <v>4659</v>
      </c>
      <c r="B5015" s="16" t="str">
        <f>TRIM("喜連東コミュニティ会館")</f>
        <v>喜連東コミュニティ会館</v>
      </c>
      <c r="C5015" s="14" t="s">
        <v>1524</v>
      </c>
      <c r="D5015" s="14" t="s">
        <v>608</v>
      </c>
      <c r="E5015" s="1">
        <v>297.54000000000002</v>
      </c>
      <c r="F5015" s="2"/>
      <c r="G5015" s="1"/>
      <c r="H5015" s="3"/>
      <c r="I5015" s="14" t="s">
        <v>1990</v>
      </c>
    </row>
    <row r="5016" spans="1:9" ht="18.75" customHeight="1" x14ac:dyDescent="0.4">
      <c r="A5016" s="14" t="s">
        <v>5948</v>
      </c>
      <c r="B5016" s="16" t="str">
        <f>TRIM("東喜連保育園")</f>
        <v>東喜連保育園</v>
      </c>
      <c r="C5016" s="14" t="s">
        <v>1524</v>
      </c>
      <c r="D5016" s="14" t="s">
        <v>608</v>
      </c>
      <c r="E5016" s="1">
        <v>587</v>
      </c>
      <c r="F5016" s="2"/>
      <c r="G5016" s="1"/>
      <c r="H5016" s="3"/>
      <c r="I5016" s="14" t="s">
        <v>5617</v>
      </c>
    </row>
    <row r="5017" spans="1:9" ht="18.75" customHeight="1" x14ac:dyDescent="0.4">
      <c r="A5017" s="14" t="s">
        <v>6256</v>
      </c>
      <c r="B5017" s="16" t="str">
        <f>TRIM("平野住宅管理センター")</f>
        <v>平野住宅管理センター</v>
      </c>
      <c r="C5017" s="14" t="s">
        <v>1524</v>
      </c>
      <c r="D5017" s="14" t="s">
        <v>608</v>
      </c>
      <c r="E5017" s="1"/>
      <c r="F5017" s="2"/>
      <c r="G5017" s="1">
        <v>559.91</v>
      </c>
      <c r="H5017" s="3"/>
      <c r="I5017" s="14" t="s">
        <v>6177</v>
      </c>
    </row>
    <row r="5018" spans="1:9" ht="18.75" customHeight="1" x14ac:dyDescent="0.4">
      <c r="A5018" s="14" t="s">
        <v>1979</v>
      </c>
      <c r="B5018" s="16" t="str">
        <f>TRIM("もと社会福祉施設用地（平野区喜連東）")</f>
        <v>もと社会福祉施設用地（平野区喜連東）</v>
      </c>
      <c r="C5018" s="14" t="s">
        <v>1524</v>
      </c>
      <c r="D5018" s="14" t="s">
        <v>422</v>
      </c>
      <c r="E5018" s="1">
        <v>1561.21</v>
      </c>
      <c r="F5018" s="2">
        <v>1738</v>
      </c>
      <c r="G5018" s="1"/>
      <c r="H5018" s="3"/>
      <c r="I5018" s="14" t="s">
        <v>1654</v>
      </c>
    </row>
    <row r="5019" spans="1:9" ht="18.75" customHeight="1" x14ac:dyDescent="0.4">
      <c r="A5019" s="14" t="s">
        <v>6576</v>
      </c>
      <c r="B5019" s="16" t="str">
        <f>TRIM("東喜連第4住宅")</f>
        <v>東喜連第4住宅</v>
      </c>
      <c r="C5019" s="14" t="s">
        <v>1524</v>
      </c>
      <c r="D5019" s="14" t="s">
        <v>422</v>
      </c>
      <c r="E5019" s="1">
        <v>56417.57</v>
      </c>
      <c r="F5019" s="2"/>
      <c r="G5019" s="1">
        <v>56393</v>
      </c>
      <c r="H5019" s="3"/>
      <c r="I5019" s="14" t="s">
        <v>6177</v>
      </c>
    </row>
    <row r="5020" spans="1:9" ht="18.75" customHeight="1" x14ac:dyDescent="0.4">
      <c r="A5020" s="14" t="s">
        <v>1949</v>
      </c>
      <c r="B5020" s="16" t="str">
        <f>TRIM("特別養護老人ホーム四天王寺紅生園")</f>
        <v>特別養護老人ホーム四天王寺紅生園</v>
      </c>
      <c r="C5020" s="14" t="s">
        <v>1524</v>
      </c>
      <c r="D5020" s="14" t="s">
        <v>422</v>
      </c>
      <c r="E5020" s="1">
        <v>2506.59</v>
      </c>
      <c r="F5020" s="2"/>
      <c r="G5020" s="1"/>
      <c r="H5020" s="3"/>
      <c r="I5020" s="14" t="s">
        <v>1654</v>
      </c>
    </row>
    <row r="5021" spans="1:9" ht="18.75" customHeight="1" x14ac:dyDescent="0.4">
      <c r="A5021" s="14" t="s">
        <v>3834</v>
      </c>
      <c r="B5021" s="16" t="str">
        <f>TRIM("出戸駅自転車駐車場管理ボックス")</f>
        <v>出戸駅自転車駐車場管理ボックス</v>
      </c>
      <c r="C5021" s="14" t="s">
        <v>1524</v>
      </c>
      <c r="D5021" s="14" t="s">
        <v>422</v>
      </c>
      <c r="E5021" s="1"/>
      <c r="F5021" s="2"/>
      <c r="G5021" s="1">
        <v>12.96</v>
      </c>
      <c r="H5021" s="3"/>
      <c r="I5021" s="14" t="s">
        <v>2177</v>
      </c>
    </row>
    <row r="5022" spans="1:9" ht="18.75" customHeight="1" x14ac:dyDescent="0.4">
      <c r="A5022" s="14" t="s">
        <v>3835</v>
      </c>
      <c r="B5022" s="16" t="str">
        <f>TRIM("出戸駅自転車駐車場管理事務所")</f>
        <v>出戸駅自転車駐車場管理事務所</v>
      </c>
      <c r="C5022" s="14" t="s">
        <v>1524</v>
      </c>
      <c r="D5022" s="14" t="s">
        <v>422</v>
      </c>
      <c r="E5022" s="1"/>
      <c r="F5022" s="2"/>
      <c r="G5022" s="1">
        <v>12.96</v>
      </c>
      <c r="H5022" s="3"/>
      <c r="I5022" s="14" t="s">
        <v>2177</v>
      </c>
    </row>
    <row r="5023" spans="1:9" ht="18.75" customHeight="1" x14ac:dyDescent="0.4">
      <c r="A5023" s="14" t="s">
        <v>4880</v>
      </c>
      <c r="B5023" s="16" t="str">
        <f>TRIM("新平野西小学校")</f>
        <v>新平野西小学校</v>
      </c>
      <c r="C5023" s="14" t="s">
        <v>1524</v>
      </c>
      <c r="D5023" s="14" t="s">
        <v>431</v>
      </c>
      <c r="E5023" s="1">
        <v>8538.25</v>
      </c>
      <c r="F5023" s="2"/>
      <c r="G5023" s="1">
        <v>8934.52</v>
      </c>
      <c r="H5023" s="3"/>
      <c r="I5023" s="14" t="s">
        <v>4689</v>
      </c>
    </row>
    <row r="5024" spans="1:9" ht="18.75" customHeight="1" x14ac:dyDescent="0.4">
      <c r="A5024" s="14" t="s">
        <v>5084</v>
      </c>
      <c r="B5024" s="16" t="str">
        <f>TRIM("平野中学校")</f>
        <v>平野中学校</v>
      </c>
      <c r="C5024" s="14" t="s">
        <v>1524</v>
      </c>
      <c r="D5024" s="14" t="s">
        <v>431</v>
      </c>
      <c r="E5024" s="1">
        <v>23008</v>
      </c>
      <c r="F5024" s="2"/>
      <c r="G5024" s="1">
        <v>10142.58</v>
      </c>
      <c r="H5024" s="3"/>
      <c r="I5024" s="14" t="s">
        <v>4689</v>
      </c>
    </row>
    <row r="5025" spans="1:9" ht="18.75" customHeight="1" x14ac:dyDescent="0.4">
      <c r="A5025" s="14" t="s">
        <v>1968</v>
      </c>
      <c r="B5025" s="16" t="str">
        <f>TRIM("平野地域在宅サービスステーション")</f>
        <v>平野地域在宅サービスステーション</v>
      </c>
      <c r="C5025" s="14" t="s">
        <v>1524</v>
      </c>
      <c r="D5025" s="14" t="s">
        <v>431</v>
      </c>
      <c r="E5025" s="1">
        <v>500</v>
      </c>
      <c r="F5025" s="2"/>
      <c r="G5025" s="1"/>
      <c r="H5025" s="3"/>
      <c r="I5025" s="14" t="s">
        <v>1654</v>
      </c>
    </row>
    <row r="5026" spans="1:9" ht="18.75" customHeight="1" x14ac:dyDescent="0.4">
      <c r="A5026" s="14" t="s">
        <v>4642</v>
      </c>
      <c r="B5026" s="16" t="str">
        <f>TRIM("平野区保健福祉センター")</f>
        <v>平野区保健福祉センター</v>
      </c>
      <c r="C5026" s="14" t="s">
        <v>1524</v>
      </c>
      <c r="D5026" s="14" t="s">
        <v>935</v>
      </c>
      <c r="E5026" s="1">
        <v>1322.77</v>
      </c>
      <c r="F5026" s="2"/>
      <c r="G5026" s="1">
        <v>2721.92</v>
      </c>
      <c r="H5026" s="3"/>
      <c r="I5026" s="14" t="s">
        <v>1990</v>
      </c>
    </row>
    <row r="5027" spans="1:9" ht="18.75" customHeight="1" x14ac:dyDescent="0.4">
      <c r="A5027" s="14" t="s">
        <v>4643</v>
      </c>
      <c r="B5027" s="16" t="str">
        <f>TRIM("平野区役所")</f>
        <v>平野区役所</v>
      </c>
      <c r="C5027" s="14" t="s">
        <v>1524</v>
      </c>
      <c r="D5027" s="14" t="s">
        <v>935</v>
      </c>
      <c r="E5027" s="1">
        <v>3024.76</v>
      </c>
      <c r="F5027" s="2"/>
      <c r="G5027" s="1">
        <v>10020.92</v>
      </c>
      <c r="H5027" s="3"/>
      <c r="I5027" s="14" t="s">
        <v>1990</v>
      </c>
    </row>
    <row r="5028" spans="1:9" ht="18.75" customHeight="1" x14ac:dyDescent="0.4">
      <c r="A5028" s="14" t="s">
        <v>2259</v>
      </c>
      <c r="B5028" s="16" t="str">
        <f>TRIM("大阪港八尾線（平野）（管財課）")</f>
        <v>大阪港八尾線（平野）（管財課）</v>
      </c>
      <c r="C5028" s="14" t="s">
        <v>1524</v>
      </c>
      <c r="D5028" s="14" t="s">
        <v>935</v>
      </c>
      <c r="E5028" s="1">
        <v>27774.61</v>
      </c>
      <c r="F5028" s="2"/>
      <c r="G5028" s="1"/>
      <c r="H5028" s="3"/>
      <c r="I5028" s="14" t="s">
        <v>2177</v>
      </c>
    </row>
    <row r="5029" spans="1:9" ht="18.75" customHeight="1" x14ac:dyDescent="0.4">
      <c r="A5029" s="14" t="s">
        <v>2423</v>
      </c>
      <c r="B5029" s="16" t="str">
        <f>TRIM("道路（平野）（道路課）")</f>
        <v>道路（平野）（道路課）</v>
      </c>
      <c r="C5029" s="14" t="s">
        <v>1524</v>
      </c>
      <c r="D5029" s="14" t="s">
        <v>935</v>
      </c>
      <c r="E5029" s="1">
        <v>94.19</v>
      </c>
      <c r="F5029" s="2"/>
      <c r="G5029" s="1"/>
      <c r="H5029" s="3"/>
      <c r="I5029" s="14" t="s">
        <v>2177</v>
      </c>
    </row>
    <row r="5030" spans="1:9" ht="18.75" customHeight="1" x14ac:dyDescent="0.4">
      <c r="A5030" s="14" t="s">
        <v>5083</v>
      </c>
      <c r="B5030" s="16" t="str">
        <f>TRIM("平野西小学校")</f>
        <v>平野西小学校</v>
      </c>
      <c r="C5030" s="14" t="s">
        <v>1524</v>
      </c>
      <c r="D5030" s="14" t="s">
        <v>1435</v>
      </c>
      <c r="E5030" s="1">
        <v>10331.950000000001</v>
      </c>
      <c r="F5030" s="2"/>
      <c r="G5030" s="1">
        <v>6846.7</v>
      </c>
      <c r="H5030" s="3"/>
      <c r="I5030" s="14" t="s">
        <v>4689</v>
      </c>
    </row>
    <row r="5031" spans="1:9" ht="18.75" customHeight="1" x14ac:dyDescent="0.4">
      <c r="A5031" s="14" t="s">
        <v>3226</v>
      </c>
      <c r="B5031" s="16" t="str">
        <f>TRIM("　背戸口公園")</f>
        <v>背戸口公園</v>
      </c>
      <c r="C5031" s="14" t="s">
        <v>1524</v>
      </c>
      <c r="D5031" s="14" t="s">
        <v>1216</v>
      </c>
      <c r="E5031" s="1">
        <v>1372.86</v>
      </c>
      <c r="F5031" s="2"/>
      <c r="G5031" s="1"/>
      <c r="H5031" s="3"/>
      <c r="I5031" s="14" t="s">
        <v>2177</v>
      </c>
    </row>
    <row r="5032" spans="1:9" ht="18.75" customHeight="1" x14ac:dyDescent="0.4">
      <c r="A5032" s="14" t="s">
        <v>3899</v>
      </c>
      <c r="B5032" s="16" t="str">
        <f>TRIM("地下鉄平野駅自転車駐車場管理事務所")</f>
        <v>地下鉄平野駅自転車駐車場管理事務所</v>
      </c>
      <c r="C5032" s="14" t="s">
        <v>1524</v>
      </c>
      <c r="D5032" s="14" t="s">
        <v>1216</v>
      </c>
      <c r="E5032" s="1"/>
      <c r="F5032" s="2"/>
      <c r="G5032" s="1">
        <v>12.56</v>
      </c>
      <c r="H5032" s="3"/>
      <c r="I5032" s="14" t="s">
        <v>2177</v>
      </c>
    </row>
    <row r="5033" spans="1:9" ht="18.75" customHeight="1" x14ac:dyDescent="0.4">
      <c r="A5033" s="14" t="s">
        <v>4666</v>
      </c>
      <c r="B5033" s="16" t="str">
        <f>TRIM("平野西センター")</f>
        <v>平野西センター</v>
      </c>
      <c r="C5033" s="14" t="s">
        <v>1524</v>
      </c>
      <c r="D5033" s="14" t="s">
        <v>1216</v>
      </c>
      <c r="E5033" s="1"/>
      <c r="F5033" s="2"/>
      <c r="G5033" s="1">
        <v>199</v>
      </c>
      <c r="H5033" s="3"/>
      <c r="I5033" s="14" t="s">
        <v>1990</v>
      </c>
    </row>
    <row r="5034" spans="1:9" ht="18.75" customHeight="1" x14ac:dyDescent="0.4">
      <c r="A5034" s="14" t="s">
        <v>4920</v>
      </c>
      <c r="B5034" s="16" t="str">
        <f>TRIM("川辺小学校")</f>
        <v>川辺小学校</v>
      </c>
      <c r="C5034" s="14" t="s">
        <v>1524</v>
      </c>
      <c r="D5034" s="14" t="s">
        <v>512</v>
      </c>
      <c r="E5034" s="1">
        <v>13407.65</v>
      </c>
      <c r="F5034" s="2"/>
      <c r="G5034" s="1">
        <v>5563.7</v>
      </c>
      <c r="H5034" s="3"/>
      <c r="I5034" s="14" t="s">
        <v>4689</v>
      </c>
    </row>
    <row r="5035" spans="1:9" ht="18.75" customHeight="1" x14ac:dyDescent="0.4">
      <c r="A5035" s="14" t="s">
        <v>5806</v>
      </c>
      <c r="B5035" s="16" t="str">
        <f>TRIM("長吉幼稚園")</f>
        <v>長吉幼稚園</v>
      </c>
      <c r="C5035" s="14" t="s">
        <v>1524</v>
      </c>
      <c r="D5035" s="14" t="s">
        <v>512</v>
      </c>
      <c r="E5035" s="1">
        <v>1729.03</v>
      </c>
      <c r="F5035" s="2"/>
      <c r="G5035" s="1">
        <v>784.84</v>
      </c>
      <c r="H5035" s="3"/>
      <c r="I5035" s="14" t="s">
        <v>5617</v>
      </c>
    </row>
    <row r="5036" spans="1:9" ht="18.75" customHeight="1" x14ac:dyDescent="0.4">
      <c r="A5036" s="14" t="s">
        <v>4648</v>
      </c>
      <c r="B5036" s="16" t="str">
        <f>TRIM("長吉川辺コミュニティ施設")</f>
        <v>長吉川辺コミュニティ施設</v>
      </c>
      <c r="C5036" s="14" t="s">
        <v>1524</v>
      </c>
      <c r="D5036" s="14" t="s">
        <v>1470</v>
      </c>
      <c r="E5036" s="1">
        <v>758.9</v>
      </c>
      <c r="F5036" s="2"/>
      <c r="G5036" s="1"/>
      <c r="H5036" s="3"/>
      <c r="I5036" s="14" t="s">
        <v>1990</v>
      </c>
    </row>
    <row r="5037" spans="1:9" ht="18.75" customHeight="1" x14ac:dyDescent="0.4">
      <c r="A5037" s="14" t="s">
        <v>3453</v>
      </c>
      <c r="B5037" s="16" t="str">
        <f>TRIM("川辺中公園")</f>
        <v>川辺中公園</v>
      </c>
      <c r="C5037" s="14" t="s">
        <v>1524</v>
      </c>
      <c r="D5037" s="14" t="s">
        <v>1285</v>
      </c>
      <c r="E5037" s="1">
        <v>1013.08</v>
      </c>
      <c r="F5037" s="2"/>
      <c r="G5037" s="1"/>
      <c r="H5037" s="3"/>
      <c r="I5037" s="14" t="s">
        <v>2177</v>
      </c>
    </row>
    <row r="5038" spans="1:9" ht="18.75" customHeight="1" x14ac:dyDescent="0.4">
      <c r="A5038" s="14" t="s">
        <v>3455</v>
      </c>
      <c r="B5038" s="16" t="str">
        <f>TRIM("川辺北公園")</f>
        <v>川辺北公園</v>
      </c>
      <c r="C5038" s="14" t="s">
        <v>1524</v>
      </c>
      <c r="D5038" s="14" t="s">
        <v>1285</v>
      </c>
      <c r="E5038" s="1">
        <v>1302.02</v>
      </c>
      <c r="F5038" s="2"/>
      <c r="G5038" s="1"/>
      <c r="H5038" s="3"/>
      <c r="I5038" s="14" t="s">
        <v>2177</v>
      </c>
    </row>
    <row r="5039" spans="1:9" ht="18.75" customHeight="1" x14ac:dyDescent="0.4">
      <c r="A5039" s="14" t="s">
        <v>4645</v>
      </c>
      <c r="B5039" s="16" t="str">
        <f>TRIM("コミュニティ施設（平野区長吉瓜破）")</f>
        <v>コミュニティ施設（平野区長吉瓜破）</v>
      </c>
      <c r="C5039" s="14" t="s">
        <v>1524</v>
      </c>
      <c r="D5039" s="14" t="s">
        <v>1285</v>
      </c>
      <c r="E5039" s="1">
        <v>979.76</v>
      </c>
      <c r="F5039" s="2"/>
      <c r="G5039" s="1"/>
      <c r="H5039" s="3"/>
      <c r="I5039" s="14" t="s">
        <v>1990</v>
      </c>
    </row>
    <row r="5040" spans="1:9" ht="18.75" customHeight="1" x14ac:dyDescent="0.4">
      <c r="A5040" s="14" t="s">
        <v>6522</v>
      </c>
      <c r="B5040" s="16" t="str">
        <f>TRIM("長吉川辺住宅")</f>
        <v>長吉川辺住宅</v>
      </c>
      <c r="C5040" s="14" t="s">
        <v>1524</v>
      </c>
      <c r="D5040" s="14" t="s">
        <v>425</v>
      </c>
      <c r="E5040" s="1">
        <v>4824.6099999999997</v>
      </c>
      <c r="F5040" s="2"/>
      <c r="G5040" s="1">
        <v>6280.23</v>
      </c>
      <c r="H5040" s="3"/>
      <c r="I5040" s="14" t="s">
        <v>6177</v>
      </c>
    </row>
    <row r="5041" spans="1:9" ht="18.75" customHeight="1" x14ac:dyDescent="0.4">
      <c r="A5041" s="14" t="s">
        <v>1958</v>
      </c>
      <c r="B5041" s="16" t="str">
        <f>TRIM("特別養護老人ホーム長吉・長吉地域在宅サービスステーション・障がい福祉サービス事業所彩羽・若葉")</f>
        <v>特別養護老人ホーム長吉・長吉地域在宅サービスステーション・障がい福祉サービス事業所彩羽・若葉</v>
      </c>
      <c r="C5041" s="14" t="s">
        <v>1524</v>
      </c>
      <c r="D5041" s="14" t="s">
        <v>425</v>
      </c>
      <c r="E5041" s="1">
        <v>4392.8900000000003</v>
      </c>
      <c r="F5041" s="2"/>
      <c r="G5041" s="1"/>
      <c r="H5041" s="3"/>
      <c r="I5041" s="14" t="s">
        <v>1654</v>
      </c>
    </row>
    <row r="5042" spans="1:9" ht="18.75" customHeight="1" x14ac:dyDescent="0.4">
      <c r="A5042" s="14" t="s">
        <v>3454</v>
      </c>
      <c r="B5042" s="16" t="str">
        <f>TRIM("川辺東公園")</f>
        <v>川辺東公園</v>
      </c>
      <c r="C5042" s="14" t="s">
        <v>1524</v>
      </c>
      <c r="D5042" s="14" t="s">
        <v>425</v>
      </c>
      <c r="E5042" s="1">
        <v>1295.23</v>
      </c>
      <c r="F5042" s="2"/>
      <c r="G5042" s="1"/>
      <c r="H5042" s="3"/>
      <c r="I5042" s="14" t="s">
        <v>2177</v>
      </c>
    </row>
    <row r="5043" spans="1:9" ht="18.75" customHeight="1" x14ac:dyDescent="0.4">
      <c r="A5043" s="14" t="s">
        <v>3476</v>
      </c>
      <c r="B5043" s="16" t="str">
        <f>TRIM("長吉東部南公園")</f>
        <v>長吉東部南公園</v>
      </c>
      <c r="C5043" s="14" t="s">
        <v>1524</v>
      </c>
      <c r="D5043" s="14" t="s">
        <v>425</v>
      </c>
      <c r="E5043" s="1">
        <v>6023.79</v>
      </c>
      <c r="F5043" s="2"/>
      <c r="G5043" s="1"/>
      <c r="H5043" s="3"/>
      <c r="I5043" s="14" t="s">
        <v>2177</v>
      </c>
    </row>
    <row r="5044" spans="1:9" ht="18.75" customHeight="1" x14ac:dyDescent="0.4">
      <c r="A5044" s="14" t="s">
        <v>6747</v>
      </c>
      <c r="B5044" s="16" t="str">
        <f>TRIM("長吉第2住宅")</f>
        <v>長吉第2住宅</v>
      </c>
      <c r="C5044" s="14" t="s">
        <v>1524</v>
      </c>
      <c r="D5044" s="14" t="s">
        <v>135</v>
      </c>
      <c r="E5044" s="1">
        <v>37811.550000000003</v>
      </c>
      <c r="F5044" s="2"/>
      <c r="G5044" s="1">
        <v>30713.4</v>
      </c>
      <c r="H5044" s="3"/>
      <c r="I5044" s="14" t="s">
        <v>6177</v>
      </c>
    </row>
    <row r="5045" spans="1:9" ht="18.75" customHeight="1" x14ac:dyDescent="0.4">
      <c r="A5045" s="14" t="s">
        <v>2439</v>
      </c>
      <c r="B5045" s="16" t="str">
        <f>TRIM("田辺出戸線（基金）")</f>
        <v>田辺出戸線（基金）</v>
      </c>
      <c r="C5045" s="14" t="s">
        <v>1524</v>
      </c>
      <c r="D5045" s="14" t="s">
        <v>135</v>
      </c>
      <c r="E5045" s="1">
        <v>3.4</v>
      </c>
      <c r="F5045" s="2"/>
      <c r="G5045" s="1"/>
      <c r="H5045" s="3"/>
      <c r="I5045" s="14" t="s">
        <v>2177</v>
      </c>
    </row>
    <row r="5046" spans="1:9" ht="18.75" customHeight="1" x14ac:dyDescent="0.4">
      <c r="A5046" s="14" t="s">
        <v>2463</v>
      </c>
      <c r="B5046" s="16" t="str">
        <f>TRIM("田辺出戸線")</f>
        <v>田辺出戸線</v>
      </c>
      <c r="C5046" s="14" t="s">
        <v>1524</v>
      </c>
      <c r="D5046" s="14" t="s">
        <v>135</v>
      </c>
      <c r="E5046" s="1">
        <v>17.12</v>
      </c>
      <c r="F5046" s="2"/>
      <c r="G5046" s="1"/>
      <c r="H5046" s="3"/>
      <c r="I5046" s="14" t="s">
        <v>2177</v>
      </c>
    </row>
    <row r="5047" spans="1:9" ht="18.75" customHeight="1" x14ac:dyDescent="0.4">
      <c r="A5047" s="14" t="s">
        <v>2532</v>
      </c>
      <c r="B5047" s="16" t="str">
        <f>TRIM("　　長吉出戸公園")</f>
        <v>長吉出戸公園</v>
      </c>
      <c r="C5047" s="14" t="s">
        <v>1524</v>
      </c>
      <c r="D5047" s="14" t="s">
        <v>135</v>
      </c>
      <c r="E5047" s="1">
        <v>9955.09</v>
      </c>
      <c r="F5047" s="2"/>
      <c r="G5047" s="1"/>
      <c r="H5047" s="3"/>
      <c r="I5047" s="14" t="s">
        <v>2177</v>
      </c>
    </row>
    <row r="5048" spans="1:9" ht="18.75" customHeight="1" x14ac:dyDescent="0.4">
      <c r="A5048" s="14" t="s">
        <v>3622</v>
      </c>
      <c r="B5048" s="16" t="str">
        <f>TRIM(" 長吉出戸公園")</f>
        <v>長吉出戸公園</v>
      </c>
      <c r="C5048" s="14" t="s">
        <v>1524</v>
      </c>
      <c r="D5048" s="14" t="s">
        <v>135</v>
      </c>
      <c r="E5048" s="1"/>
      <c r="F5048" s="2"/>
      <c r="G5048" s="1">
        <v>225.51</v>
      </c>
      <c r="H5048" s="3"/>
      <c r="I5048" s="14" t="s">
        <v>2177</v>
      </c>
    </row>
    <row r="5049" spans="1:9" ht="18.75" customHeight="1" x14ac:dyDescent="0.4">
      <c r="A5049" s="14" t="s">
        <v>5372</v>
      </c>
      <c r="B5049" s="16" t="str">
        <f>TRIM("もと喜連塵芥焼却場")</f>
        <v>もと喜連塵芥焼却場</v>
      </c>
      <c r="C5049" s="14" t="s">
        <v>1524</v>
      </c>
      <c r="D5049" s="14" t="s">
        <v>135</v>
      </c>
      <c r="E5049" s="1">
        <v>188.42</v>
      </c>
      <c r="F5049" s="2"/>
      <c r="G5049" s="1"/>
      <c r="H5049" s="3"/>
      <c r="I5049" s="14" t="s">
        <v>5349</v>
      </c>
    </row>
    <row r="5050" spans="1:9" ht="18.75" customHeight="1" x14ac:dyDescent="0.4">
      <c r="A5050" s="14" t="s">
        <v>6519</v>
      </c>
      <c r="B5050" s="16" t="str">
        <f>TRIM("長吉出戸西住宅")</f>
        <v>長吉出戸西住宅</v>
      </c>
      <c r="C5050" s="14" t="s">
        <v>1524</v>
      </c>
      <c r="D5050" s="14" t="s">
        <v>790</v>
      </c>
      <c r="E5050" s="1">
        <v>65598.53</v>
      </c>
      <c r="F5050" s="2"/>
      <c r="G5050" s="1">
        <v>54313.03</v>
      </c>
      <c r="H5050" s="3"/>
      <c r="I5050" s="14" t="s">
        <v>6177</v>
      </c>
    </row>
    <row r="5051" spans="1:9" ht="18.75" customHeight="1" x14ac:dyDescent="0.4">
      <c r="A5051" s="14" t="s">
        <v>4662</v>
      </c>
      <c r="B5051" s="16" t="str">
        <f>TRIM("長吉出戸地域集会所")</f>
        <v>長吉出戸地域集会所</v>
      </c>
      <c r="C5051" s="14" t="s">
        <v>1524</v>
      </c>
      <c r="D5051" s="14" t="s">
        <v>790</v>
      </c>
      <c r="E5051" s="1">
        <v>357.18</v>
      </c>
      <c r="F5051" s="2"/>
      <c r="G5051" s="1"/>
      <c r="H5051" s="3"/>
      <c r="I5051" s="14" t="s">
        <v>1990</v>
      </c>
    </row>
    <row r="5052" spans="1:9" ht="18.75" customHeight="1" x14ac:dyDescent="0.4">
      <c r="A5052" s="14" t="s">
        <v>4973</v>
      </c>
      <c r="B5052" s="16" t="str">
        <f>TRIM("長吉出戸小学校")</f>
        <v>長吉出戸小学校</v>
      </c>
      <c r="C5052" s="14" t="s">
        <v>1524</v>
      </c>
      <c r="D5052" s="14" t="s">
        <v>1416</v>
      </c>
      <c r="E5052" s="1">
        <v>10700.41</v>
      </c>
      <c r="F5052" s="2"/>
      <c r="G5052" s="1">
        <v>6585.74</v>
      </c>
      <c r="H5052" s="3"/>
      <c r="I5052" s="14" t="s">
        <v>4689</v>
      </c>
    </row>
    <row r="5053" spans="1:9" ht="18.75" customHeight="1" x14ac:dyDescent="0.4">
      <c r="A5053" s="14" t="s">
        <v>4664</v>
      </c>
      <c r="B5053" s="16" t="str">
        <f>TRIM("平野区民センター")</f>
        <v>平野区民センター</v>
      </c>
      <c r="C5053" s="14" t="s">
        <v>1524</v>
      </c>
      <c r="D5053" s="14" t="s">
        <v>1076</v>
      </c>
      <c r="E5053" s="1">
        <v>6590.54</v>
      </c>
      <c r="F5053" s="2"/>
      <c r="G5053" s="1">
        <v>2690.35</v>
      </c>
      <c r="H5053" s="3"/>
      <c r="I5053" s="14" t="s">
        <v>1990</v>
      </c>
    </row>
    <row r="5054" spans="1:9" ht="18.75" customHeight="1" x14ac:dyDescent="0.4">
      <c r="A5054" s="14" t="s">
        <v>2787</v>
      </c>
      <c r="B5054" s="16" t="str">
        <f>TRIM("　出戸池公園")</f>
        <v>出戸池公園</v>
      </c>
      <c r="C5054" s="14" t="s">
        <v>1524</v>
      </c>
      <c r="D5054" s="14" t="s">
        <v>1076</v>
      </c>
      <c r="E5054" s="1">
        <v>7368.83</v>
      </c>
      <c r="F5054" s="2"/>
      <c r="G5054" s="1"/>
      <c r="H5054" s="3"/>
      <c r="I5054" s="14" t="s">
        <v>2177</v>
      </c>
    </row>
    <row r="5055" spans="1:9" ht="18.75" customHeight="1" x14ac:dyDescent="0.4">
      <c r="A5055" s="14" t="s">
        <v>3062</v>
      </c>
      <c r="B5055" s="16" t="str">
        <f>TRIM("　長吉公園")</f>
        <v>長吉公園</v>
      </c>
      <c r="C5055" s="14" t="s">
        <v>1524</v>
      </c>
      <c r="D5055" s="14" t="s">
        <v>1076</v>
      </c>
      <c r="E5055" s="1">
        <v>4943.51</v>
      </c>
      <c r="F5055" s="2"/>
      <c r="G5055" s="1"/>
      <c r="H5055" s="3"/>
      <c r="I5055" s="14" t="s">
        <v>2177</v>
      </c>
    </row>
    <row r="5056" spans="1:9" ht="18.75" customHeight="1" x14ac:dyDescent="0.4">
      <c r="A5056" s="14" t="s">
        <v>4649</v>
      </c>
      <c r="B5056" s="16" t="str">
        <f>TRIM("平野区南部サービスセンター")</f>
        <v>平野区南部サービスセンター</v>
      </c>
      <c r="C5056" s="14" t="s">
        <v>1524</v>
      </c>
      <c r="D5056" s="14" t="s">
        <v>1076</v>
      </c>
      <c r="E5056" s="1"/>
      <c r="F5056" s="2"/>
      <c r="G5056" s="1">
        <v>102.14</v>
      </c>
      <c r="H5056" s="3"/>
      <c r="I5056" s="14" t="s">
        <v>1990</v>
      </c>
    </row>
    <row r="5057" spans="1:9" ht="18.75" customHeight="1" x14ac:dyDescent="0.4">
      <c r="A5057" s="14" t="s">
        <v>5157</v>
      </c>
      <c r="B5057" s="16" t="str">
        <f>TRIM("埋蔵文化財収蔵倉庫")</f>
        <v>埋蔵文化財収蔵倉庫</v>
      </c>
      <c r="C5057" s="14" t="s">
        <v>1524</v>
      </c>
      <c r="D5057" s="14" t="s">
        <v>1076</v>
      </c>
      <c r="E5057" s="1"/>
      <c r="F5057" s="2"/>
      <c r="G5057" s="1">
        <v>2644.87</v>
      </c>
      <c r="H5057" s="3"/>
      <c r="I5057" s="14" t="s">
        <v>4689</v>
      </c>
    </row>
    <row r="5058" spans="1:9" ht="18.75" customHeight="1" x14ac:dyDescent="0.4">
      <c r="A5058" s="14" t="s">
        <v>4661</v>
      </c>
      <c r="B5058" s="16" t="str">
        <f>TRIM("出戸会館")</f>
        <v>出戸会館</v>
      </c>
      <c r="C5058" s="14" t="s">
        <v>1524</v>
      </c>
      <c r="D5058" s="14" t="s">
        <v>394</v>
      </c>
      <c r="E5058" s="1">
        <v>920.78</v>
      </c>
      <c r="F5058" s="2"/>
      <c r="G5058" s="1">
        <v>453.04</v>
      </c>
      <c r="H5058" s="3"/>
      <c r="I5058" s="14" t="s">
        <v>1990</v>
      </c>
    </row>
    <row r="5059" spans="1:9" ht="18.75" customHeight="1" x14ac:dyDescent="0.4">
      <c r="A5059" s="14" t="s">
        <v>1901</v>
      </c>
      <c r="B5059" s="16" t="str">
        <f>TRIM("長吉西地域在宅サービスステーション")</f>
        <v>長吉西地域在宅サービスステーション</v>
      </c>
      <c r="C5059" s="14" t="s">
        <v>1524</v>
      </c>
      <c r="D5059" s="14" t="s">
        <v>394</v>
      </c>
      <c r="E5059" s="1">
        <v>485.12</v>
      </c>
      <c r="F5059" s="2"/>
      <c r="G5059" s="1"/>
      <c r="H5059" s="3"/>
      <c r="I5059" s="14" t="s">
        <v>1654</v>
      </c>
    </row>
    <row r="5060" spans="1:9" ht="18.75" customHeight="1" x14ac:dyDescent="0.4">
      <c r="A5060" s="14" t="s">
        <v>6520</v>
      </c>
      <c r="B5060" s="16" t="str">
        <f>TRIM("長吉出戸第2住宅")</f>
        <v>長吉出戸第2住宅</v>
      </c>
      <c r="C5060" s="14" t="s">
        <v>1524</v>
      </c>
      <c r="D5060" s="14" t="s">
        <v>321</v>
      </c>
      <c r="E5060" s="1">
        <v>5770.34</v>
      </c>
      <c r="F5060" s="2"/>
      <c r="G5060" s="1">
        <v>8673.14</v>
      </c>
      <c r="H5060" s="3"/>
      <c r="I5060" s="14" t="s">
        <v>6177</v>
      </c>
    </row>
    <row r="5061" spans="1:9" ht="18.75" customHeight="1" x14ac:dyDescent="0.4">
      <c r="A5061" s="14" t="s">
        <v>3508</v>
      </c>
      <c r="B5061" s="16" t="str">
        <f>TRIM("出戸やすらぎ公園")</f>
        <v>出戸やすらぎ公園</v>
      </c>
      <c r="C5061" s="14" t="s">
        <v>1524</v>
      </c>
      <c r="D5061" s="14" t="s">
        <v>321</v>
      </c>
      <c r="E5061" s="1">
        <v>1100.26</v>
      </c>
      <c r="F5061" s="2"/>
      <c r="G5061" s="1"/>
      <c r="H5061" s="3"/>
      <c r="I5061" s="14" t="s">
        <v>2177</v>
      </c>
    </row>
    <row r="5062" spans="1:9" ht="18.75" customHeight="1" x14ac:dyDescent="0.4">
      <c r="A5062" s="14" t="s">
        <v>6230</v>
      </c>
      <c r="B5062" s="16" t="str">
        <f>TRIM("もと長吉六反住宅")</f>
        <v>もと長吉六反住宅</v>
      </c>
      <c r="C5062" s="14" t="s">
        <v>1524</v>
      </c>
      <c r="D5062" s="14" t="s">
        <v>701</v>
      </c>
      <c r="E5062" s="1">
        <v>719.13</v>
      </c>
      <c r="F5062" s="2" t="s">
        <v>7274</v>
      </c>
      <c r="G5062" s="1"/>
      <c r="H5062" s="3"/>
      <c r="I5062" s="14" t="s">
        <v>6177</v>
      </c>
    </row>
    <row r="5063" spans="1:9" ht="18.75" customHeight="1" x14ac:dyDescent="0.4">
      <c r="A5063" s="14" t="s">
        <v>6521</v>
      </c>
      <c r="B5063" s="16" t="str">
        <f>TRIM("長吉出戸南第1住宅")</f>
        <v>長吉出戸南第1住宅</v>
      </c>
      <c r="C5063" s="14" t="s">
        <v>1524</v>
      </c>
      <c r="D5063" s="14" t="s">
        <v>701</v>
      </c>
      <c r="E5063" s="1">
        <v>36487.279999999999</v>
      </c>
      <c r="F5063" s="2"/>
      <c r="G5063" s="1">
        <v>62813.97</v>
      </c>
      <c r="H5063" s="3"/>
      <c r="I5063" s="14" t="s">
        <v>6177</v>
      </c>
    </row>
    <row r="5064" spans="1:9" ht="18.75" customHeight="1" x14ac:dyDescent="0.4">
      <c r="A5064" s="14" t="s">
        <v>3509</v>
      </c>
      <c r="B5064" s="16" t="str">
        <f>TRIM("出戸南公園")</f>
        <v>出戸南公園</v>
      </c>
      <c r="C5064" s="14" t="s">
        <v>1524</v>
      </c>
      <c r="D5064" s="14" t="s">
        <v>701</v>
      </c>
      <c r="E5064" s="1">
        <v>1300.33</v>
      </c>
      <c r="F5064" s="2"/>
      <c r="G5064" s="1"/>
      <c r="H5064" s="3"/>
      <c r="I5064" s="14" t="s">
        <v>2177</v>
      </c>
    </row>
    <row r="5065" spans="1:9" ht="18.75" customHeight="1" x14ac:dyDescent="0.4">
      <c r="A5065" s="14" t="s">
        <v>3733</v>
      </c>
      <c r="B5065" s="16" t="str">
        <f>TRIM(" 長吉北自転車保管所管理事務所")</f>
        <v>長吉北自転車保管所管理事務所</v>
      </c>
      <c r="C5065" s="14" t="s">
        <v>1524</v>
      </c>
      <c r="D5065" s="14" t="s">
        <v>701</v>
      </c>
      <c r="E5065" s="1"/>
      <c r="F5065" s="2"/>
      <c r="G5065" s="1">
        <v>27.73</v>
      </c>
      <c r="H5065" s="3"/>
      <c r="I5065" s="14" t="s">
        <v>2177</v>
      </c>
    </row>
    <row r="5066" spans="1:9" ht="18.75" customHeight="1" x14ac:dyDescent="0.4">
      <c r="A5066" s="14" t="s">
        <v>6264</v>
      </c>
      <c r="B5066" s="16" t="str">
        <f>TRIM("もと長吉出戸南住宅")</f>
        <v>もと長吉出戸南住宅</v>
      </c>
      <c r="C5066" s="14" t="s">
        <v>1524</v>
      </c>
      <c r="D5066" s="14" t="s">
        <v>701</v>
      </c>
      <c r="E5066" s="1">
        <v>8829.06</v>
      </c>
      <c r="F5066" s="2"/>
      <c r="G5066" s="1"/>
      <c r="H5066" s="3"/>
      <c r="I5066" s="14" t="s">
        <v>6177</v>
      </c>
    </row>
    <row r="5067" spans="1:9" ht="18.75" customHeight="1" x14ac:dyDescent="0.4">
      <c r="A5067" s="14" t="s">
        <v>6518</v>
      </c>
      <c r="B5067" s="16" t="str">
        <f>TRIM("長吉出戸住宅")</f>
        <v>長吉出戸住宅</v>
      </c>
      <c r="C5067" s="14" t="s">
        <v>1524</v>
      </c>
      <c r="D5067" s="14" t="s">
        <v>789</v>
      </c>
      <c r="E5067" s="1">
        <v>5702.77</v>
      </c>
      <c r="F5067" s="2">
        <v>1886</v>
      </c>
      <c r="G5067" s="1"/>
      <c r="H5067" s="3"/>
      <c r="I5067" s="14" t="s">
        <v>6177</v>
      </c>
    </row>
    <row r="5068" spans="1:9" ht="18.75" customHeight="1" x14ac:dyDescent="0.4">
      <c r="A5068" s="14" t="s">
        <v>4977</v>
      </c>
      <c r="B5068" s="16" t="str">
        <f>TRIM("長吉東小学校")</f>
        <v>長吉東小学校</v>
      </c>
      <c r="C5068" s="14" t="s">
        <v>1524</v>
      </c>
      <c r="D5068" s="14" t="s">
        <v>789</v>
      </c>
      <c r="E5068" s="1">
        <v>12807.4</v>
      </c>
      <c r="F5068" s="2"/>
      <c r="G5068" s="1">
        <v>6800.2</v>
      </c>
      <c r="H5068" s="3"/>
      <c r="I5068" s="14" t="s">
        <v>4689</v>
      </c>
    </row>
    <row r="5069" spans="1:9" ht="18.75" customHeight="1" x14ac:dyDescent="0.4">
      <c r="A5069" s="14" t="s">
        <v>5169</v>
      </c>
      <c r="B5069" s="16" t="str">
        <f>TRIM("クラフトパーク")</f>
        <v>クラフトパーク</v>
      </c>
      <c r="C5069" s="14" t="s">
        <v>1524</v>
      </c>
      <c r="D5069" s="14" t="s">
        <v>789</v>
      </c>
      <c r="E5069" s="1">
        <v>9999.9500000000007</v>
      </c>
      <c r="F5069" s="2"/>
      <c r="G5069" s="1">
        <v>4448.6499999999996</v>
      </c>
      <c r="H5069" s="3"/>
      <c r="I5069" s="14" t="s">
        <v>4689</v>
      </c>
    </row>
    <row r="5070" spans="1:9" ht="18.75" customHeight="1" x14ac:dyDescent="0.4">
      <c r="A5070" s="14" t="s">
        <v>2269</v>
      </c>
      <c r="B5070" s="16" t="str">
        <f>TRIM("大阪中央環状線（平野）（管財課）")</f>
        <v>大阪中央環状線（平野）（管財課）</v>
      </c>
      <c r="C5070" s="14" t="s">
        <v>1524</v>
      </c>
      <c r="D5070" s="14" t="s">
        <v>938</v>
      </c>
      <c r="E5070" s="1">
        <v>5044.95</v>
      </c>
      <c r="F5070" s="2"/>
      <c r="G5070" s="1"/>
      <c r="H5070" s="3"/>
      <c r="I5070" s="14" t="s">
        <v>2177</v>
      </c>
    </row>
    <row r="5071" spans="1:9" ht="18.75" customHeight="1" x14ac:dyDescent="0.4">
      <c r="A5071" s="14" t="s">
        <v>3474</v>
      </c>
      <c r="B5071" s="16" t="str">
        <f>TRIM("長吉瓜破3号公園")</f>
        <v>長吉瓜破3号公園</v>
      </c>
      <c r="C5071" s="14" t="s">
        <v>1524</v>
      </c>
      <c r="D5071" s="14" t="s">
        <v>938</v>
      </c>
      <c r="E5071" s="1">
        <v>1903.92</v>
      </c>
      <c r="F5071" s="2"/>
      <c r="G5071" s="1"/>
      <c r="H5071" s="3"/>
      <c r="I5071" s="14" t="s">
        <v>2177</v>
      </c>
    </row>
    <row r="5072" spans="1:9" ht="18.75" customHeight="1" x14ac:dyDescent="0.4">
      <c r="A5072" s="14" t="s">
        <v>4974</v>
      </c>
      <c r="B5072" s="16" t="str">
        <f>TRIM("長吉小学校")</f>
        <v>長吉小学校</v>
      </c>
      <c r="C5072" s="14" t="s">
        <v>1524</v>
      </c>
      <c r="D5072" s="14" t="s">
        <v>788</v>
      </c>
      <c r="E5072" s="1">
        <v>13682.1</v>
      </c>
      <c r="F5072" s="2"/>
      <c r="G5072" s="1">
        <v>8678.89</v>
      </c>
      <c r="H5072" s="3"/>
      <c r="I5072" s="14" t="s">
        <v>4689</v>
      </c>
    </row>
    <row r="5073" spans="1:9" ht="18.75" customHeight="1" x14ac:dyDescent="0.4">
      <c r="A5073" s="14" t="s">
        <v>5305</v>
      </c>
      <c r="B5073" s="16" t="str">
        <f>TRIM("平野消防署長吉出張所")</f>
        <v>平野消防署長吉出張所</v>
      </c>
      <c r="C5073" s="14" t="s">
        <v>1524</v>
      </c>
      <c r="D5073" s="14" t="s">
        <v>788</v>
      </c>
      <c r="E5073" s="1">
        <v>348.15</v>
      </c>
      <c r="F5073" s="2"/>
      <c r="G5073" s="1">
        <v>303.99</v>
      </c>
      <c r="H5073" s="3"/>
      <c r="I5073" s="14" t="s">
        <v>5219</v>
      </c>
    </row>
    <row r="5074" spans="1:9" ht="18.75" customHeight="1" x14ac:dyDescent="0.4">
      <c r="A5074" s="14" t="s">
        <v>6517</v>
      </c>
      <c r="B5074" s="16" t="str">
        <f>TRIM("長吉住宅")</f>
        <v>長吉住宅</v>
      </c>
      <c r="C5074" s="14" t="s">
        <v>1524</v>
      </c>
      <c r="D5074" s="14" t="s">
        <v>788</v>
      </c>
      <c r="E5074" s="1">
        <v>19748.63</v>
      </c>
      <c r="F5074" s="2"/>
      <c r="G5074" s="1">
        <v>18851.77</v>
      </c>
      <c r="H5074" s="3"/>
      <c r="I5074" s="14" t="s">
        <v>6177</v>
      </c>
    </row>
    <row r="5075" spans="1:9" ht="18.75" customHeight="1" x14ac:dyDescent="0.4">
      <c r="A5075" s="14" t="s">
        <v>3399</v>
      </c>
      <c r="B5075" s="16" t="str">
        <f>TRIM("なみはや公園")</f>
        <v>なみはや公園</v>
      </c>
      <c r="C5075" s="14" t="s">
        <v>1524</v>
      </c>
      <c r="D5075" s="14" t="s">
        <v>788</v>
      </c>
      <c r="E5075" s="1">
        <v>1300.5999999999999</v>
      </c>
      <c r="F5075" s="2"/>
      <c r="G5075" s="1"/>
      <c r="H5075" s="3"/>
      <c r="I5075" s="14" t="s">
        <v>2177</v>
      </c>
    </row>
    <row r="5076" spans="1:9" ht="18.75" customHeight="1" x14ac:dyDescent="0.4">
      <c r="A5076" s="14" t="s">
        <v>2094</v>
      </c>
      <c r="B5076" s="16" t="str">
        <f>TRIM("長吉長原老人憩の家")</f>
        <v>長吉長原老人憩の家</v>
      </c>
      <c r="C5076" s="14" t="s">
        <v>1524</v>
      </c>
      <c r="D5076" s="14" t="s">
        <v>888</v>
      </c>
      <c r="E5076" s="1">
        <v>373.52</v>
      </c>
      <c r="F5076" s="2"/>
      <c r="G5076" s="1"/>
      <c r="H5076" s="3"/>
      <c r="I5076" s="14" t="s">
        <v>1990</v>
      </c>
    </row>
    <row r="5077" spans="1:9" ht="18.75" customHeight="1" x14ac:dyDescent="0.4">
      <c r="A5077" s="14" t="s">
        <v>4647</v>
      </c>
      <c r="B5077" s="16" t="str">
        <f>TRIM("長吉長原コミュニティ施設")</f>
        <v>長吉長原コミュニティ施設</v>
      </c>
      <c r="C5077" s="14" t="s">
        <v>1524</v>
      </c>
      <c r="D5077" s="14" t="s">
        <v>888</v>
      </c>
      <c r="E5077" s="1">
        <v>500</v>
      </c>
      <c r="F5077" s="2"/>
      <c r="G5077" s="1"/>
      <c r="H5077" s="3"/>
      <c r="I5077" s="14" t="s">
        <v>1990</v>
      </c>
    </row>
    <row r="5078" spans="1:9" ht="18.75" customHeight="1" x14ac:dyDescent="0.4">
      <c r="A5078" s="14" t="s">
        <v>6849</v>
      </c>
      <c r="B5078" s="16" t="str">
        <f>TRIM("区画整理事業用地（長吉瓜破地区）")</f>
        <v>区画整理事業用地（長吉瓜破地区）</v>
      </c>
      <c r="C5078" s="14" t="s">
        <v>1524</v>
      </c>
      <c r="D5078" s="14" t="s">
        <v>888</v>
      </c>
      <c r="E5078" s="1">
        <v>30.48</v>
      </c>
      <c r="F5078" s="2"/>
      <c r="G5078" s="1"/>
      <c r="H5078" s="3"/>
      <c r="I5078" s="14" t="s">
        <v>6177</v>
      </c>
    </row>
    <row r="5079" spans="1:9" ht="18.75" customHeight="1" x14ac:dyDescent="0.4">
      <c r="A5079" s="14" t="s">
        <v>4975</v>
      </c>
      <c r="B5079" s="16" t="str">
        <f>TRIM("長吉西中学校")</f>
        <v>長吉西中学校</v>
      </c>
      <c r="C5079" s="14" t="s">
        <v>1524</v>
      </c>
      <c r="D5079" s="14" t="s">
        <v>791</v>
      </c>
      <c r="E5079" s="1">
        <v>17164.5</v>
      </c>
      <c r="F5079" s="2"/>
      <c r="G5079" s="1">
        <v>7983.71</v>
      </c>
      <c r="H5079" s="3"/>
      <c r="I5079" s="14" t="s">
        <v>4689</v>
      </c>
    </row>
    <row r="5080" spans="1:9" ht="18.75" customHeight="1" x14ac:dyDescent="0.4">
      <c r="A5080" s="14" t="s">
        <v>6523</v>
      </c>
      <c r="B5080" s="16" t="str">
        <f>TRIM("長吉長原住宅")</f>
        <v>長吉長原住宅</v>
      </c>
      <c r="C5080" s="14" t="s">
        <v>1524</v>
      </c>
      <c r="D5080" s="14" t="s">
        <v>791</v>
      </c>
      <c r="E5080" s="1">
        <v>10629.06</v>
      </c>
      <c r="F5080" s="2"/>
      <c r="G5080" s="1">
        <v>16539.830000000002</v>
      </c>
      <c r="H5080" s="3"/>
      <c r="I5080" s="14" t="s">
        <v>6177</v>
      </c>
    </row>
    <row r="5081" spans="1:9" ht="18.75" customHeight="1" x14ac:dyDescent="0.4">
      <c r="A5081" s="14" t="s">
        <v>3477</v>
      </c>
      <c r="B5081" s="16" t="str">
        <f>TRIM("長原公園")</f>
        <v>長原公園</v>
      </c>
      <c r="C5081" s="14" t="s">
        <v>1524</v>
      </c>
      <c r="D5081" s="14" t="s">
        <v>791</v>
      </c>
      <c r="E5081" s="1">
        <v>2275.9699999999998</v>
      </c>
      <c r="F5081" s="2"/>
      <c r="G5081" s="1"/>
      <c r="H5081" s="3"/>
      <c r="I5081" s="14" t="s">
        <v>2177</v>
      </c>
    </row>
    <row r="5082" spans="1:9" ht="18.75" customHeight="1" x14ac:dyDescent="0.4">
      <c r="A5082" s="14" t="s">
        <v>6829</v>
      </c>
      <c r="B5082" s="16" t="str">
        <f>TRIM("もと区画整理事業用地（長吉瓜破地区）")</f>
        <v>もと区画整理事業用地（長吉瓜破地区）</v>
      </c>
      <c r="C5082" s="14" t="s">
        <v>1524</v>
      </c>
      <c r="D5082" s="14" t="s">
        <v>791</v>
      </c>
      <c r="E5082" s="1">
        <v>78.930000000000007</v>
      </c>
      <c r="F5082" s="2"/>
      <c r="G5082" s="1"/>
      <c r="H5082" s="3"/>
      <c r="I5082" s="14" t="s">
        <v>6177</v>
      </c>
    </row>
    <row r="5083" spans="1:9" ht="18.75" customHeight="1" x14ac:dyDescent="0.4">
      <c r="A5083" s="14" t="s">
        <v>2230</v>
      </c>
      <c r="B5083" s="16" t="str">
        <f>TRIM("住吉八尾線（平野）（管財課）")</f>
        <v>住吉八尾線（平野）（管財課）</v>
      </c>
      <c r="C5083" s="14" t="s">
        <v>1524</v>
      </c>
      <c r="D5083" s="14" t="s">
        <v>919</v>
      </c>
      <c r="E5083" s="1">
        <v>45218.63</v>
      </c>
      <c r="F5083" s="2"/>
      <c r="G5083" s="1"/>
      <c r="H5083" s="3"/>
      <c r="I5083" s="14" t="s">
        <v>2177</v>
      </c>
    </row>
    <row r="5084" spans="1:9" ht="18.75" customHeight="1" x14ac:dyDescent="0.4">
      <c r="A5084" s="14" t="s">
        <v>3478</v>
      </c>
      <c r="B5084" s="16" t="str">
        <f>TRIM("長原西公園")</f>
        <v>長原西公園</v>
      </c>
      <c r="C5084" s="14" t="s">
        <v>1524</v>
      </c>
      <c r="D5084" s="14" t="s">
        <v>1292</v>
      </c>
      <c r="E5084" s="1">
        <v>1699.19</v>
      </c>
      <c r="F5084" s="2"/>
      <c r="G5084" s="1"/>
      <c r="H5084" s="3"/>
      <c r="I5084" s="14" t="s">
        <v>2177</v>
      </c>
    </row>
    <row r="5085" spans="1:9" ht="18.75" customHeight="1" x14ac:dyDescent="0.4">
      <c r="A5085" s="14" t="s">
        <v>4663</v>
      </c>
      <c r="B5085" s="16" t="str">
        <f>TRIM("長原会館")</f>
        <v>長原会館</v>
      </c>
      <c r="C5085" s="14" t="s">
        <v>1524</v>
      </c>
      <c r="D5085" s="14" t="s">
        <v>1292</v>
      </c>
      <c r="E5085" s="1">
        <v>1780.43</v>
      </c>
      <c r="F5085" s="2"/>
      <c r="G5085" s="1"/>
      <c r="H5085" s="3"/>
      <c r="I5085" s="14" t="s">
        <v>1990</v>
      </c>
    </row>
    <row r="5086" spans="1:9" ht="18.75" customHeight="1" x14ac:dyDescent="0.4">
      <c r="A5086" s="14" t="s">
        <v>2314</v>
      </c>
      <c r="B5086" s="16" t="str">
        <f>TRIM("道路（平野）（管財課）")</f>
        <v>道路（平野）（管財課）</v>
      </c>
      <c r="C5086" s="14" t="s">
        <v>1524</v>
      </c>
      <c r="D5086" s="14" t="s">
        <v>792</v>
      </c>
      <c r="E5086" s="1">
        <v>1052205.0900000001</v>
      </c>
      <c r="F5086" s="2">
        <v>1507</v>
      </c>
      <c r="G5086" s="1"/>
      <c r="H5086" s="3"/>
      <c r="I5086" s="14" t="s">
        <v>2177</v>
      </c>
    </row>
    <row r="5087" spans="1:9" ht="18.75" customHeight="1" x14ac:dyDescent="0.4">
      <c r="A5087" s="14" t="s">
        <v>6525</v>
      </c>
      <c r="B5087" s="16" t="str">
        <f>TRIM("長吉長原西第2住宅")</f>
        <v>長吉長原西第2住宅</v>
      </c>
      <c r="C5087" s="14" t="s">
        <v>1524</v>
      </c>
      <c r="D5087" s="14" t="s">
        <v>792</v>
      </c>
      <c r="E5087" s="1">
        <v>9979.77</v>
      </c>
      <c r="F5087" s="2" t="s">
        <v>7270</v>
      </c>
      <c r="G5087" s="1">
        <v>15787.61</v>
      </c>
      <c r="H5087" s="3"/>
      <c r="I5087" s="14" t="s">
        <v>6177</v>
      </c>
    </row>
    <row r="5088" spans="1:9" ht="18.75" customHeight="1" x14ac:dyDescent="0.4">
      <c r="A5088" s="14" t="s">
        <v>6524</v>
      </c>
      <c r="B5088" s="16" t="str">
        <f>TRIM("長吉長原西住宅")</f>
        <v>長吉長原西住宅</v>
      </c>
      <c r="C5088" s="14" t="s">
        <v>1524</v>
      </c>
      <c r="D5088" s="14" t="s">
        <v>792</v>
      </c>
      <c r="E5088" s="1">
        <v>14388.83</v>
      </c>
      <c r="F5088" s="2"/>
      <c r="G5088" s="1">
        <v>20147.03</v>
      </c>
      <c r="H5088" s="3"/>
      <c r="I5088" s="14" t="s">
        <v>6177</v>
      </c>
    </row>
    <row r="5089" spans="1:9" ht="18.75" customHeight="1" x14ac:dyDescent="0.4">
      <c r="A5089" s="14" t="s">
        <v>2410</v>
      </c>
      <c r="B5089" s="16" t="str">
        <f>TRIM("長吉アンダーパスポンプ場")</f>
        <v>長吉アンダーパスポンプ場</v>
      </c>
      <c r="C5089" s="14" t="s">
        <v>1524</v>
      </c>
      <c r="D5089" s="14" t="s">
        <v>792</v>
      </c>
      <c r="E5089" s="1"/>
      <c r="F5089" s="2"/>
      <c r="G5089" s="1">
        <v>49.9</v>
      </c>
      <c r="H5089" s="3"/>
      <c r="I5089" s="14" t="s">
        <v>2177</v>
      </c>
    </row>
    <row r="5090" spans="1:9" ht="18.75" customHeight="1" x14ac:dyDescent="0.4">
      <c r="A5090" s="14" t="s">
        <v>3475</v>
      </c>
      <c r="B5090" s="16" t="str">
        <f>TRIM("長吉西中学前公園")</f>
        <v>長吉西中学前公園</v>
      </c>
      <c r="C5090" s="14" t="s">
        <v>1524</v>
      </c>
      <c r="D5090" s="14" t="s">
        <v>792</v>
      </c>
      <c r="E5090" s="1">
        <v>1000.91</v>
      </c>
      <c r="F5090" s="2"/>
      <c r="G5090" s="1"/>
      <c r="H5090" s="3"/>
      <c r="I5090" s="14" t="s">
        <v>2177</v>
      </c>
    </row>
    <row r="5091" spans="1:9" ht="18.75" customHeight="1" x14ac:dyDescent="0.4">
      <c r="A5091" s="14" t="s">
        <v>6526</v>
      </c>
      <c r="B5091" s="16" t="str">
        <f>TRIM("長吉長原西第3住宅")</f>
        <v>長吉長原西第3住宅</v>
      </c>
      <c r="C5091" s="14" t="s">
        <v>1524</v>
      </c>
      <c r="D5091" s="14" t="s">
        <v>793</v>
      </c>
      <c r="E5091" s="1">
        <v>32422.76</v>
      </c>
      <c r="F5091" s="2"/>
      <c r="G5091" s="1">
        <v>33720.800000000003</v>
      </c>
      <c r="H5091" s="3"/>
      <c r="I5091" s="14" t="s">
        <v>6177</v>
      </c>
    </row>
    <row r="5092" spans="1:9" ht="18.75" customHeight="1" x14ac:dyDescent="0.4">
      <c r="A5092" s="14" t="s">
        <v>3452</v>
      </c>
      <c r="B5092" s="16" t="str">
        <f>TRIM("川辺大和川公園")</f>
        <v>川辺大和川公園</v>
      </c>
      <c r="C5092" s="14" t="s">
        <v>1524</v>
      </c>
      <c r="D5092" s="14" t="s">
        <v>793</v>
      </c>
      <c r="E5092" s="1">
        <v>23415.81</v>
      </c>
      <c r="F5092" s="2"/>
      <c r="G5092" s="1"/>
      <c r="H5092" s="3"/>
      <c r="I5092" s="14" t="s">
        <v>2177</v>
      </c>
    </row>
    <row r="5093" spans="1:9" ht="18.75" customHeight="1" x14ac:dyDescent="0.4">
      <c r="A5093" s="14" t="s">
        <v>3695</v>
      </c>
      <c r="B5093" s="16" t="str">
        <f>TRIM("川辺大和川公園")</f>
        <v>川辺大和川公園</v>
      </c>
      <c r="C5093" s="14" t="s">
        <v>1524</v>
      </c>
      <c r="D5093" s="14" t="s">
        <v>793</v>
      </c>
      <c r="E5093" s="1"/>
      <c r="F5093" s="2"/>
      <c r="G5093" s="1">
        <v>21.12</v>
      </c>
      <c r="H5093" s="3"/>
      <c r="I5093" s="14" t="s">
        <v>2177</v>
      </c>
    </row>
    <row r="5094" spans="1:9" ht="18.75" customHeight="1" x14ac:dyDescent="0.4">
      <c r="A5094" s="14" t="s">
        <v>5898</v>
      </c>
      <c r="B5094" s="16" t="str">
        <f>TRIM("長吉第3保育所")</f>
        <v>長吉第3保育所</v>
      </c>
      <c r="C5094" s="14" t="s">
        <v>1524</v>
      </c>
      <c r="D5094" s="14" t="s">
        <v>793</v>
      </c>
      <c r="E5094" s="1"/>
      <c r="F5094" s="2"/>
      <c r="G5094" s="1">
        <v>423.46</v>
      </c>
      <c r="H5094" s="3"/>
      <c r="I5094" s="14" t="s">
        <v>5617</v>
      </c>
    </row>
    <row r="5095" spans="1:9" ht="18.75" customHeight="1" x14ac:dyDescent="0.4">
      <c r="A5095" s="14" t="s">
        <v>6529</v>
      </c>
      <c r="B5095" s="16" t="str">
        <f>TRIM("長吉長原北住宅")</f>
        <v>長吉長原北住宅</v>
      </c>
      <c r="C5095" s="14" t="s">
        <v>1524</v>
      </c>
      <c r="D5095" s="14" t="s">
        <v>794</v>
      </c>
      <c r="E5095" s="1">
        <v>19081.93</v>
      </c>
      <c r="F5095" s="2" t="s">
        <v>7351</v>
      </c>
      <c r="G5095" s="1">
        <v>15086.48</v>
      </c>
      <c r="H5095" s="3"/>
      <c r="I5095" s="14" t="s">
        <v>6177</v>
      </c>
    </row>
    <row r="5096" spans="1:9" ht="18.75" customHeight="1" x14ac:dyDescent="0.4">
      <c r="A5096" s="14" t="s">
        <v>4976</v>
      </c>
      <c r="B5096" s="16" t="str">
        <f>TRIM("長吉中学校")</f>
        <v>長吉中学校</v>
      </c>
      <c r="C5096" s="14" t="s">
        <v>1524</v>
      </c>
      <c r="D5096" s="14" t="s">
        <v>794</v>
      </c>
      <c r="E5096" s="1">
        <v>15535.18</v>
      </c>
      <c r="F5096" s="2"/>
      <c r="G5096" s="1">
        <v>6630.77</v>
      </c>
      <c r="H5096" s="3"/>
      <c r="I5096" s="14" t="s">
        <v>4689</v>
      </c>
    </row>
    <row r="5097" spans="1:9" ht="18.75" customHeight="1" x14ac:dyDescent="0.4">
      <c r="A5097" s="14" t="s">
        <v>3732</v>
      </c>
      <c r="B5097" s="16" t="str">
        <f>TRIM(" 長吉南自転車保管所管理事務所")</f>
        <v>長吉南自転車保管所管理事務所</v>
      </c>
      <c r="C5097" s="14" t="s">
        <v>1524</v>
      </c>
      <c r="D5097" s="14" t="s">
        <v>794</v>
      </c>
      <c r="E5097" s="1"/>
      <c r="F5097" s="2"/>
      <c r="G5097" s="1">
        <v>25.65</v>
      </c>
      <c r="H5097" s="3"/>
      <c r="I5097" s="14" t="s">
        <v>2177</v>
      </c>
    </row>
    <row r="5098" spans="1:9" ht="18.75" customHeight="1" x14ac:dyDescent="0.4">
      <c r="A5098" s="14" t="s">
        <v>6774</v>
      </c>
      <c r="B5098" s="16" t="str">
        <f>TRIM("もと長吉長原北住宅")</f>
        <v>もと長吉長原北住宅</v>
      </c>
      <c r="C5098" s="14" t="s">
        <v>1524</v>
      </c>
      <c r="D5098" s="14" t="s">
        <v>794</v>
      </c>
      <c r="E5098" s="1"/>
      <c r="F5098" s="2"/>
      <c r="G5098" s="1">
        <v>6350.26</v>
      </c>
      <c r="H5098" s="3"/>
      <c r="I5098" s="14" t="s">
        <v>6177</v>
      </c>
    </row>
    <row r="5099" spans="1:9" ht="18.75" customHeight="1" x14ac:dyDescent="0.4">
      <c r="A5099" s="14" t="s">
        <v>5897</v>
      </c>
      <c r="B5099" s="16" t="str">
        <f>TRIM("長吉第1保育所")</f>
        <v>長吉第1保育所</v>
      </c>
      <c r="C5099" s="14" t="s">
        <v>1524</v>
      </c>
      <c r="D5099" s="14" t="s">
        <v>586</v>
      </c>
      <c r="E5099" s="1">
        <v>779.8</v>
      </c>
      <c r="F5099" s="2"/>
      <c r="G5099" s="1">
        <v>583.64</v>
      </c>
      <c r="H5099" s="3"/>
      <c r="I5099" s="14" t="s">
        <v>5617</v>
      </c>
    </row>
    <row r="5100" spans="1:9" ht="18.75" customHeight="1" x14ac:dyDescent="0.4">
      <c r="A5100" s="14" t="s">
        <v>6527</v>
      </c>
      <c r="B5100" s="16" t="str">
        <f>TRIM("長吉長原東住宅")</f>
        <v>長吉長原東住宅</v>
      </c>
      <c r="C5100" s="14" t="s">
        <v>1524</v>
      </c>
      <c r="D5100" s="14" t="s">
        <v>586</v>
      </c>
      <c r="E5100" s="1">
        <v>88006.3</v>
      </c>
      <c r="F5100" s="2"/>
      <c r="G5100" s="1">
        <v>135136.89000000001</v>
      </c>
      <c r="H5100" s="3"/>
      <c r="I5100" s="14" t="s">
        <v>6177</v>
      </c>
    </row>
    <row r="5101" spans="1:9" ht="18.75" customHeight="1" x14ac:dyDescent="0.4">
      <c r="A5101" s="14" t="s">
        <v>2096</v>
      </c>
      <c r="B5101" s="16" t="str">
        <f>TRIM("長吉南老人憩の家")</f>
        <v>長吉南老人憩の家</v>
      </c>
      <c r="C5101" s="14" t="s">
        <v>1524</v>
      </c>
      <c r="D5101" s="14" t="s">
        <v>586</v>
      </c>
      <c r="E5101" s="1">
        <v>201.11</v>
      </c>
      <c r="F5101" s="2"/>
      <c r="G5101" s="1"/>
      <c r="H5101" s="3"/>
      <c r="I5101" s="14" t="s">
        <v>1990</v>
      </c>
    </row>
    <row r="5102" spans="1:9" ht="18.75" customHeight="1" x14ac:dyDescent="0.4">
      <c r="A5102" s="14" t="s">
        <v>3063</v>
      </c>
      <c r="B5102" s="16" t="str">
        <f>TRIM("　長吉東部中央公園")</f>
        <v>長吉東部中央公園</v>
      </c>
      <c r="C5102" s="14" t="s">
        <v>1524</v>
      </c>
      <c r="D5102" s="14" t="s">
        <v>586</v>
      </c>
      <c r="E5102" s="1">
        <v>10038.14</v>
      </c>
      <c r="F5102" s="2"/>
      <c r="G5102" s="1"/>
      <c r="H5102" s="3"/>
      <c r="I5102" s="14" t="s">
        <v>2177</v>
      </c>
    </row>
    <row r="5103" spans="1:9" ht="18.75" customHeight="1" x14ac:dyDescent="0.4">
      <c r="A5103" s="14" t="s">
        <v>3623</v>
      </c>
      <c r="B5103" s="16" t="str">
        <f>TRIM("　長吉東部中央公園")</f>
        <v>長吉東部中央公園</v>
      </c>
      <c r="C5103" s="14" t="s">
        <v>1524</v>
      </c>
      <c r="D5103" s="14" t="s">
        <v>586</v>
      </c>
      <c r="E5103" s="1"/>
      <c r="F5103" s="2"/>
      <c r="G5103" s="1">
        <v>19.2</v>
      </c>
      <c r="H5103" s="3"/>
      <c r="I5103" s="14" t="s">
        <v>2177</v>
      </c>
    </row>
    <row r="5104" spans="1:9" ht="18.75" customHeight="1" x14ac:dyDescent="0.4">
      <c r="A5104" s="14" t="s">
        <v>3903</v>
      </c>
      <c r="B5104" s="16" t="str">
        <f>TRIM("長原駅自転車駐車場管理事務所")</f>
        <v>長原駅自転車駐車場管理事務所</v>
      </c>
      <c r="C5104" s="14" t="s">
        <v>1524</v>
      </c>
      <c r="D5104" s="14" t="s">
        <v>586</v>
      </c>
      <c r="E5104" s="1"/>
      <c r="F5104" s="2"/>
      <c r="G5104" s="1">
        <v>13.5</v>
      </c>
      <c r="H5104" s="3"/>
      <c r="I5104" s="14" t="s">
        <v>2177</v>
      </c>
    </row>
    <row r="5105" spans="1:9" ht="18.75" customHeight="1" x14ac:dyDescent="0.4">
      <c r="A5105" s="14" t="s">
        <v>6213</v>
      </c>
      <c r="B5105" s="16" t="str">
        <f>TRIM("長吉長原東第3住宅")</f>
        <v>長吉長原東第3住宅</v>
      </c>
      <c r="C5105" s="14" t="s">
        <v>1524</v>
      </c>
      <c r="D5105" s="14" t="s">
        <v>586</v>
      </c>
      <c r="E5105" s="1">
        <v>1832.53</v>
      </c>
      <c r="F5105" s="2"/>
      <c r="G5105" s="1"/>
      <c r="H5105" s="3"/>
      <c r="I5105" s="14" t="s">
        <v>6177</v>
      </c>
    </row>
    <row r="5106" spans="1:9" ht="18.75" customHeight="1" x14ac:dyDescent="0.4">
      <c r="A5106" s="14" t="s">
        <v>6528</v>
      </c>
      <c r="B5106" s="16" t="str">
        <f>TRIM("長吉長原東第4住宅")</f>
        <v>長吉長原東第4住宅</v>
      </c>
      <c r="C5106" s="14" t="s">
        <v>1524</v>
      </c>
      <c r="D5106" s="14" t="s">
        <v>300</v>
      </c>
      <c r="E5106" s="1">
        <v>65521</v>
      </c>
      <c r="F5106" s="2">
        <v>1571</v>
      </c>
      <c r="G5106" s="1">
        <v>73609.649999999994</v>
      </c>
      <c r="H5106" s="3"/>
      <c r="I5106" s="14" t="s">
        <v>6177</v>
      </c>
    </row>
    <row r="5107" spans="1:9" ht="18.75" customHeight="1" x14ac:dyDescent="0.4">
      <c r="A5107" s="14" t="s">
        <v>5597</v>
      </c>
      <c r="B5107" s="16" t="str">
        <f>TRIM("もと長吉車庫")</f>
        <v>もと長吉車庫</v>
      </c>
      <c r="C5107" s="14" t="s">
        <v>1524</v>
      </c>
      <c r="D5107" s="14" t="s">
        <v>300</v>
      </c>
      <c r="E5107" s="1">
        <v>11076.24</v>
      </c>
      <c r="F5107" s="2">
        <v>1830</v>
      </c>
      <c r="G5107" s="1">
        <v>4763.46</v>
      </c>
      <c r="H5107" s="3" t="s">
        <v>7353</v>
      </c>
      <c r="I5107" s="14" t="s">
        <v>5349</v>
      </c>
    </row>
    <row r="5108" spans="1:9" ht="18.75" customHeight="1" x14ac:dyDescent="0.4">
      <c r="A5108" s="14" t="s">
        <v>4984</v>
      </c>
      <c r="B5108" s="16" t="str">
        <f>TRIM("長原小学校")</f>
        <v>長原小学校</v>
      </c>
      <c r="C5108" s="14" t="s">
        <v>1524</v>
      </c>
      <c r="D5108" s="14" t="s">
        <v>300</v>
      </c>
      <c r="E5108" s="1">
        <v>10219.49</v>
      </c>
      <c r="F5108" s="2"/>
      <c r="G5108" s="1">
        <v>7152.06</v>
      </c>
      <c r="H5108" s="3"/>
      <c r="I5108" s="14" t="s">
        <v>4689</v>
      </c>
    </row>
    <row r="5109" spans="1:9" ht="18.75" customHeight="1" x14ac:dyDescent="0.4">
      <c r="A5109" s="14" t="s">
        <v>5805</v>
      </c>
      <c r="B5109" s="16" t="str">
        <f>TRIM("長吉第2幼稚園")</f>
        <v>長吉第2幼稚園</v>
      </c>
      <c r="C5109" s="14" t="s">
        <v>1524</v>
      </c>
      <c r="D5109" s="14" t="s">
        <v>300</v>
      </c>
      <c r="E5109" s="1">
        <v>2645</v>
      </c>
      <c r="F5109" s="2"/>
      <c r="G5109" s="1">
        <v>1048.6300000000001</v>
      </c>
      <c r="H5109" s="3"/>
      <c r="I5109" s="14" t="s">
        <v>5617</v>
      </c>
    </row>
    <row r="5110" spans="1:9" ht="18.75" customHeight="1" x14ac:dyDescent="0.4">
      <c r="A5110" s="14" t="s">
        <v>2448</v>
      </c>
      <c r="B5110" s="16" t="str">
        <f>TRIM("長吉線")</f>
        <v>長吉線</v>
      </c>
      <c r="C5110" s="14" t="s">
        <v>1524</v>
      </c>
      <c r="D5110" s="14" t="s">
        <v>300</v>
      </c>
      <c r="E5110" s="1">
        <v>18.239999999999998</v>
      </c>
      <c r="F5110" s="2"/>
      <c r="G5110" s="1"/>
      <c r="H5110" s="3"/>
      <c r="I5110" s="14" t="s">
        <v>2177</v>
      </c>
    </row>
    <row r="5111" spans="1:9" ht="18.75" customHeight="1" x14ac:dyDescent="0.4">
      <c r="A5111" s="14" t="s">
        <v>5599</v>
      </c>
      <c r="B5111" s="16" t="str">
        <f>TRIM("長吉車庫出入道路拡張用地")</f>
        <v>長吉車庫出入道路拡張用地</v>
      </c>
      <c r="C5111" s="14" t="s">
        <v>1524</v>
      </c>
      <c r="D5111" s="14" t="s">
        <v>300</v>
      </c>
      <c r="E5111" s="1">
        <v>31.9</v>
      </c>
      <c r="F5111" s="2"/>
      <c r="G5111" s="1"/>
      <c r="H5111" s="3"/>
      <c r="I5111" s="14" t="s">
        <v>5349</v>
      </c>
    </row>
    <row r="5112" spans="1:9" ht="18.75" customHeight="1" x14ac:dyDescent="0.4">
      <c r="A5112" s="14" t="s">
        <v>6530</v>
      </c>
      <c r="B5112" s="16" t="str">
        <f>TRIM("長吉六反第1住宅")</f>
        <v>長吉六反第1住宅</v>
      </c>
      <c r="C5112" s="14" t="s">
        <v>1524</v>
      </c>
      <c r="D5112" s="14" t="s">
        <v>316</v>
      </c>
      <c r="E5112" s="1">
        <v>15339.11</v>
      </c>
      <c r="F5112" s="2"/>
      <c r="G5112" s="1">
        <v>25408.81</v>
      </c>
      <c r="H5112" s="3"/>
      <c r="I5112" s="14" t="s">
        <v>6177</v>
      </c>
    </row>
    <row r="5113" spans="1:9" ht="18.75" customHeight="1" x14ac:dyDescent="0.4">
      <c r="A5113" s="14" t="s">
        <v>3387</v>
      </c>
      <c r="B5113" s="16" t="str">
        <f>TRIM("　六反赤坂公園")</f>
        <v>六反赤坂公園</v>
      </c>
      <c r="C5113" s="14" t="s">
        <v>1524</v>
      </c>
      <c r="D5113" s="14" t="s">
        <v>316</v>
      </c>
      <c r="E5113" s="1">
        <v>1101.94</v>
      </c>
      <c r="F5113" s="2"/>
      <c r="G5113" s="1"/>
      <c r="H5113" s="3"/>
      <c r="I5113" s="14" t="s">
        <v>2177</v>
      </c>
    </row>
    <row r="5114" spans="1:9" ht="18.75" customHeight="1" x14ac:dyDescent="0.4">
      <c r="A5114" s="14" t="s">
        <v>3511</v>
      </c>
      <c r="B5114" s="16" t="str">
        <f>TRIM("六反さくら公園")</f>
        <v>六反さくら公園</v>
      </c>
      <c r="C5114" s="14" t="s">
        <v>1524</v>
      </c>
      <c r="D5114" s="14" t="s">
        <v>316</v>
      </c>
      <c r="E5114" s="1">
        <v>10000.24</v>
      </c>
      <c r="F5114" s="2"/>
      <c r="G5114" s="1"/>
      <c r="H5114" s="3"/>
      <c r="I5114" s="14" t="s">
        <v>2177</v>
      </c>
    </row>
    <row r="5115" spans="1:9" ht="18.75" customHeight="1" x14ac:dyDescent="0.4">
      <c r="A5115" s="14" t="s">
        <v>3705</v>
      </c>
      <c r="B5115" s="16" t="str">
        <f>TRIM("六反さくら公園")</f>
        <v>六反さくら公園</v>
      </c>
      <c r="C5115" s="14" t="s">
        <v>1524</v>
      </c>
      <c r="D5115" s="14" t="s">
        <v>316</v>
      </c>
      <c r="E5115" s="1"/>
      <c r="F5115" s="2"/>
      <c r="G5115" s="1">
        <v>22.44</v>
      </c>
      <c r="H5115" s="3"/>
      <c r="I5115" s="14" t="s">
        <v>2177</v>
      </c>
    </row>
    <row r="5116" spans="1:9" ht="18.75" customHeight="1" x14ac:dyDescent="0.4">
      <c r="A5116" s="14" t="s">
        <v>5751</v>
      </c>
      <c r="B5116" s="16" t="str">
        <f>TRIM("長吉六反保育園")</f>
        <v>長吉六反保育園</v>
      </c>
      <c r="C5116" s="14" t="s">
        <v>1524</v>
      </c>
      <c r="D5116" s="14" t="s">
        <v>316</v>
      </c>
      <c r="E5116" s="1">
        <v>1303.01</v>
      </c>
      <c r="F5116" s="2"/>
      <c r="G5116" s="1"/>
      <c r="H5116" s="3"/>
      <c r="I5116" s="14" t="s">
        <v>5617</v>
      </c>
    </row>
    <row r="5117" spans="1:9" ht="18.75" customHeight="1" x14ac:dyDescent="0.4">
      <c r="A5117" s="14" t="s">
        <v>4669</v>
      </c>
      <c r="B5117" s="16" t="str">
        <f>TRIM("六反会館")</f>
        <v>六反会館</v>
      </c>
      <c r="C5117" s="14" t="s">
        <v>1524</v>
      </c>
      <c r="D5117" s="14" t="s">
        <v>967</v>
      </c>
      <c r="E5117" s="1">
        <v>400.06</v>
      </c>
      <c r="F5117" s="2"/>
      <c r="G5117" s="1">
        <v>342.59</v>
      </c>
      <c r="H5117" s="3"/>
      <c r="I5117" s="14" t="s">
        <v>1990</v>
      </c>
    </row>
    <row r="5118" spans="1:9" ht="18.75" customHeight="1" x14ac:dyDescent="0.4">
      <c r="A5118" s="14" t="s">
        <v>4978</v>
      </c>
      <c r="B5118" s="16" t="str">
        <f>TRIM("長吉南小学校")</f>
        <v>長吉南小学校</v>
      </c>
      <c r="C5118" s="14" t="s">
        <v>1524</v>
      </c>
      <c r="D5118" s="14" t="s">
        <v>702</v>
      </c>
      <c r="E5118" s="1">
        <v>8956.74</v>
      </c>
      <c r="F5118" s="2"/>
      <c r="G5118" s="1">
        <v>6958.49</v>
      </c>
      <c r="H5118" s="3"/>
      <c r="I5118" s="14" t="s">
        <v>4689</v>
      </c>
    </row>
    <row r="5119" spans="1:9" ht="18.75" customHeight="1" x14ac:dyDescent="0.4">
      <c r="A5119" s="14" t="s">
        <v>5301</v>
      </c>
      <c r="B5119" s="16" t="str">
        <f>TRIM("平野消防署仮設倉庫")</f>
        <v>平野消防署仮設倉庫</v>
      </c>
      <c r="C5119" s="14" t="s">
        <v>1524</v>
      </c>
      <c r="D5119" s="14" t="s">
        <v>702</v>
      </c>
      <c r="E5119" s="1">
        <v>605.04999999999995</v>
      </c>
      <c r="F5119" s="2"/>
      <c r="G5119" s="1">
        <v>85.84</v>
      </c>
      <c r="H5119" s="3"/>
      <c r="I5119" s="14" t="s">
        <v>5219</v>
      </c>
    </row>
    <row r="5120" spans="1:9" ht="18.75" customHeight="1" x14ac:dyDescent="0.4">
      <c r="A5120" s="14" t="s">
        <v>3386</v>
      </c>
      <c r="B5120" s="16" t="str">
        <f>TRIM("　六反西公園")</f>
        <v>六反西公園</v>
      </c>
      <c r="C5120" s="14" t="s">
        <v>1524</v>
      </c>
      <c r="D5120" s="14" t="s">
        <v>702</v>
      </c>
      <c r="E5120" s="1">
        <v>1176.0999999999999</v>
      </c>
      <c r="F5120" s="2"/>
      <c r="G5120" s="1"/>
      <c r="H5120" s="3"/>
      <c r="I5120" s="14" t="s">
        <v>2177</v>
      </c>
    </row>
    <row r="5121" spans="1:9" ht="18.75" customHeight="1" x14ac:dyDescent="0.4">
      <c r="A5121" s="14" t="s">
        <v>3389</v>
      </c>
      <c r="B5121" s="16" t="str">
        <f>TRIM("　六反南公園")</f>
        <v>六反南公園</v>
      </c>
      <c r="C5121" s="14" t="s">
        <v>1524</v>
      </c>
      <c r="D5121" s="14" t="s">
        <v>702</v>
      </c>
      <c r="E5121" s="1">
        <v>1000.14</v>
      </c>
      <c r="F5121" s="2"/>
      <c r="G5121" s="1"/>
      <c r="H5121" s="3"/>
      <c r="I5121" s="14" t="s">
        <v>2177</v>
      </c>
    </row>
    <row r="5122" spans="1:9" ht="18.75" customHeight="1" x14ac:dyDescent="0.4">
      <c r="A5122" s="14" t="s">
        <v>6212</v>
      </c>
      <c r="B5122" s="16" t="str">
        <f>TRIM("長吉長原東第2住宅")</f>
        <v>長吉長原東第2住宅</v>
      </c>
      <c r="C5122" s="14" t="s">
        <v>1524</v>
      </c>
      <c r="D5122" s="14" t="s">
        <v>702</v>
      </c>
      <c r="E5122" s="1">
        <v>2955.56</v>
      </c>
      <c r="F5122" s="2"/>
      <c r="G5122" s="1"/>
      <c r="H5122" s="3"/>
      <c r="I5122" s="14" t="s">
        <v>6177</v>
      </c>
    </row>
    <row r="5123" spans="1:9" ht="18.75" customHeight="1" x14ac:dyDescent="0.4">
      <c r="A5123" s="14" t="s">
        <v>4980</v>
      </c>
      <c r="B5123" s="16" t="str">
        <f>TRIM("長吉六反中学校")</f>
        <v>長吉六反中学校</v>
      </c>
      <c r="C5123" s="14" t="s">
        <v>1524</v>
      </c>
      <c r="D5123" s="14" t="s">
        <v>395</v>
      </c>
      <c r="E5123" s="1">
        <v>16608.419999999998</v>
      </c>
      <c r="F5123" s="2"/>
      <c r="G5123" s="1">
        <v>7627.03</v>
      </c>
      <c r="H5123" s="3"/>
      <c r="I5123" s="14" t="s">
        <v>4689</v>
      </c>
    </row>
    <row r="5124" spans="1:9" ht="18.75" customHeight="1" x14ac:dyDescent="0.4">
      <c r="A5124" s="14" t="s">
        <v>6532</v>
      </c>
      <c r="B5124" s="16" t="str">
        <f>TRIM("長吉六反北住宅")</f>
        <v>長吉六反北住宅</v>
      </c>
      <c r="C5124" s="14" t="s">
        <v>1524</v>
      </c>
      <c r="D5124" s="14" t="s">
        <v>395</v>
      </c>
      <c r="E5124" s="1">
        <v>13470.5</v>
      </c>
      <c r="F5124" s="2"/>
      <c r="G5124" s="1">
        <v>21539.48</v>
      </c>
      <c r="H5124" s="3"/>
      <c r="I5124" s="14" t="s">
        <v>6177</v>
      </c>
    </row>
    <row r="5125" spans="1:9" ht="18.75" customHeight="1" x14ac:dyDescent="0.4">
      <c r="A5125" s="14" t="s">
        <v>1902</v>
      </c>
      <c r="B5125" s="16" t="str">
        <f>TRIM("長吉六反地域在宅サービスステーション")</f>
        <v>長吉六反地域在宅サービスステーション</v>
      </c>
      <c r="C5125" s="14" t="s">
        <v>1524</v>
      </c>
      <c r="D5125" s="14" t="s">
        <v>395</v>
      </c>
      <c r="E5125" s="1">
        <v>600</v>
      </c>
      <c r="F5125" s="2"/>
      <c r="G5125" s="1"/>
      <c r="H5125" s="3"/>
      <c r="I5125" s="14" t="s">
        <v>1654</v>
      </c>
    </row>
    <row r="5126" spans="1:9" ht="18.75" customHeight="1" x14ac:dyDescent="0.4">
      <c r="A5126" s="14" t="s">
        <v>3388</v>
      </c>
      <c r="B5126" s="16" t="str">
        <f>TRIM("　六反東公園")</f>
        <v>六反東公園</v>
      </c>
      <c r="C5126" s="14" t="s">
        <v>1524</v>
      </c>
      <c r="D5126" s="14" t="s">
        <v>395</v>
      </c>
      <c r="E5126" s="1">
        <v>1459.3</v>
      </c>
      <c r="F5126" s="2"/>
      <c r="G5126" s="1"/>
      <c r="H5126" s="3"/>
      <c r="I5126" s="14" t="s">
        <v>2177</v>
      </c>
    </row>
    <row r="5127" spans="1:9" ht="18.75" customHeight="1" x14ac:dyDescent="0.4">
      <c r="A5127" s="14" t="s">
        <v>5315</v>
      </c>
      <c r="B5127" s="16" t="str">
        <f>TRIM("防火水槽用地（平野）")</f>
        <v>防火水槽用地（平野）</v>
      </c>
      <c r="C5127" s="14" t="s">
        <v>1524</v>
      </c>
      <c r="D5127" s="14" t="s">
        <v>395</v>
      </c>
      <c r="E5127" s="1">
        <v>83.51</v>
      </c>
      <c r="F5127" s="2"/>
      <c r="G5127" s="1"/>
      <c r="H5127" s="3"/>
      <c r="I5127" s="14" t="s">
        <v>5219</v>
      </c>
    </row>
    <row r="5128" spans="1:9" ht="18.75" customHeight="1" x14ac:dyDescent="0.4">
      <c r="A5128" s="14" t="s">
        <v>6231</v>
      </c>
      <c r="B5128" s="16" t="str">
        <f>TRIM("もと長吉六反北住宅")</f>
        <v>もと長吉六反北住宅</v>
      </c>
      <c r="C5128" s="14" t="s">
        <v>1524</v>
      </c>
      <c r="D5128" s="14" t="s">
        <v>395</v>
      </c>
      <c r="E5128" s="1">
        <v>4.4400000000000004</v>
      </c>
      <c r="F5128" s="2"/>
      <c r="G5128" s="1"/>
      <c r="H5128" s="3"/>
      <c r="I5128" s="14" t="s">
        <v>6177</v>
      </c>
    </row>
    <row r="5129" spans="1:9" ht="18.75" customHeight="1" x14ac:dyDescent="0.4">
      <c r="A5129" s="14" t="s">
        <v>4979</v>
      </c>
      <c r="B5129" s="16" t="str">
        <f>TRIM("もと長吉六反小学校")</f>
        <v>もと長吉六反小学校</v>
      </c>
      <c r="C5129" s="14" t="s">
        <v>1524</v>
      </c>
      <c r="D5129" s="14" t="s">
        <v>526</v>
      </c>
      <c r="E5129" s="1">
        <v>9630</v>
      </c>
      <c r="F5129" s="2">
        <v>1741</v>
      </c>
      <c r="G5129" s="1">
        <v>5907.77</v>
      </c>
      <c r="H5129" s="3" t="s">
        <v>7353</v>
      </c>
      <c r="I5129" s="14" t="s">
        <v>4689</v>
      </c>
    </row>
    <row r="5130" spans="1:9" ht="18.75" customHeight="1" x14ac:dyDescent="0.4">
      <c r="A5130" s="14" t="s">
        <v>5658</v>
      </c>
      <c r="B5130" s="16" t="str">
        <f>TRIM("もと六反幼稚園")</f>
        <v>もと六反幼稚園</v>
      </c>
      <c r="C5130" s="14" t="s">
        <v>1524</v>
      </c>
      <c r="D5130" s="14" t="s">
        <v>526</v>
      </c>
      <c r="E5130" s="1">
        <v>1914</v>
      </c>
      <c r="F5130" s="2">
        <v>2119</v>
      </c>
      <c r="G5130" s="1">
        <v>884.04</v>
      </c>
      <c r="H5130" s="3"/>
      <c r="I5130" s="14" t="s">
        <v>5617</v>
      </c>
    </row>
    <row r="5131" spans="1:9" ht="18.75" customHeight="1" x14ac:dyDescent="0.4">
      <c r="A5131" s="14" t="s">
        <v>6531</v>
      </c>
      <c r="B5131" s="16" t="str">
        <f>TRIM("長吉六反東住宅")</f>
        <v>長吉六反東住宅</v>
      </c>
      <c r="C5131" s="14" t="s">
        <v>1524</v>
      </c>
      <c r="D5131" s="14" t="s">
        <v>526</v>
      </c>
      <c r="E5131" s="1">
        <v>56544.72</v>
      </c>
      <c r="F5131" s="2" t="s">
        <v>7314</v>
      </c>
      <c r="G5131" s="1">
        <v>28704.51</v>
      </c>
      <c r="H5131" s="3"/>
      <c r="I5131" s="14" t="s">
        <v>6177</v>
      </c>
    </row>
    <row r="5132" spans="1:9" ht="18.75" customHeight="1" x14ac:dyDescent="0.4">
      <c r="A5132" s="14" t="s">
        <v>2095</v>
      </c>
      <c r="B5132" s="16" t="str">
        <f>TRIM("長吉東部老人憩の家")</f>
        <v>長吉東部老人憩の家</v>
      </c>
      <c r="C5132" s="14" t="s">
        <v>1524</v>
      </c>
      <c r="D5132" s="14" t="s">
        <v>526</v>
      </c>
      <c r="E5132" s="1">
        <v>359.92</v>
      </c>
      <c r="F5132" s="2"/>
      <c r="G5132" s="1">
        <v>205.77</v>
      </c>
      <c r="H5132" s="3"/>
      <c r="I5132" s="14" t="s">
        <v>1990</v>
      </c>
    </row>
    <row r="5133" spans="1:9" ht="18.75" customHeight="1" x14ac:dyDescent="0.4">
      <c r="A5133" s="14" t="s">
        <v>5764</v>
      </c>
      <c r="B5133" s="16" t="str">
        <f>TRIM("六反南保育園")</f>
        <v>六反南保育園</v>
      </c>
      <c r="C5133" s="14" t="s">
        <v>1524</v>
      </c>
      <c r="D5133" s="14" t="s">
        <v>526</v>
      </c>
      <c r="E5133" s="1">
        <v>955.08</v>
      </c>
      <c r="F5133" s="2"/>
      <c r="G5133" s="1"/>
      <c r="H5133" s="3"/>
      <c r="I5133" s="14" t="s">
        <v>5617</v>
      </c>
    </row>
    <row r="5134" spans="1:9" ht="18.75" customHeight="1" x14ac:dyDescent="0.4">
      <c r="A5134" s="14" t="s">
        <v>6778</v>
      </c>
      <c r="B5134" s="16" t="str">
        <f>TRIM("長吉六反東第1住宅")</f>
        <v>長吉六反東第1住宅</v>
      </c>
      <c r="C5134" s="14" t="s">
        <v>1524</v>
      </c>
      <c r="D5134" s="14" t="s">
        <v>526</v>
      </c>
      <c r="E5134" s="1"/>
      <c r="F5134" s="2"/>
      <c r="G5134" s="1">
        <v>14964.14</v>
      </c>
      <c r="H5134" s="3"/>
      <c r="I5134" s="14" t="s">
        <v>6177</v>
      </c>
    </row>
    <row r="5135" spans="1:9" ht="18.75" customHeight="1" x14ac:dyDescent="0.4">
      <c r="A5135" s="14" t="s">
        <v>3898</v>
      </c>
      <c r="B5135" s="16" t="str">
        <f>TRIM("地下鉄平野駅自転車駐車場管理ボックス")</f>
        <v>地下鉄平野駅自転車駐車場管理ボックス</v>
      </c>
      <c r="C5135" s="14" t="s">
        <v>1524</v>
      </c>
      <c r="D5135" s="14" t="s">
        <v>1499</v>
      </c>
      <c r="E5135" s="1"/>
      <c r="F5135" s="2"/>
      <c r="G5135" s="1">
        <v>3.89</v>
      </c>
      <c r="H5135" s="3"/>
      <c r="I5135" s="14" t="s">
        <v>2177</v>
      </c>
    </row>
    <row r="5136" spans="1:9" ht="18.75" customHeight="1" x14ac:dyDescent="0.4">
      <c r="A5136" s="14" t="s">
        <v>6059</v>
      </c>
      <c r="B5136" s="16" t="str">
        <f>TRIM("もと平野詰所")</f>
        <v>もと平野詰所</v>
      </c>
      <c r="C5136" s="14" t="s">
        <v>1524</v>
      </c>
      <c r="D5136" s="14" t="s">
        <v>184</v>
      </c>
      <c r="E5136" s="1">
        <v>893.89</v>
      </c>
      <c r="F5136" s="2">
        <v>933</v>
      </c>
      <c r="G5136" s="1"/>
      <c r="H5136" s="3"/>
      <c r="I5136" s="14" t="s">
        <v>5977</v>
      </c>
    </row>
    <row r="5137" spans="1:9" ht="18.75" customHeight="1" x14ac:dyDescent="0.4">
      <c r="A5137" s="14" t="s">
        <v>2131</v>
      </c>
      <c r="B5137" s="16" t="str">
        <f>TRIM("平野西老人憩の家")</f>
        <v>平野西老人憩の家</v>
      </c>
      <c r="C5137" s="14" t="s">
        <v>1524</v>
      </c>
      <c r="D5137" s="14" t="s">
        <v>184</v>
      </c>
      <c r="E5137" s="1">
        <v>259.24</v>
      </c>
      <c r="F5137" s="2"/>
      <c r="G5137" s="1"/>
      <c r="H5137" s="3"/>
      <c r="I5137" s="14" t="s">
        <v>1990</v>
      </c>
    </row>
    <row r="5138" spans="1:9" ht="18.75" customHeight="1" x14ac:dyDescent="0.4">
      <c r="A5138" s="14" t="s">
        <v>5432</v>
      </c>
      <c r="B5138" s="16" t="str">
        <f>TRIM("もと平野住宅（児童遊園）")</f>
        <v>もと平野住宅（児童遊園）</v>
      </c>
      <c r="C5138" s="14" t="s">
        <v>1524</v>
      </c>
      <c r="D5138" s="14" t="s">
        <v>184</v>
      </c>
      <c r="E5138" s="1">
        <v>971.97</v>
      </c>
      <c r="F5138" s="2"/>
      <c r="G5138" s="1"/>
      <c r="H5138" s="3"/>
      <c r="I5138" s="14" t="s">
        <v>5349</v>
      </c>
    </row>
    <row r="5139" spans="1:9" ht="18.75" customHeight="1" x14ac:dyDescent="0.4">
      <c r="A5139" s="14" t="s">
        <v>2945</v>
      </c>
      <c r="B5139" s="16" t="str">
        <f>TRIM("　西脇公園")</f>
        <v>西脇公園</v>
      </c>
      <c r="C5139" s="14" t="s">
        <v>1524</v>
      </c>
      <c r="D5139" s="14" t="s">
        <v>1120</v>
      </c>
      <c r="E5139" s="1">
        <v>1257.78</v>
      </c>
      <c r="F5139" s="2"/>
      <c r="G5139" s="1"/>
      <c r="H5139" s="3"/>
      <c r="I5139" s="14" t="s">
        <v>2177</v>
      </c>
    </row>
    <row r="5140" spans="1:9" ht="18.75" customHeight="1" x14ac:dyDescent="0.4">
      <c r="A5140" s="14" t="s">
        <v>5431</v>
      </c>
      <c r="B5140" s="16" t="str">
        <f>TRIM("もと平野住宅（コミュニティ用地等）")</f>
        <v>もと平野住宅（コミュニティ用地等）</v>
      </c>
      <c r="C5140" s="14" t="s">
        <v>1524</v>
      </c>
      <c r="D5140" s="14" t="s">
        <v>183</v>
      </c>
      <c r="E5140" s="1">
        <v>270.2</v>
      </c>
      <c r="F5140" s="2"/>
      <c r="G5140" s="1"/>
      <c r="H5140" s="3"/>
      <c r="I5140" s="14" t="s">
        <v>5349</v>
      </c>
    </row>
    <row r="5141" spans="1:9" ht="18.75" customHeight="1" x14ac:dyDescent="0.4">
      <c r="A5141" s="14" t="s">
        <v>2735</v>
      </c>
      <c r="B5141" s="16" t="str">
        <f>TRIM("　坂上公園")</f>
        <v>坂上公園</v>
      </c>
      <c r="C5141" s="14" t="s">
        <v>1524</v>
      </c>
      <c r="D5141" s="14" t="s">
        <v>1054</v>
      </c>
      <c r="E5141" s="1">
        <v>1266.0999999999999</v>
      </c>
      <c r="F5141" s="2"/>
      <c r="G5141" s="1"/>
      <c r="H5141" s="3"/>
      <c r="I5141" s="14" t="s">
        <v>2177</v>
      </c>
    </row>
    <row r="5142" spans="1:9" ht="18.75" customHeight="1" x14ac:dyDescent="0.4">
      <c r="A5142" s="14" t="s">
        <v>1609</v>
      </c>
      <c r="B5142" s="16" t="str">
        <f>TRIM("もと平野地区公共施設建設用地")</f>
        <v>もと平野地区公共施設建設用地</v>
      </c>
      <c r="C5142" s="14" t="s">
        <v>1524</v>
      </c>
      <c r="D5142" s="14" t="s">
        <v>103</v>
      </c>
      <c r="E5142" s="1">
        <v>110.49</v>
      </c>
      <c r="F5142" s="2">
        <v>734</v>
      </c>
      <c r="G5142" s="1"/>
      <c r="H5142" s="3"/>
      <c r="I5142" s="14" t="s">
        <v>1598</v>
      </c>
    </row>
    <row r="5143" spans="1:9" ht="18.75" customHeight="1" x14ac:dyDescent="0.4">
      <c r="A5143" s="14" t="s">
        <v>5175</v>
      </c>
      <c r="B5143" s="16" t="str">
        <f>TRIM("もと平野青少年会館")</f>
        <v>もと平野青少年会館</v>
      </c>
      <c r="C5143" s="14" t="s">
        <v>1524</v>
      </c>
      <c r="D5143" s="14" t="s">
        <v>103</v>
      </c>
      <c r="E5143" s="1">
        <v>3508.38</v>
      </c>
      <c r="F5143" s="2">
        <v>1153</v>
      </c>
      <c r="G5143" s="1">
        <v>2565.39</v>
      </c>
      <c r="H5143" s="3"/>
      <c r="I5143" s="14" t="s">
        <v>4689</v>
      </c>
    </row>
    <row r="5144" spans="1:9" ht="18.75" customHeight="1" x14ac:dyDescent="0.4">
      <c r="A5144" s="14" t="s">
        <v>2650</v>
      </c>
      <c r="B5144" s="16" t="str">
        <f>TRIM("　京町公園")</f>
        <v>京町公園</v>
      </c>
      <c r="C5144" s="14" t="s">
        <v>1524</v>
      </c>
      <c r="D5144" s="14" t="s">
        <v>103</v>
      </c>
      <c r="E5144" s="1">
        <v>1254.3499999999999</v>
      </c>
      <c r="F5144" s="2" t="s">
        <v>7306</v>
      </c>
      <c r="G5144" s="1"/>
      <c r="H5144" s="3"/>
      <c r="I5144" s="14" t="s">
        <v>2177</v>
      </c>
    </row>
    <row r="5145" spans="1:9" ht="18.75" customHeight="1" x14ac:dyDescent="0.4">
      <c r="A5145" s="14" t="s">
        <v>6641</v>
      </c>
      <c r="B5145" s="16" t="str">
        <f>TRIM("平野市町住宅")</f>
        <v>平野市町住宅</v>
      </c>
      <c r="C5145" s="14" t="s">
        <v>1524</v>
      </c>
      <c r="D5145" s="14" t="s">
        <v>103</v>
      </c>
      <c r="E5145" s="1">
        <v>6506.15</v>
      </c>
      <c r="F5145" s="2"/>
      <c r="G5145" s="1">
        <v>8692.4599999999991</v>
      </c>
      <c r="H5145" s="3"/>
      <c r="I5145" s="14" t="s">
        <v>6177</v>
      </c>
    </row>
    <row r="5146" spans="1:9" ht="18.75" customHeight="1" x14ac:dyDescent="0.4">
      <c r="A5146" s="14" t="s">
        <v>1671</v>
      </c>
      <c r="B5146" s="16" t="str">
        <f>TRIM("平野地区共同浴場")</f>
        <v>平野地区共同浴場</v>
      </c>
      <c r="C5146" s="14" t="s">
        <v>1524</v>
      </c>
      <c r="D5146" s="14" t="s">
        <v>103</v>
      </c>
      <c r="E5146" s="1">
        <v>957.63</v>
      </c>
      <c r="F5146" s="2"/>
      <c r="G5146" s="1"/>
      <c r="H5146" s="3"/>
      <c r="I5146" s="14" t="s">
        <v>1654</v>
      </c>
    </row>
    <row r="5147" spans="1:9" ht="18.75" customHeight="1" x14ac:dyDescent="0.4">
      <c r="A5147" s="14" t="s">
        <v>1774</v>
      </c>
      <c r="B5147" s="16" t="str">
        <f>TRIM("もと地域活動支援プラザ平野")</f>
        <v>もと地域活動支援プラザ平野</v>
      </c>
      <c r="C5147" s="14" t="s">
        <v>1524</v>
      </c>
      <c r="D5147" s="14" t="s">
        <v>103</v>
      </c>
      <c r="E5147" s="1">
        <v>2.19</v>
      </c>
      <c r="F5147" s="2"/>
      <c r="G5147" s="1"/>
      <c r="H5147" s="3"/>
      <c r="I5147" s="14" t="s">
        <v>1654</v>
      </c>
    </row>
    <row r="5148" spans="1:9" ht="18.75" customHeight="1" x14ac:dyDescent="0.4">
      <c r="A5148" s="14" t="s">
        <v>5923</v>
      </c>
      <c r="B5148" s="16" t="str">
        <f>TRIM("キッズコート平野東保育園")</f>
        <v>キッズコート平野東保育園</v>
      </c>
      <c r="C5148" s="14" t="s">
        <v>1524</v>
      </c>
      <c r="D5148" s="14" t="s">
        <v>103</v>
      </c>
      <c r="E5148" s="1">
        <v>1991.09</v>
      </c>
      <c r="F5148" s="2"/>
      <c r="G5148" s="1"/>
      <c r="H5148" s="3"/>
      <c r="I5148" s="14" t="s">
        <v>5617</v>
      </c>
    </row>
    <row r="5149" spans="1:9" ht="18.75" customHeight="1" x14ac:dyDescent="0.4">
      <c r="A5149" s="14" t="s">
        <v>6240</v>
      </c>
      <c r="B5149" s="16" t="str">
        <f>TRIM("平野市町住宅")</f>
        <v>平野市町住宅</v>
      </c>
      <c r="C5149" s="14" t="s">
        <v>1524</v>
      </c>
      <c r="D5149" s="14" t="s">
        <v>103</v>
      </c>
      <c r="E5149" s="1">
        <v>461.04</v>
      </c>
      <c r="F5149" s="2"/>
      <c r="G5149" s="1"/>
      <c r="H5149" s="3"/>
      <c r="I5149" s="14" t="s">
        <v>6177</v>
      </c>
    </row>
    <row r="5150" spans="1:9" ht="18.75" customHeight="1" x14ac:dyDescent="0.4">
      <c r="A5150" s="14" t="s">
        <v>6642</v>
      </c>
      <c r="B5150" s="16" t="str">
        <f>TRIM("平野第2住宅")</f>
        <v>平野第2住宅</v>
      </c>
      <c r="C5150" s="14" t="s">
        <v>1524</v>
      </c>
      <c r="D5150" s="14" t="s">
        <v>829</v>
      </c>
      <c r="E5150" s="1">
        <v>4341.5200000000004</v>
      </c>
      <c r="F5150" s="2"/>
      <c r="G5150" s="1"/>
      <c r="H5150" s="3"/>
      <c r="I5150" s="14" t="s">
        <v>6177</v>
      </c>
    </row>
    <row r="5151" spans="1:9" ht="18.75" customHeight="1" x14ac:dyDescent="0.4">
      <c r="A5151" s="14" t="s">
        <v>4668</v>
      </c>
      <c r="B5151" s="16" t="str">
        <f>TRIM("平野連合会館")</f>
        <v>平野連合会館</v>
      </c>
      <c r="C5151" s="14" t="s">
        <v>1524</v>
      </c>
      <c r="D5151" s="14" t="s">
        <v>1471</v>
      </c>
      <c r="E5151" s="1">
        <v>366.94</v>
      </c>
      <c r="F5151" s="2"/>
      <c r="G5151" s="1">
        <v>169.98</v>
      </c>
      <c r="H5151" s="3"/>
      <c r="I5151" s="14" t="s">
        <v>1990</v>
      </c>
    </row>
    <row r="5152" spans="1:9" ht="18.75" customHeight="1" x14ac:dyDescent="0.4">
      <c r="A5152" s="14" t="s">
        <v>4101</v>
      </c>
      <c r="B5152" s="16" t="str">
        <f>TRIM("平野市町抽水所")</f>
        <v>平野市町抽水所</v>
      </c>
      <c r="C5152" s="14" t="s">
        <v>1524</v>
      </c>
      <c r="D5152" s="14" t="s">
        <v>1232</v>
      </c>
      <c r="E5152" s="1">
        <v>14448.04</v>
      </c>
      <c r="F5152" s="2"/>
      <c r="G5152" s="1">
        <v>5654.14</v>
      </c>
      <c r="H5152" s="3"/>
      <c r="I5152" s="14" t="s">
        <v>2177</v>
      </c>
    </row>
    <row r="5153" spans="1:9" ht="18.75" customHeight="1" x14ac:dyDescent="0.4">
      <c r="A5153" s="14" t="s">
        <v>3270</v>
      </c>
      <c r="B5153" s="16" t="str">
        <f>TRIM("　平野北公園")</f>
        <v>平野北公園</v>
      </c>
      <c r="C5153" s="14" t="s">
        <v>1524</v>
      </c>
      <c r="D5153" s="14" t="s">
        <v>1232</v>
      </c>
      <c r="E5153" s="1">
        <v>3474</v>
      </c>
      <c r="F5153" s="2"/>
      <c r="G5153" s="1"/>
      <c r="H5153" s="3"/>
      <c r="I5153" s="14" t="s">
        <v>2177</v>
      </c>
    </row>
    <row r="5154" spans="1:9" ht="18.75" customHeight="1" x14ac:dyDescent="0.4">
      <c r="A5154" s="14" t="s">
        <v>6161</v>
      </c>
      <c r="B5154" s="16" t="str">
        <f>TRIM("平野市町霊園")</f>
        <v>平野市町霊園</v>
      </c>
      <c r="C5154" s="14" t="s">
        <v>1524</v>
      </c>
      <c r="D5154" s="14" t="s">
        <v>666</v>
      </c>
      <c r="E5154" s="1">
        <v>1390.19</v>
      </c>
      <c r="F5154" s="2"/>
      <c r="G5154" s="1"/>
      <c r="H5154" s="3"/>
      <c r="I5154" s="14" t="s">
        <v>5977</v>
      </c>
    </row>
    <row r="5155" spans="1:9" ht="18.75" customHeight="1" x14ac:dyDescent="0.4">
      <c r="A5155" s="14" t="s">
        <v>3984</v>
      </c>
      <c r="B5155" s="16" t="str">
        <f>TRIM(" 平野工営所")</f>
        <v>平野工営所</v>
      </c>
      <c r="C5155" s="14" t="s">
        <v>1524</v>
      </c>
      <c r="D5155" s="14" t="s">
        <v>1303</v>
      </c>
      <c r="E5155" s="1"/>
      <c r="F5155" s="2"/>
      <c r="G5155" s="1">
        <v>5042.13</v>
      </c>
      <c r="H5155" s="3"/>
      <c r="I5155" s="14" t="s">
        <v>2177</v>
      </c>
    </row>
    <row r="5156" spans="1:9" ht="18.75" customHeight="1" x14ac:dyDescent="0.4">
      <c r="A5156" s="14" t="s">
        <v>3986</v>
      </c>
      <c r="B5156" s="16" t="str">
        <f>TRIM("平野工営所")</f>
        <v>平野工営所</v>
      </c>
      <c r="C5156" s="14" t="s">
        <v>1524</v>
      </c>
      <c r="D5156" s="14" t="s">
        <v>1303</v>
      </c>
      <c r="E5156" s="1">
        <v>2703.45</v>
      </c>
      <c r="F5156" s="2"/>
      <c r="G5156" s="1"/>
      <c r="H5156" s="3"/>
      <c r="I5156" s="14" t="s">
        <v>2177</v>
      </c>
    </row>
    <row r="5157" spans="1:9" ht="18.75" customHeight="1" x14ac:dyDescent="0.4">
      <c r="A5157" s="14" t="s">
        <v>4918</v>
      </c>
      <c r="B5157" s="16" t="str">
        <f>TRIM("摂陽中学校")</f>
        <v>摂陽中学校</v>
      </c>
      <c r="C5157" s="14" t="s">
        <v>1524</v>
      </c>
      <c r="D5157" s="14" t="s">
        <v>1230</v>
      </c>
      <c r="E5157" s="1">
        <v>15912.55</v>
      </c>
      <c r="F5157" s="2"/>
      <c r="G5157" s="1">
        <v>7463.97</v>
      </c>
      <c r="H5157" s="3"/>
      <c r="I5157" s="14" t="s">
        <v>4689</v>
      </c>
    </row>
    <row r="5158" spans="1:9" ht="18.75" customHeight="1" x14ac:dyDescent="0.4">
      <c r="A5158" s="14" t="s">
        <v>3267</v>
      </c>
      <c r="B5158" s="16" t="str">
        <f>TRIM("　平野西公園")</f>
        <v>平野西公園</v>
      </c>
      <c r="C5158" s="14" t="s">
        <v>1524</v>
      </c>
      <c r="D5158" s="14" t="s">
        <v>1230</v>
      </c>
      <c r="E5158" s="1">
        <v>8802</v>
      </c>
      <c r="F5158" s="2"/>
      <c r="G5158" s="1"/>
      <c r="H5158" s="3"/>
      <c r="I5158" s="14" t="s">
        <v>2177</v>
      </c>
    </row>
    <row r="5159" spans="1:9" ht="18.75" customHeight="1" x14ac:dyDescent="0.4">
      <c r="A5159" s="14" t="s">
        <v>3671</v>
      </c>
      <c r="B5159" s="16" t="str">
        <f>TRIM("　平野西公園")</f>
        <v>平野西公園</v>
      </c>
      <c r="C5159" s="14" t="s">
        <v>1524</v>
      </c>
      <c r="D5159" s="14" t="s">
        <v>1230</v>
      </c>
      <c r="E5159" s="1"/>
      <c r="F5159" s="2"/>
      <c r="G5159" s="1">
        <v>21.12</v>
      </c>
      <c r="H5159" s="3"/>
      <c r="I5159" s="14" t="s">
        <v>2177</v>
      </c>
    </row>
    <row r="5160" spans="1:9" ht="18.75" customHeight="1" x14ac:dyDescent="0.4">
      <c r="A5160" s="14" t="s">
        <v>6002</v>
      </c>
      <c r="B5160" s="16" t="str">
        <f>TRIM("大気汚染常時監視測定局（摂陽中学校）")</f>
        <v>大気汚染常時監視測定局（摂陽中学校）</v>
      </c>
      <c r="C5160" s="14" t="s">
        <v>1524</v>
      </c>
      <c r="D5160" s="14" t="s">
        <v>1230</v>
      </c>
      <c r="E5160" s="1"/>
      <c r="F5160" s="2"/>
      <c r="G5160" s="1">
        <v>18.399999999999999</v>
      </c>
      <c r="H5160" s="3"/>
      <c r="I5160" s="14" t="s">
        <v>5977</v>
      </c>
    </row>
    <row r="5161" spans="1:9" ht="18.75" customHeight="1" x14ac:dyDescent="0.4">
      <c r="A5161" s="14" t="s">
        <v>2415</v>
      </c>
      <c r="B5161" s="16" t="str">
        <f>TRIM("平野元町ポンプ場")</f>
        <v>平野元町ポンプ場</v>
      </c>
      <c r="C5161" s="14" t="s">
        <v>1524</v>
      </c>
      <c r="D5161" s="14" t="s">
        <v>1481</v>
      </c>
      <c r="E5161" s="1"/>
      <c r="F5161" s="2"/>
      <c r="G5161" s="1">
        <v>120.88</v>
      </c>
      <c r="H5161" s="3"/>
      <c r="I5161" s="14" t="s">
        <v>2177</v>
      </c>
    </row>
    <row r="5162" spans="1:9" ht="18.75" customHeight="1" x14ac:dyDescent="0.4">
      <c r="A5162" s="14" t="s">
        <v>2416</v>
      </c>
      <c r="B5162" s="16" t="str">
        <f>TRIM("平野馬場ポンプ場")</f>
        <v>平野馬場ポンプ場</v>
      </c>
      <c r="C5162" s="14" t="s">
        <v>1524</v>
      </c>
      <c r="D5162" s="14" t="s">
        <v>1481</v>
      </c>
      <c r="E5162" s="1"/>
      <c r="F5162" s="2"/>
      <c r="G5162" s="1">
        <v>56.59</v>
      </c>
      <c r="H5162" s="3"/>
      <c r="I5162" s="14" t="s">
        <v>2177</v>
      </c>
    </row>
    <row r="5163" spans="1:9" ht="18.75" customHeight="1" x14ac:dyDescent="0.4">
      <c r="A5163" s="14" t="s">
        <v>5207</v>
      </c>
      <c r="B5163" s="16" t="str">
        <f>TRIM("平野図書館")</f>
        <v>平野図書館</v>
      </c>
      <c r="C5163" s="14" t="s">
        <v>1524</v>
      </c>
      <c r="D5163" s="14" t="s">
        <v>1446</v>
      </c>
      <c r="E5163" s="1">
        <v>2071.2600000000002</v>
      </c>
      <c r="F5163" s="2"/>
      <c r="G5163" s="1">
        <v>1599.43</v>
      </c>
      <c r="H5163" s="3"/>
      <c r="I5163" s="14" t="s">
        <v>4689</v>
      </c>
    </row>
    <row r="5164" spans="1:9" ht="18.75" customHeight="1" x14ac:dyDescent="0.4">
      <c r="A5164" s="14" t="s">
        <v>1962</v>
      </c>
      <c r="B5164" s="16" t="str">
        <f>TRIM("特別養護老人ホーム平野愛和・平野区在宅サービスセンター")</f>
        <v>特別養護老人ホーム平野愛和・平野区在宅サービスセンター</v>
      </c>
      <c r="C5164" s="14" t="s">
        <v>1524</v>
      </c>
      <c r="D5164" s="14" t="s">
        <v>63</v>
      </c>
      <c r="E5164" s="1">
        <v>1114.28</v>
      </c>
      <c r="F5164" s="2"/>
      <c r="G5164" s="1"/>
      <c r="H5164" s="3"/>
      <c r="I5164" s="14" t="s">
        <v>1654</v>
      </c>
    </row>
    <row r="5165" spans="1:9" ht="18.75" customHeight="1" x14ac:dyDescent="0.4">
      <c r="A5165" s="14" t="s">
        <v>3266</v>
      </c>
      <c r="B5165" s="16" t="str">
        <f>TRIM("　平野公園")</f>
        <v>平野公園</v>
      </c>
      <c r="C5165" s="14" t="s">
        <v>1524</v>
      </c>
      <c r="D5165" s="14" t="s">
        <v>63</v>
      </c>
      <c r="E5165" s="1">
        <v>19428.55</v>
      </c>
      <c r="F5165" s="2"/>
      <c r="G5165" s="1"/>
      <c r="H5165" s="3"/>
      <c r="I5165" s="14" t="s">
        <v>2177</v>
      </c>
    </row>
    <row r="5166" spans="1:9" ht="18.75" customHeight="1" x14ac:dyDescent="0.4">
      <c r="A5166" s="14" t="s">
        <v>3670</v>
      </c>
      <c r="B5166" s="16" t="str">
        <f>TRIM("　平野公園")</f>
        <v>平野公園</v>
      </c>
      <c r="C5166" s="14" t="s">
        <v>1524</v>
      </c>
      <c r="D5166" s="14" t="s">
        <v>63</v>
      </c>
      <c r="E5166" s="1"/>
      <c r="F5166" s="2"/>
      <c r="G5166" s="1">
        <v>70.010000000000005</v>
      </c>
      <c r="H5166" s="3"/>
      <c r="I5166" s="14" t="s">
        <v>2177</v>
      </c>
    </row>
    <row r="5167" spans="1:9" ht="18.75" customHeight="1" x14ac:dyDescent="0.4">
      <c r="A5167" s="14" t="s">
        <v>7080</v>
      </c>
      <c r="B5167" s="16" t="str">
        <f>TRIM("平野小売市場民営活性化事業施設")</f>
        <v>平野小売市場民営活性化事業施設</v>
      </c>
      <c r="C5167" s="14" t="s">
        <v>1524</v>
      </c>
      <c r="D5167" s="14" t="s">
        <v>63</v>
      </c>
      <c r="E5167" s="1">
        <v>317.01</v>
      </c>
      <c r="F5167" s="2"/>
      <c r="G5167" s="1"/>
      <c r="H5167" s="3"/>
      <c r="I5167" s="14" t="s">
        <v>4115</v>
      </c>
    </row>
    <row r="5168" spans="1:9" ht="18.75" customHeight="1" x14ac:dyDescent="0.4">
      <c r="A5168" s="14" t="s">
        <v>4667</v>
      </c>
      <c r="B5168" s="16" t="str">
        <f>TRIM("平野西会館")</f>
        <v>平野西会館</v>
      </c>
      <c r="C5168" s="14" t="s">
        <v>1524</v>
      </c>
      <c r="D5168" s="14" t="s">
        <v>598</v>
      </c>
      <c r="E5168" s="1">
        <v>464.56</v>
      </c>
      <c r="F5168" s="2"/>
      <c r="G5168" s="1">
        <v>108</v>
      </c>
      <c r="H5168" s="3"/>
      <c r="I5168" s="14" t="s">
        <v>1990</v>
      </c>
    </row>
    <row r="5169" spans="1:9" ht="18.75" customHeight="1" x14ac:dyDescent="0.4">
      <c r="A5169" s="14" t="s">
        <v>5922</v>
      </c>
      <c r="B5169" s="16" t="str">
        <f>TRIM("平野西保育所")</f>
        <v>平野西保育所</v>
      </c>
      <c r="C5169" s="14" t="s">
        <v>1524</v>
      </c>
      <c r="D5169" s="14" t="s">
        <v>598</v>
      </c>
      <c r="E5169" s="1">
        <v>836.52</v>
      </c>
      <c r="F5169" s="2"/>
      <c r="G5169" s="1">
        <v>405.82</v>
      </c>
      <c r="H5169" s="3"/>
      <c r="I5169" s="14" t="s">
        <v>5617</v>
      </c>
    </row>
    <row r="5170" spans="1:9" ht="18.75" customHeight="1" x14ac:dyDescent="0.4">
      <c r="A5170" s="14" t="s">
        <v>2246</v>
      </c>
      <c r="B5170" s="16" t="str">
        <f>TRIM("大阪羽曳野線（平野）（管財課）")</f>
        <v>大阪羽曳野線（平野）（管財課）</v>
      </c>
      <c r="C5170" s="14" t="s">
        <v>1524</v>
      </c>
      <c r="D5170" s="14" t="s">
        <v>926</v>
      </c>
      <c r="E5170" s="1">
        <v>32067.19</v>
      </c>
      <c r="F5170" s="2"/>
      <c r="G5170" s="1"/>
      <c r="H5170" s="3"/>
      <c r="I5170" s="14" t="s">
        <v>2177</v>
      </c>
    </row>
    <row r="5171" spans="1:9" ht="18.75" customHeight="1" x14ac:dyDescent="0.4">
      <c r="A5171" s="14" t="s">
        <v>5376</v>
      </c>
      <c r="B5171" s="16" t="str">
        <f>TRIM("もと警察関係土地（コミュニティ用地等）")</f>
        <v>もと警察関係土地（コミュニティ用地等）</v>
      </c>
      <c r="C5171" s="14" t="s">
        <v>1524</v>
      </c>
      <c r="D5171" s="14" t="s">
        <v>138</v>
      </c>
      <c r="E5171" s="1">
        <v>16.940000000000001</v>
      </c>
      <c r="F5171" s="2"/>
      <c r="G5171" s="1"/>
      <c r="H5171" s="3"/>
      <c r="I5171" s="14" t="s">
        <v>5349</v>
      </c>
    </row>
    <row r="5172" spans="1:9" ht="18.75" customHeight="1" x14ac:dyDescent="0.4">
      <c r="A5172" s="14" t="s">
        <v>5300</v>
      </c>
      <c r="B5172" s="16" t="str">
        <f>TRIM("平野消防署")</f>
        <v>平野消防署</v>
      </c>
      <c r="C5172" s="14" t="s">
        <v>1524</v>
      </c>
      <c r="D5172" s="14" t="s">
        <v>1233</v>
      </c>
      <c r="E5172" s="1">
        <v>2677.32</v>
      </c>
      <c r="F5172" s="2"/>
      <c r="G5172" s="1">
        <v>1323.23</v>
      </c>
      <c r="H5172" s="3"/>
      <c r="I5172" s="14" t="s">
        <v>5219</v>
      </c>
    </row>
    <row r="5173" spans="1:9" ht="18.75" customHeight="1" x14ac:dyDescent="0.4">
      <c r="A5173" s="14" t="s">
        <v>3271</v>
      </c>
      <c r="B5173" s="16" t="str">
        <f>TRIM("　平野野堂公園")</f>
        <v>平野野堂公園</v>
      </c>
      <c r="C5173" s="14" t="s">
        <v>1524</v>
      </c>
      <c r="D5173" s="14" t="s">
        <v>1233</v>
      </c>
      <c r="E5173" s="1">
        <v>1000</v>
      </c>
      <c r="F5173" s="2"/>
      <c r="G5173" s="1"/>
      <c r="H5173" s="3"/>
      <c r="I5173" s="14" t="s">
        <v>2177</v>
      </c>
    </row>
    <row r="5174" spans="1:9" ht="18.75" customHeight="1" x14ac:dyDescent="0.4">
      <c r="A5174" s="14" t="s">
        <v>4665</v>
      </c>
      <c r="B5174" s="16" t="str">
        <f>TRIM("平野区民ホール")</f>
        <v>平野区民ホール</v>
      </c>
      <c r="C5174" s="14" t="s">
        <v>1524</v>
      </c>
      <c r="D5174" s="14" t="s">
        <v>1233</v>
      </c>
      <c r="E5174" s="1"/>
      <c r="F5174" s="2"/>
      <c r="G5174" s="1">
        <v>1088.44</v>
      </c>
      <c r="H5174" s="3"/>
      <c r="I5174" s="14" t="s">
        <v>1990</v>
      </c>
    </row>
    <row r="5175" spans="1:9" ht="18.75" customHeight="1" x14ac:dyDescent="0.4">
      <c r="A5175" s="14" t="s">
        <v>5340</v>
      </c>
      <c r="B5175" s="16" t="str">
        <f>TRIM("もと平野災害待機宿舎")</f>
        <v>もと平野災害待機宿舎</v>
      </c>
      <c r="C5175" s="14" t="s">
        <v>1524</v>
      </c>
      <c r="D5175" s="14" t="s">
        <v>1233</v>
      </c>
      <c r="E5175" s="1"/>
      <c r="F5175" s="2"/>
      <c r="G5175" s="1">
        <v>93.24</v>
      </c>
      <c r="H5175" s="3"/>
      <c r="I5175" s="14" t="s">
        <v>5219</v>
      </c>
    </row>
    <row r="5176" spans="1:9" ht="18.75" customHeight="1" x14ac:dyDescent="0.4">
      <c r="A5176" s="14" t="s">
        <v>5085</v>
      </c>
      <c r="B5176" s="16" t="str">
        <f>TRIM("平野南小学校")</f>
        <v>平野南小学校</v>
      </c>
      <c r="C5176" s="14" t="s">
        <v>1524</v>
      </c>
      <c r="D5176" s="14" t="s">
        <v>1436</v>
      </c>
      <c r="E5176" s="1">
        <v>8881</v>
      </c>
      <c r="F5176" s="2"/>
      <c r="G5176" s="1">
        <v>6128.53</v>
      </c>
      <c r="H5176" s="3"/>
      <c r="I5176" s="14" t="s">
        <v>4689</v>
      </c>
    </row>
    <row r="5177" spans="1:9" ht="18.75" customHeight="1" x14ac:dyDescent="0.4">
      <c r="A5177" s="14" t="s">
        <v>6162</v>
      </c>
      <c r="B5177" s="16" t="str">
        <f>TRIM("平野霊園")</f>
        <v>平野霊園</v>
      </c>
      <c r="C5177" s="14" t="s">
        <v>1524</v>
      </c>
      <c r="D5177" s="14" t="s">
        <v>351</v>
      </c>
      <c r="E5177" s="1">
        <v>3043.97</v>
      </c>
      <c r="F5177" s="2"/>
      <c r="G5177" s="1">
        <v>3.1</v>
      </c>
      <c r="H5177" s="3"/>
      <c r="I5177" s="14" t="s">
        <v>5977</v>
      </c>
    </row>
    <row r="5178" spans="1:9" ht="18.75" customHeight="1" x14ac:dyDescent="0.4">
      <c r="A5178" s="14" t="s">
        <v>6643</v>
      </c>
      <c r="B5178" s="16" t="str">
        <f>TRIM("平野東住宅")</f>
        <v>平野東住宅</v>
      </c>
      <c r="C5178" s="14" t="s">
        <v>1524</v>
      </c>
      <c r="D5178" s="14" t="s">
        <v>351</v>
      </c>
      <c r="E5178" s="1">
        <v>20912.599999999999</v>
      </c>
      <c r="F5178" s="2"/>
      <c r="G5178" s="1">
        <v>27243.67</v>
      </c>
      <c r="H5178" s="3"/>
      <c r="I5178" s="14" t="s">
        <v>6177</v>
      </c>
    </row>
    <row r="5179" spans="1:9" ht="18.75" customHeight="1" x14ac:dyDescent="0.4">
      <c r="A5179" s="14" t="s">
        <v>6995</v>
      </c>
      <c r="B5179" s="16" t="str">
        <f>TRIM("平野南倉庫")</f>
        <v>平野南倉庫</v>
      </c>
      <c r="C5179" s="14" t="s">
        <v>1524</v>
      </c>
      <c r="D5179" s="14" t="s">
        <v>351</v>
      </c>
      <c r="E5179" s="1">
        <v>331.93</v>
      </c>
      <c r="F5179" s="2"/>
      <c r="G5179" s="1">
        <v>560.16</v>
      </c>
      <c r="H5179" s="3"/>
      <c r="I5179" s="14" t="s">
        <v>2402</v>
      </c>
    </row>
    <row r="5180" spans="1:9" ht="18.75" customHeight="1" x14ac:dyDescent="0.4">
      <c r="A5180" s="14" t="s">
        <v>2132</v>
      </c>
      <c r="B5180" s="16" t="str">
        <f>TRIM("平野南会館老人憩の家")</f>
        <v>平野南会館老人憩の家</v>
      </c>
      <c r="C5180" s="14" t="s">
        <v>1524</v>
      </c>
      <c r="D5180" s="14" t="s">
        <v>351</v>
      </c>
      <c r="E5180" s="1">
        <v>242.15</v>
      </c>
      <c r="F5180" s="2"/>
      <c r="G5180" s="1"/>
      <c r="H5180" s="3"/>
      <c r="I5180" s="14" t="s">
        <v>1990</v>
      </c>
    </row>
    <row r="5181" spans="1:9" ht="18.75" customHeight="1" x14ac:dyDescent="0.4">
      <c r="A5181" s="14" t="s">
        <v>3268</v>
      </c>
      <c r="B5181" s="16" t="str">
        <f>TRIM("　平野南公園")</f>
        <v>平野南公園</v>
      </c>
      <c r="C5181" s="14" t="s">
        <v>1524</v>
      </c>
      <c r="D5181" s="14" t="s">
        <v>351</v>
      </c>
      <c r="E5181" s="1">
        <v>4865.6000000000004</v>
      </c>
      <c r="F5181" s="2"/>
      <c r="G5181" s="1"/>
      <c r="H5181" s="3"/>
      <c r="I5181" s="14" t="s">
        <v>2177</v>
      </c>
    </row>
    <row r="5182" spans="1:9" ht="18.75" customHeight="1" x14ac:dyDescent="0.4">
      <c r="A5182" s="14" t="s">
        <v>7131</v>
      </c>
      <c r="B5182" s="16" t="str">
        <f>TRIM("平野スポーツセンター")</f>
        <v>平野スポーツセンター</v>
      </c>
      <c r="C5182" s="14" t="s">
        <v>1524</v>
      </c>
      <c r="D5182" s="14" t="s">
        <v>86</v>
      </c>
      <c r="E5182" s="1">
        <v>6070.66</v>
      </c>
      <c r="F5182" s="2"/>
      <c r="G5182" s="1">
        <v>3978.94</v>
      </c>
      <c r="H5182" s="3"/>
      <c r="I5182" s="14" t="s">
        <v>4115</v>
      </c>
    </row>
    <row r="5183" spans="1:9" ht="18.75" customHeight="1" x14ac:dyDescent="0.4">
      <c r="A5183" s="14" t="s">
        <v>7132</v>
      </c>
      <c r="B5183" s="16" t="str">
        <f>TRIM("平野屋内プール")</f>
        <v>平野屋内プール</v>
      </c>
      <c r="C5183" s="14" t="s">
        <v>1524</v>
      </c>
      <c r="D5183" s="14" t="s">
        <v>86</v>
      </c>
      <c r="E5183" s="1"/>
      <c r="F5183" s="2"/>
      <c r="G5183" s="1">
        <v>7330.03</v>
      </c>
      <c r="H5183" s="3"/>
      <c r="I5183" s="14" t="s">
        <v>4115</v>
      </c>
    </row>
    <row r="5184" spans="1:9" ht="18.75" customHeight="1" x14ac:dyDescent="0.4">
      <c r="A5184" s="14" t="s">
        <v>5082</v>
      </c>
      <c r="B5184" s="16" t="str">
        <f>TRIM("平野小学校")</f>
        <v>平野小学校</v>
      </c>
      <c r="C5184" s="14" t="s">
        <v>1524</v>
      </c>
      <c r="D5184" s="14" t="s">
        <v>283</v>
      </c>
      <c r="E5184" s="1">
        <v>10087.51</v>
      </c>
      <c r="F5184" s="2"/>
      <c r="G5184" s="1">
        <v>9241.32</v>
      </c>
      <c r="H5184" s="3"/>
      <c r="I5184" s="14" t="s">
        <v>4689</v>
      </c>
    </row>
    <row r="5185" spans="1:9" ht="18.75" customHeight="1" x14ac:dyDescent="0.4">
      <c r="A5185" s="14" t="s">
        <v>5086</v>
      </c>
      <c r="B5185" s="16" t="str">
        <f>TRIM("平野北中学校")</f>
        <v>平野北中学校</v>
      </c>
      <c r="C5185" s="14" t="s">
        <v>1524</v>
      </c>
      <c r="D5185" s="14" t="s">
        <v>283</v>
      </c>
      <c r="E5185" s="1">
        <v>16700.62</v>
      </c>
      <c r="F5185" s="2"/>
      <c r="G5185" s="1">
        <v>11952.4</v>
      </c>
      <c r="H5185" s="3"/>
      <c r="I5185" s="14" t="s">
        <v>4689</v>
      </c>
    </row>
    <row r="5186" spans="1:9" ht="18.75" customHeight="1" x14ac:dyDescent="0.4">
      <c r="A5186" s="14" t="s">
        <v>2673</v>
      </c>
      <c r="B5186" s="16" t="str">
        <f>TRIM("　元六公園")</f>
        <v>元六公園</v>
      </c>
      <c r="C5186" s="14" t="s">
        <v>1524</v>
      </c>
      <c r="D5186" s="14" t="s">
        <v>283</v>
      </c>
      <c r="E5186" s="1">
        <v>534.47</v>
      </c>
      <c r="F5186" s="2"/>
      <c r="G5186" s="1"/>
      <c r="H5186" s="3"/>
      <c r="I5186" s="14" t="s">
        <v>2177</v>
      </c>
    </row>
    <row r="5187" spans="1:9" ht="18.75" customHeight="1" x14ac:dyDescent="0.4">
      <c r="A5187" s="14" t="s">
        <v>2695</v>
      </c>
      <c r="B5187" s="16" t="str">
        <f>TRIM("　杭全公園")</f>
        <v>杭全公園</v>
      </c>
      <c r="C5187" s="14" t="s">
        <v>1524</v>
      </c>
      <c r="D5187" s="14" t="s">
        <v>283</v>
      </c>
      <c r="E5187" s="1">
        <v>13090.02</v>
      </c>
      <c r="F5187" s="2"/>
      <c r="G5187" s="1"/>
      <c r="H5187" s="3"/>
      <c r="I5187" s="14" t="s">
        <v>2177</v>
      </c>
    </row>
    <row r="5188" spans="1:9" ht="18.75" customHeight="1" x14ac:dyDescent="0.4">
      <c r="A5188" s="14" t="s">
        <v>3764</v>
      </c>
      <c r="B5188" s="16" t="str">
        <f>TRIM("ＪＲ平野駅南管理ボックス")</f>
        <v>ＪＲ平野駅南管理ボックス</v>
      </c>
      <c r="C5188" s="14" t="s">
        <v>1524</v>
      </c>
      <c r="D5188" s="14" t="s">
        <v>283</v>
      </c>
      <c r="E5188" s="1"/>
      <c r="F5188" s="2"/>
      <c r="G5188" s="1">
        <v>12.96</v>
      </c>
      <c r="H5188" s="3"/>
      <c r="I5188" s="14" t="s">
        <v>2177</v>
      </c>
    </row>
    <row r="5189" spans="1:9" ht="18.75" customHeight="1" x14ac:dyDescent="0.4">
      <c r="A5189" s="14" t="s">
        <v>5565</v>
      </c>
      <c r="B5189" s="16" t="str">
        <f>TRIM("平野署平野宮町交通詰所")</f>
        <v>平野署平野宮町交通詰所</v>
      </c>
      <c r="C5189" s="14" t="s">
        <v>1524</v>
      </c>
      <c r="D5189" s="14" t="s">
        <v>283</v>
      </c>
      <c r="E5189" s="1">
        <v>46.28</v>
      </c>
      <c r="F5189" s="2"/>
      <c r="G5189" s="1"/>
      <c r="H5189" s="3"/>
      <c r="I5189" s="14" t="s">
        <v>5349</v>
      </c>
    </row>
    <row r="5190" spans="1:9" ht="18.75" customHeight="1" x14ac:dyDescent="0.4">
      <c r="A5190" s="14" t="s">
        <v>2133</v>
      </c>
      <c r="B5190" s="16" t="str">
        <f>TRIM("平野老人憩の家")</f>
        <v>平野老人憩の家</v>
      </c>
      <c r="C5190" s="14" t="s">
        <v>1524</v>
      </c>
      <c r="D5190" s="14" t="s">
        <v>271</v>
      </c>
      <c r="E5190" s="1">
        <v>209.45</v>
      </c>
      <c r="F5190" s="2"/>
      <c r="G5190" s="1"/>
      <c r="H5190" s="3"/>
      <c r="I5190" s="14" t="s">
        <v>1990</v>
      </c>
    </row>
    <row r="5191" spans="1:9" ht="18.75" customHeight="1" x14ac:dyDescent="0.4">
      <c r="A5191" s="14" t="s">
        <v>2479</v>
      </c>
      <c r="B5191" s="16" t="str">
        <f>TRIM("河川敷（平野）")</f>
        <v>河川敷（平野）</v>
      </c>
      <c r="C5191" s="14" t="s">
        <v>1524</v>
      </c>
      <c r="D5191" s="14" t="s">
        <v>271</v>
      </c>
      <c r="E5191" s="1">
        <v>7836.44</v>
      </c>
      <c r="F5191" s="2"/>
      <c r="G5191" s="1"/>
      <c r="H5191" s="3"/>
      <c r="I5191" s="14" t="s">
        <v>2177</v>
      </c>
    </row>
    <row r="5192" spans="1:9" ht="18.75" customHeight="1" x14ac:dyDescent="0.4">
      <c r="A5192" s="14" t="s">
        <v>2492</v>
      </c>
      <c r="B5192" s="16" t="str">
        <f>TRIM("平野川河川敷代替地")</f>
        <v>平野川河川敷代替地</v>
      </c>
      <c r="C5192" s="14" t="s">
        <v>1524</v>
      </c>
      <c r="D5192" s="14" t="s">
        <v>271</v>
      </c>
      <c r="E5192" s="1">
        <v>218.04</v>
      </c>
      <c r="F5192" s="2"/>
      <c r="G5192" s="1"/>
      <c r="H5192" s="3"/>
      <c r="I5192" s="14" t="s">
        <v>2177</v>
      </c>
    </row>
    <row r="5193" spans="1:9" ht="18.75" customHeight="1" x14ac:dyDescent="0.4">
      <c r="A5193" s="14" t="s">
        <v>5553</v>
      </c>
      <c r="B5193" s="16" t="str">
        <f>TRIM("廃道（平野）")</f>
        <v>廃道（平野）</v>
      </c>
      <c r="C5193" s="14" t="s">
        <v>1524</v>
      </c>
      <c r="D5193" s="14" t="s">
        <v>271</v>
      </c>
      <c r="E5193" s="1">
        <v>5.46</v>
      </c>
      <c r="F5193" s="2"/>
      <c r="G5193" s="1"/>
      <c r="H5193" s="3"/>
      <c r="I5193" s="14" t="s">
        <v>5349</v>
      </c>
    </row>
    <row r="5194" spans="1:9" ht="18.75" customHeight="1" x14ac:dyDescent="0.4">
      <c r="A5194" s="14" t="s">
        <v>3762</v>
      </c>
      <c r="B5194" s="16" t="str">
        <f>TRIM("ＪＲ平野駅自転車駐車場")</f>
        <v>ＪＲ平野駅自転車駐車場</v>
      </c>
      <c r="C5194" s="14" t="s">
        <v>1524</v>
      </c>
      <c r="D5194" s="14" t="s">
        <v>282</v>
      </c>
      <c r="E5194" s="1">
        <v>833.9</v>
      </c>
      <c r="F5194" s="2"/>
      <c r="G5194" s="1">
        <v>1013.76</v>
      </c>
      <c r="H5194" s="3"/>
      <c r="I5194" s="14" t="s">
        <v>2177</v>
      </c>
    </row>
    <row r="5195" spans="1:9" ht="18.75" customHeight="1" x14ac:dyDescent="0.4">
      <c r="A5195" s="14" t="s">
        <v>2336</v>
      </c>
      <c r="B5195" s="16" t="str">
        <f>TRIM("平野守口線（平野）（管財課）")</f>
        <v>平野守口線（平野）（管財課）</v>
      </c>
      <c r="C5195" s="14" t="s">
        <v>1524</v>
      </c>
      <c r="D5195" s="14" t="s">
        <v>282</v>
      </c>
      <c r="E5195" s="1">
        <v>1619.96</v>
      </c>
      <c r="F5195" s="2"/>
      <c r="G5195" s="1"/>
      <c r="H5195" s="3"/>
      <c r="I5195" s="14" t="s">
        <v>2177</v>
      </c>
    </row>
    <row r="5196" spans="1:9" ht="18.75" customHeight="1" x14ac:dyDescent="0.4">
      <c r="A5196" s="14" t="s">
        <v>3763</v>
      </c>
      <c r="B5196" s="16" t="str">
        <f>TRIM("ＪＲ平野駅西管理ボックス")</f>
        <v>ＪＲ平野駅西管理ボックス</v>
      </c>
      <c r="C5196" s="14" t="s">
        <v>1524</v>
      </c>
      <c r="D5196" s="14" t="s">
        <v>282</v>
      </c>
      <c r="E5196" s="1"/>
      <c r="F5196" s="2"/>
      <c r="G5196" s="1">
        <v>1.44</v>
      </c>
      <c r="H5196" s="3"/>
      <c r="I5196" s="14" t="s">
        <v>2177</v>
      </c>
    </row>
    <row r="5197" spans="1:9" ht="18.75" customHeight="1" x14ac:dyDescent="0.4">
      <c r="A5197" s="14" t="s">
        <v>4670</v>
      </c>
      <c r="B5197" s="16" t="str">
        <f>TRIM("元町センター")</f>
        <v>元町センター</v>
      </c>
      <c r="C5197" s="14" t="s">
        <v>1524</v>
      </c>
      <c r="D5197" s="14" t="s">
        <v>282</v>
      </c>
      <c r="E5197" s="1">
        <v>704.55</v>
      </c>
      <c r="F5197" s="2"/>
      <c r="G5197" s="1"/>
      <c r="H5197" s="3"/>
      <c r="I5197" s="14" t="s">
        <v>1990</v>
      </c>
    </row>
    <row r="5198" spans="1:9" ht="18.75" customHeight="1" x14ac:dyDescent="0.4">
      <c r="A5198" s="14" t="s">
        <v>6422</v>
      </c>
      <c r="B5198" s="16" t="str">
        <f>TRIM("松之宮住宅")</f>
        <v>松之宮住宅</v>
      </c>
      <c r="C5198" s="14" t="s">
        <v>1521</v>
      </c>
      <c r="D5198" s="14" t="s">
        <v>577</v>
      </c>
      <c r="E5198" s="1">
        <v>6697.96</v>
      </c>
      <c r="F5198" s="2"/>
      <c r="G5198" s="1">
        <v>6521.33</v>
      </c>
      <c r="H5198" s="3"/>
      <c r="I5198" s="14" t="s">
        <v>6177</v>
      </c>
    </row>
    <row r="5199" spans="1:9" ht="18.75" customHeight="1" x14ac:dyDescent="0.4">
      <c r="A5199" s="14" t="s">
        <v>5869</v>
      </c>
      <c r="B5199" s="16" t="str">
        <f>TRIM("松之宮保育所")</f>
        <v>松之宮保育所</v>
      </c>
      <c r="C5199" s="14" t="s">
        <v>1521</v>
      </c>
      <c r="D5199" s="14" t="s">
        <v>577</v>
      </c>
      <c r="E5199" s="1">
        <v>2660.83</v>
      </c>
      <c r="F5199" s="2"/>
      <c r="G5199" s="1">
        <v>1378.74</v>
      </c>
      <c r="H5199" s="3"/>
      <c r="I5199" s="14" t="s">
        <v>5617</v>
      </c>
    </row>
    <row r="5200" spans="1:9" ht="18.75" customHeight="1" x14ac:dyDescent="0.4">
      <c r="A5200" s="14" t="s">
        <v>2446</v>
      </c>
      <c r="B5200" s="16" t="str">
        <f>TRIM("津守阿倍野線")</f>
        <v>津守阿倍野線</v>
      </c>
      <c r="C5200" s="14" t="s">
        <v>1521</v>
      </c>
      <c r="D5200" s="14" t="s">
        <v>577</v>
      </c>
      <c r="E5200" s="1">
        <v>1036.07</v>
      </c>
      <c r="F5200" s="2"/>
      <c r="G5200" s="1"/>
      <c r="H5200" s="3"/>
      <c r="I5200" s="14" t="s">
        <v>2177</v>
      </c>
    </row>
    <row r="5201" spans="1:9" ht="18.75" customHeight="1" x14ac:dyDescent="0.4">
      <c r="A5201" s="14" t="s">
        <v>6235</v>
      </c>
      <c r="B5201" s="16" t="str">
        <f>TRIM("松之宮住宅")</f>
        <v>松之宮住宅</v>
      </c>
      <c r="C5201" s="14" t="s">
        <v>1521</v>
      </c>
      <c r="D5201" s="14" t="s">
        <v>577</v>
      </c>
      <c r="E5201" s="1">
        <v>677.1</v>
      </c>
      <c r="F5201" s="2" t="s">
        <v>7355</v>
      </c>
      <c r="G5201" s="1"/>
      <c r="H5201" s="3"/>
      <c r="I5201" s="14" t="s">
        <v>6177</v>
      </c>
    </row>
    <row r="5202" spans="1:9" ht="18.75" customHeight="1" x14ac:dyDescent="0.4">
      <c r="A5202" s="14" t="s">
        <v>5834</v>
      </c>
      <c r="B5202" s="16" t="str">
        <f>TRIM("もと松之宮保育所")</f>
        <v>もと松之宮保育所</v>
      </c>
      <c r="C5202" s="14" t="s">
        <v>1521</v>
      </c>
      <c r="D5202" s="14" t="s">
        <v>322</v>
      </c>
      <c r="E5202" s="1">
        <v>2699.73</v>
      </c>
      <c r="F5202" s="2">
        <v>743</v>
      </c>
      <c r="G5202" s="1"/>
      <c r="H5202" s="3"/>
      <c r="I5202" s="14" t="s">
        <v>5617</v>
      </c>
    </row>
    <row r="5203" spans="1:9" ht="18.75" customHeight="1" x14ac:dyDescent="0.4">
      <c r="A5203" s="14" t="s">
        <v>6877</v>
      </c>
      <c r="B5203" s="16" t="str">
        <f>TRIM("旭住宅地区改良事業")</f>
        <v>旭住宅地区改良事業</v>
      </c>
      <c r="C5203" s="14" t="s">
        <v>1521</v>
      </c>
      <c r="D5203" s="14" t="s">
        <v>322</v>
      </c>
      <c r="E5203" s="1">
        <v>176.08</v>
      </c>
      <c r="F5203" s="2" t="s">
        <v>7361</v>
      </c>
      <c r="G5203" s="1"/>
      <c r="H5203" s="3"/>
      <c r="I5203" s="14" t="s">
        <v>6177</v>
      </c>
    </row>
    <row r="5204" spans="1:9" ht="18.75" customHeight="1" x14ac:dyDescent="0.4">
      <c r="A5204" s="14" t="s">
        <v>4862</v>
      </c>
      <c r="B5204" s="16" t="str">
        <f>TRIM("もと松之宮小学校")</f>
        <v>もと松之宮小学校</v>
      </c>
      <c r="C5204" s="14" t="s">
        <v>1521</v>
      </c>
      <c r="D5204" s="14" t="s">
        <v>322</v>
      </c>
      <c r="E5204" s="1">
        <v>10436.780000000001</v>
      </c>
      <c r="F5204" s="2">
        <v>1961</v>
      </c>
      <c r="G5204" s="1">
        <v>6091.99</v>
      </c>
      <c r="H5204" s="3" t="s">
        <v>7353</v>
      </c>
      <c r="I5204" s="14" t="s">
        <v>4689</v>
      </c>
    </row>
    <row r="5205" spans="1:9" ht="18.75" customHeight="1" x14ac:dyDescent="0.4">
      <c r="A5205" s="14" t="s">
        <v>6878</v>
      </c>
      <c r="B5205" s="16" t="str">
        <f>TRIM("旭住宅地区改良事業用地")</f>
        <v>旭住宅地区改良事業用地</v>
      </c>
      <c r="C5205" s="14" t="s">
        <v>1521</v>
      </c>
      <c r="D5205" s="14" t="s">
        <v>322</v>
      </c>
      <c r="E5205" s="1">
        <v>1759.99</v>
      </c>
      <c r="F5205" s="2" t="s">
        <v>7356</v>
      </c>
      <c r="G5205" s="1"/>
      <c r="H5205" s="3"/>
      <c r="I5205" s="14" t="s">
        <v>6177</v>
      </c>
    </row>
    <row r="5206" spans="1:9" ht="18.75" customHeight="1" x14ac:dyDescent="0.4">
      <c r="A5206" s="14" t="s">
        <v>1656</v>
      </c>
      <c r="B5206" s="16" t="str">
        <f>TRIM("もと松之宮授産場")</f>
        <v>もと松之宮授産場</v>
      </c>
      <c r="C5206" s="14" t="s">
        <v>1521</v>
      </c>
      <c r="D5206" s="14" t="s">
        <v>322</v>
      </c>
      <c r="E5206" s="1">
        <v>442.75</v>
      </c>
      <c r="F5206" s="2"/>
      <c r="G5206" s="1"/>
      <c r="H5206" s="3"/>
      <c r="I5206" s="14" t="s">
        <v>1654</v>
      </c>
    </row>
    <row r="5207" spans="1:9" ht="18.75" customHeight="1" x14ac:dyDescent="0.4">
      <c r="A5207" s="14" t="s">
        <v>2553</v>
      </c>
      <c r="B5207" s="16" t="str">
        <f>TRIM("　旭西公園")</f>
        <v>旭西公園</v>
      </c>
      <c r="C5207" s="14" t="s">
        <v>1521</v>
      </c>
      <c r="D5207" s="14" t="s">
        <v>322</v>
      </c>
      <c r="E5207" s="1">
        <v>868.25</v>
      </c>
      <c r="F5207" s="2"/>
      <c r="G5207" s="1"/>
      <c r="H5207" s="3"/>
      <c r="I5207" s="14" t="s">
        <v>2177</v>
      </c>
    </row>
    <row r="5208" spans="1:9" ht="18.75" customHeight="1" x14ac:dyDescent="0.4">
      <c r="A5208" s="14" t="s">
        <v>1691</v>
      </c>
      <c r="B5208" s="16" t="str">
        <f>TRIM("もとあいりん臨時夜間緊急避難所")</f>
        <v>もとあいりん臨時夜間緊急避難所</v>
      </c>
      <c r="C5208" s="14" t="s">
        <v>1521</v>
      </c>
      <c r="D5208" s="14" t="s">
        <v>339</v>
      </c>
      <c r="E5208" s="1">
        <v>1903.6</v>
      </c>
      <c r="F5208" s="2"/>
      <c r="G5208" s="1"/>
      <c r="H5208" s="3"/>
      <c r="I5208" s="14" t="s">
        <v>1654</v>
      </c>
    </row>
    <row r="5209" spans="1:9" ht="18.75" customHeight="1" x14ac:dyDescent="0.4">
      <c r="A5209" s="14" t="s">
        <v>2303</v>
      </c>
      <c r="B5209" s="16" t="str">
        <f>TRIM("道路（西成）（管財課）")</f>
        <v>道路（西成）（管財課）</v>
      </c>
      <c r="C5209" s="14" t="s">
        <v>1521</v>
      </c>
      <c r="D5209" s="14" t="s">
        <v>72</v>
      </c>
      <c r="E5209" s="1">
        <v>678821.13</v>
      </c>
      <c r="F5209" s="2" t="s">
        <v>7329</v>
      </c>
      <c r="G5209" s="1"/>
      <c r="H5209" s="3"/>
      <c r="I5209" s="14" t="s">
        <v>2177</v>
      </c>
    </row>
    <row r="5210" spans="1:9" ht="18.75" customHeight="1" x14ac:dyDescent="0.4">
      <c r="A5210" s="14" t="s">
        <v>4675</v>
      </c>
      <c r="B5210" s="16" t="str">
        <f>TRIM("西成区役所")</f>
        <v>西成区役所</v>
      </c>
      <c r="C5210" s="14" t="s">
        <v>1521</v>
      </c>
      <c r="D5210" s="14" t="s">
        <v>72</v>
      </c>
      <c r="E5210" s="1">
        <v>3793.73</v>
      </c>
      <c r="F5210" s="2"/>
      <c r="G5210" s="1">
        <v>11009.04</v>
      </c>
      <c r="H5210" s="3"/>
      <c r="I5210" s="14" t="s">
        <v>1687</v>
      </c>
    </row>
    <row r="5211" spans="1:9" ht="18.75" customHeight="1" x14ac:dyDescent="0.4">
      <c r="A5211" s="14" t="s">
        <v>4680</v>
      </c>
      <c r="B5211" s="16" t="str">
        <f>TRIM("西成区民センター")</f>
        <v>西成区民センター</v>
      </c>
      <c r="C5211" s="14" t="s">
        <v>1521</v>
      </c>
      <c r="D5211" s="14" t="s">
        <v>72</v>
      </c>
      <c r="E5211" s="1">
        <v>2500.52</v>
      </c>
      <c r="F5211" s="2"/>
      <c r="G5211" s="1">
        <v>2338.14</v>
      </c>
      <c r="H5211" s="3"/>
      <c r="I5211" s="14" t="s">
        <v>1687</v>
      </c>
    </row>
    <row r="5212" spans="1:9" ht="18.75" customHeight="1" x14ac:dyDescent="0.4">
      <c r="A5212" s="14" t="s">
        <v>5259</v>
      </c>
      <c r="B5212" s="16" t="str">
        <f>TRIM("西成消防署")</f>
        <v>西成消防署</v>
      </c>
      <c r="C5212" s="14" t="s">
        <v>1521</v>
      </c>
      <c r="D5212" s="14" t="s">
        <v>72</v>
      </c>
      <c r="E5212" s="1">
        <v>1594.94</v>
      </c>
      <c r="F5212" s="2"/>
      <c r="G5212" s="1">
        <v>3790.84</v>
      </c>
      <c r="H5212" s="3"/>
      <c r="I5212" s="14" t="s">
        <v>5219</v>
      </c>
    </row>
    <row r="5213" spans="1:9" ht="18.75" customHeight="1" x14ac:dyDescent="0.4">
      <c r="A5213" s="14" t="s">
        <v>2198</v>
      </c>
      <c r="B5213" s="16" t="str">
        <f>TRIM("尼崎堺線（西成南）（基金）")</f>
        <v>尼崎堺線（西成南）（基金）</v>
      </c>
      <c r="C5213" s="14" t="s">
        <v>1521</v>
      </c>
      <c r="D5213" s="14" t="s">
        <v>72</v>
      </c>
      <c r="E5213" s="1">
        <v>1.99</v>
      </c>
      <c r="F5213" s="2"/>
      <c r="G5213" s="1"/>
      <c r="H5213" s="3"/>
      <c r="I5213" s="14" t="s">
        <v>2177</v>
      </c>
    </row>
    <row r="5214" spans="1:9" ht="18.75" customHeight="1" x14ac:dyDescent="0.4">
      <c r="A5214" s="14" t="s">
        <v>2413</v>
      </c>
      <c r="B5214" s="16" t="str">
        <f>TRIM("道路（西成）（道路課）")</f>
        <v>道路（西成）（道路課）</v>
      </c>
      <c r="C5214" s="14" t="s">
        <v>1521</v>
      </c>
      <c r="D5214" s="14" t="s">
        <v>72</v>
      </c>
      <c r="E5214" s="1">
        <v>61.31</v>
      </c>
      <c r="F5214" s="2"/>
      <c r="G5214" s="1"/>
      <c r="H5214" s="3"/>
      <c r="I5214" s="14" t="s">
        <v>2177</v>
      </c>
    </row>
    <row r="5215" spans="1:9" ht="18.75" customHeight="1" x14ac:dyDescent="0.4">
      <c r="A5215" s="14" t="s">
        <v>3747</v>
      </c>
      <c r="B5215" s="16" t="str">
        <f>TRIM("（地）岸里駅自転車駐車場")</f>
        <v>（地）岸里駅自転車駐車場</v>
      </c>
      <c r="C5215" s="14" t="s">
        <v>1521</v>
      </c>
      <c r="D5215" s="14" t="s">
        <v>72</v>
      </c>
      <c r="E5215" s="1"/>
      <c r="F5215" s="2"/>
      <c r="G5215" s="1">
        <v>2307.67</v>
      </c>
      <c r="H5215" s="3"/>
      <c r="I5215" s="14" t="s">
        <v>2177</v>
      </c>
    </row>
    <row r="5216" spans="1:9" ht="18.75" customHeight="1" x14ac:dyDescent="0.4">
      <c r="A5216" s="14" t="s">
        <v>3795</v>
      </c>
      <c r="B5216" s="16" t="str">
        <f>TRIM("岸里駅自転車駐車場管理事務所")</f>
        <v>岸里駅自転車駐車場管理事務所</v>
      </c>
      <c r="C5216" s="14" t="s">
        <v>1521</v>
      </c>
      <c r="D5216" s="14" t="s">
        <v>72</v>
      </c>
      <c r="E5216" s="1"/>
      <c r="F5216" s="2"/>
      <c r="G5216" s="1">
        <v>12.96</v>
      </c>
      <c r="H5216" s="3"/>
      <c r="I5216" s="14" t="s">
        <v>2177</v>
      </c>
    </row>
    <row r="5217" spans="1:9" ht="18.75" customHeight="1" x14ac:dyDescent="0.4">
      <c r="A5217" s="14" t="s">
        <v>4679</v>
      </c>
      <c r="B5217" s="16" t="str">
        <f>TRIM("西成区保健福祉センター")</f>
        <v>西成区保健福祉センター</v>
      </c>
      <c r="C5217" s="14" t="s">
        <v>1521</v>
      </c>
      <c r="D5217" s="14" t="s">
        <v>72</v>
      </c>
      <c r="E5217" s="1"/>
      <c r="F5217" s="2"/>
      <c r="G5217" s="1">
        <v>2697.08</v>
      </c>
      <c r="H5217" s="3"/>
      <c r="I5217" s="14" t="s">
        <v>1687</v>
      </c>
    </row>
    <row r="5218" spans="1:9" ht="18.75" customHeight="1" x14ac:dyDescent="0.4">
      <c r="A5218" s="14" t="s">
        <v>5195</v>
      </c>
      <c r="B5218" s="16" t="str">
        <f>TRIM("西成図書館")</f>
        <v>西成図書館</v>
      </c>
      <c r="C5218" s="14" t="s">
        <v>1521</v>
      </c>
      <c r="D5218" s="14" t="s">
        <v>72</v>
      </c>
      <c r="E5218" s="1"/>
      <c r="F5218" s="2"/>
      <c r="G5218" s="1">
        <v>607.22</v>
      </c>
      <c r="H5218" s="3"/>
      <c r="I5218" s="14" t="s">
        <v>4689</v>
      </c>
    </row>
    <row r="5219" spans="1:9" ht="18.75" customHeight="1" x14ac:dyDescent="0.4">
      <c r="A5219" s="14" t="s">
        <v>7097</v>
      </c>
      <c r="B5219" s="16" t="str">
        <f>TRIM("教育委員会関連施設用地")</f>
        <v>教育委員会関連施設用地</v>
      </c>
      <c r="C5219" s="14" t="s">
        <v>1521</v>
      </c>
      <c r="D5219" s="14" t="s">
        <v>72</v>
      </c>
      <c r="E5219" s="1">
        <v>957.97</v>
      </c>
      <c r="F5219" s="2"/>
      <c r="G5219" s="1"/>
      <c r="H5219" s="3"/>
      <c r="I5219" s="14" t="s">
        <v>4115</v>
      </c>
    </row>
    <row r="5220" spans="1:9" ht="18.75" customHeight="1" x14ac:dyDescent="0.4">
      <c r="A5220" s="14" t="s">
        <v>7121</v>
      </c>
      <c r="B5220" s="16" t="str">
        <f>TRIM("天下茶屋駅前スポーツ広場")</f>
        <v>天下茶屋駅前スポーツ広場</v>
      </c>
      <c r="C5220" s="14" t="s">
        <v>1521</v>
      </c>
      <c r="D5220" s="14" t="s">
        <v>72</v>
      </c>
      <c r="E5220" s="1">
        <v>14458.26</v>
      </c>
      <c r="F5220" s="2"/>
      <c r="G5220" s="1"/>
      <c r="H5220" s="3"/>
      <c r="I5220" s="14" t="s">
        <v>4115</v>
      </c>
    </row>
    <row r="5221" spans="1:9" ht="18.75" customHeight="1" x14ac:dyDescent="0.4">
      <c r="A5221" s="14" t="s">
        <v>2636</v>
      </c>
      <c r="B5221" s="16" t="str">
        <f>TRIM("　岸里公園")</f>
        <v>岸里公園</v>
      </c>
      <c r="C5221" s="14" t="s">
        <v>1521</v>
      </c>
      <c r="D5221" s="14" t="s">
        <v>1022</v>
      </c>
      <c r="E5221" s="1">
        <v>1790</v>
      </c>
      <c r="F5221" s="2"/>
      <c r="G5221" s="1"/>
      <c r="H5221" s="3"/>
      <c r="I5221" s="14" t="s">
        <v>2177</v>
      </c>
    </row>
    <row r="5222" spans="1:9" ht="18.75" customHeight="1" x14ac:dyDescent="0.4">
      <c r="A5222" s="14" t="s">
        <v>1784</v>
      </c>
      <c r="B5222" s="16" t="str">
        <f>TRIM("岸里老人憩の家")</f>
        <v>岸里老人憩の家</v>
      </c>
      <c r="C5222" s="14" t="s">
        <v>1521</v>
      </c>
      <c r="D5222" s="14" t="s">
        <v>439</v>
      </c>
      <c r="E5222" s="1">
        <v>219.47</v>
      </c>
      <c r="F5222" s="2"/>
      <c r="G5222" s="1">
        <v>101.2</v>
      </c>
      <c r="H5222" s="3"/>
      <c r="I5222" s="14" t="s">
        <v>1654</v>
      </c>
    </row>
    <row r="5223" spans="1:9" ht="18.75" customHeight="1" x14ac:dyDescent="0.4">
      <c r="A5223" s="14" t="s">
        <v>3179</v>
      </c>
      <c r="B5223" s="16" t="str">
        <f>TRIM("　南海公園")</f>
        <v>南海公園</v>
      </c>
      <c r="C5223" s="14" t="s">
        <v>1521</v>
      </c>
      <c r="D5223" s="14" t="s">
        <v>439</v>
      </c>
      <c r="E5223" s="1">
        <v>1373.85</v>
      </c>
      <c r="F5223" s="2"/>
      <c r="G5223" s="1"/>
      <c r="H5223" s="3"/>
      <c r="I5223" s="14" t="s">
        <v>2177</v>
      </c>
    </row>
    <row r="5224" spans="1:9" ht="18.75" customHeight="1" x14ac:dyDescent="0.4">
      <c r="A5224" s="14" t="s">
        <v>3794</v>
      </c>
      <c r="B5224" s="16" t="str">
        <f>TRIM("岸里・玉出駅自転車駐車場")</f>
        <v>岸里・玉出駅自転車駐車場</v>
      </c>
      <c r="C5224" s="14" t="s">
        <v>1521</v>
      </c>
      <c r="D5224" s="14" t="s">
        <v>439</v>
      </c>
      <c r="E5224" s="1"/>
      <c r="F5224" s="2"/>
      <c r="G5224" s="1">
        <v>944.6</v>
      </c>
      <c r="H5224" s="3"/>
      <c r="I5224" s="14" t="s">
        <v>2177</v>
      </c>
    </row>
    <row r="5225" spans="1:9" ht="18.75" customHeight="1" x14ac:dyDescent="0.4">
      <c r="A5225" s="14" t="s">
        <v>4676</v>
      </c>
      <c r="B5225" s="16" t="str">
        <f>TRIM("岸里会館")</f>
        <v>岸里会館</v>
      </c>
      <c r="C5225" s="14" t="s">
        <v>1521</v>
      </c>
      <c r="D5225" s="14" t="s">
        <v>439</v>
      </c>
      <c r="E5225" s="1"/>
      <c r="F5225" s="2"/>
      <c r="G5225" s="1">
        <v>106.55</v>
      </c>
      <c r="H5225" s="3"/>
      <c r="I5225" s="14" t="s">
        <v>1687</v>
      </c>
    </row>
    <row r="5226" spans="1:9" ht="18.75" customHeight="1" x14ac:dyDescent="0.4">
      <c r="A5226" s="14" t="s">
        <v>3102</v>
      </c>
      <c r="B5226" s="16" t="str">
        <f>TRIM("　天下茶屋公園")</f>
        <v>天下茶屋公園</v>
      </c>
      <c r="C5226" s="14" t="s">
        <v>1521</v>
      </c>
      <c r="D5226" s="14" t="s">
        <v>1174</v>
      </c>
      <c r="E5226" s="1">
        <v>8052</v>
      </c>
      <c r="F5226" s="2"/>
      <c r="G5226" s="1"/>
      <c r="H5226" s="3"/>
      <c r="I5226" s="14" t="s">
        <v>2177</v>
      </c>
    </row>
    <row r="5227" spans="1:9" ht="18.75" customHeight="1" x14ac:dyDescent="0.4">
      <c r="A5227" s="14" t="s">
        <v>6055</v>
      </c>
      <c r="B5227" s="16" t="str">
        <f>TRIM("もと西南事務所")</f>
        <v>もと西南事務所</v>
      </c>
      <c r="C5227" s="14" t="s">
        <v>1521</v>
      </c>
      <c r="D5227" s="14" t="s">
        <v>676</v>
      </c>
      <c r="E5227" s="1">
        <v>719.01</v>
      </c>
      <c r="F5227" s="2">
        <v>746</v>
      </c>
      <c r="G5227" s="1"/>
      <c r="H5227" s="3"/>
      <c r="I5227" s="14" t="s">
        <v>5977</v>
      </c>
    </row>
    <row r="5228" spans="1:9" ht="18.75" customHeight="1" x14ac:dyDescent="0.4">
      <c r="A5228" s="14" t="s">
        <v>6341</v>
      </c>
      <c r="B5228" s="16" t="str">
        <f>TRIM("岸之里住宅")</f>
        <v>岸之里住宅</v>
      </c>
      <c r="C5228" s="14" t="s">
        <v>1521</v>
      </c>
      <c r="D5228" s="14" t="s">
        <v>676</v>
      </c>
      <c r="E5228" s="1">
        <v>4343.7700000000004</v>
      </c>
      <c r="F5228" s="2"/>
      <c r="G5228" s="1">
        <v>2977.93</v>
      </c>
      <c r="H5228" s="3"/>
      <c r="I5228" s="14" t="s">
        <v>6177</v>
      </c>
    </row>
    <row r="5229" spans="1:9" ht="18.75" customHeight="1" x14ac:dyDescent="0.4">
      <c r="A5229" s="14" t="s">
        <v>3103</v>
      </c>
      <c r="B5229" s="16" t="str">
        <f>TRIM("　天下茶屋史跡公園")</f>
        <v>天下茶屋史跡公園</v>
      </c>
      <c r="C5229" s="14" t="s">
        <v>1521</v>
      </c>
      <c r="D5229" s="14" t="s">
        <v>676</v>
      </c>
      <c r="E5229" s="1">
        <v>211.71</v>
      </c>
      <c r="F5229" s="2"/>
      <c r="G5229" s="1"/>
      <c r="H5229" s="3"/>
      <c r="I5229" s="14" t="s">
        <v>2177</v>
      </c>
    </row>
    <row r="5230" spans="1:9" ht="18.75" customHeight="1" x14ac:dyDescent="0.4">
      <c r="A5230" s="14" t="s">
        <v>6250</v>
      </c>
      <c r="B5230" s="16" t="str">
        <f>TRIM("もと津守東住宅")</f>
        <v>もと津守東住宅</v>
      </c>
      <c r="C5230" s="14" t="s">
        <v>1521</v>
      </c>
      <c r="D5230" s="14" t="s">
        <v>707</v>
      </c>
      <c r="E5230" s="1">
        <v>574.67999999999995</v>
      </c>
      <c r="F5230" s="2">
        <v>749</v>
      </c>
      <c r="G5230" s="1"/>
      <c r="H5230" s="3"/>
      <c r="I5230" s="14" t="s">
        <v>6177</v>
      </c>
    </row>
    <row r="5231" spans="1:9" ht="18.75" customHeight="1" x14ac:dyDescent="0.4">
      <c r="A5231" s="14" t="s">
        <v>6548</v>
      </c>
      <c r="B5231" s="16" t="str">
        <f>TRIM("津守東住宅")</f>
        <v>津守東住宅</v>
      </c>
      <c r="C5231" s="14" t="s">
        <v>1521</v>
      </c>
      <c r="D5231" s="14" t="s">
        <v>707</v>
      </c>
      <c r="E5231" s="1">
        <v>330.56</v>
      </c>
      <c r="F5231" s="2" t="s">
        <v>7304</v>
      </c>
      <c r="G5231" s="1"/>
      <c r="H5231" s="3"/>
      <c r="I5231" s="14" t="s">
        <v>6177</v>
      </c>
    </row>
    <row r="5232" spans="1:9" ht="18.75" customHeight="1" x14ac:dyDescent="0.4">
      <c r="A5232" s="14" t="s">
        <v>6659</v>
      </c>
      <c r="B5232" s="16" t="str">
        <f>TRIM("北津守住宅")</f>
        <v>北津守住宅</v>
      </c>
      <c r="C5232" s="14" t="s">
        <v>1521</v>
      </c>
      <c r="D5232" s="14" t="s">
        <v>707</v>
      </c>
      <c r="E5232" s="1">
        <v>4357.75</v>
      </c>
      <c r="F5232" s="2"/>
      <c r="G5232" s="1">
        <v>3096.87</v>
      </c>
      <c r="H5232" s="3"/>
      <c r="I5232" s="14" t="s">
        <v>6177</v>
      </c>
    </row>
    <row r="5233" spans="1:9" ht="18.75" customHeight="1" x14ac:dyDescent="0.4">
      <c r="A5233" s="14" t="s">
        <v>3308</v>
      </c>
      <c r="B5233" s="16" t="str">
        <f>TRIM("　北津守東公園")</f>
        <v>北津守東公園</v>
      </c>
      <c r="C5233" s="14" t="s">
        <v>1521</v>
      </c>
      <c r="D5233" s="14" t="s">
        <v>707</v>
      </c>
      <c r="E5233" s="1">
        <v>2547.1799999999998</v>
      </c>
      <c r="F5233" s="2"/>
      <c r="G5233" s="1"/>
      <c r="H5233" s="3"/>
      <c r="I5233" s="14" t="s">
        <v>2177</v>
      </c>
    </row>
    <row r="5234" spans="1:9" ht="18.75" customHeight="1" x14ac:dyDescent="0.4">
      <c r="A5234" s="14" t="s">
        <v>6241</v>
      </c>
      <c r="B5234" s="16" t="str">
        <f>TRIM("北津守住宅")</f>
        <v>北津守住宅</v>
      </c>
      <c r="C5234" s="14" t="s">
        <v>1521</v>
      </c>
      <c r="D5234" s="14" t="s">
        <v>707</v>
      </c>
      <c r="E5234" s="1">
        <v>1649.85</v>
      </c>
      <c r="F5234" s="2"/>
      <c r="G5234" s="1"/>
      <c r="H5234" s="3"/>
      <c r="I5234" s="14" t="s">
        <v>6177</v>
      </c>
    </row>
    <row r="5235" spans="1:9" ht="18.75" customHeight="1" x14ac:dyDescent="0.4">
      <c r="A5235" s="14" t="s">
        <v>6546</v>
      </c>
      <c r="B5235" s="16" t="str">
        <f>TRIM("津守住宅")</f>
        <v>津守住宅</v>
      </c>
      <c r="C5235" s="14" t="s">
        <v>1521</v>
      </c>
      <c r="D5235" s="14" t="s">
        <v>332</v>
      </c>
      <c r="E5235" s="1">
        <v>10831.12</v>
      </c>
      <c r="F5235" s="2"/>
      <c r="G5235" s="1">
        <v>13631.68</v>
      </c>
      <c r="H5235" s="3"/>
      <c r="I5235" s="14" t="s">
        <v>6177</v>
      </c>
    </row>
    <row r="5236" spans="1:9" ht="18.75" customHeight="1" x14ac:dyDescent="0.4">
      <c r="A5236" s="14" t="s">
        <v>1675</v>
      </c>
      <c r="B5236" s="16" t="str">
        <f>TRIM("もと平和湯（西成区北津守2丁目）")</f>
        <v>もと平和湯（西成区北津守2丁目）</v>
      </c>
      <c r="C5236" s="14" t="s">
        <v>1521</v>
      </c>
      <c r="D5236" s="14" t="s">
        <v>332</v>
      </c>
      <c r="E5236" s="1">
        <v>513.66999999999996</v>
      </c>
      <c r="F5236" s="2"/>
      <c r="G5236" s="1"/>
      <c r="H5236" s="3"/>
      <c r="I5236" s="14" t="s">
        <v>1654</v>
      </c>
    </row>
    <row r="5237" spans="1:9" ht="18.75" customHeight="1" x14ac:dyDescent="0.4">
      <c r="A5237" s="14" t="s">
        <v>3306</v>
      </c>
      <c r="B5237" s="16" t="str">
        <f>TRIM("　北津守西公園")</f>
        <v>北津守西公園</v>
      </c>
      <c r="C5237" s="14" t="s">
        <v>1521</v>
      </c>
      <c r="D5237" s="14" t="s">
        <v>332</v>
      </c>
      <c r="E5237" s="1">
        <v>960.65</v>
      </c>
      <c r="F5237" s="2"/>
      <c r="G5237" s="1"/>
      <c r="H5237" s="3"/>
      <c r="I5237" s="14" t="s">
        <v>2177</v>
      </c>
    </row>
    <row r="5238" spans="1:9" ht="18.75" customHeight="1" x14ac:dyDescent="0.4">
      <c r="A5238" s="14" t="s">
        <v>3307</v>
      </c>
      <c r="B5238" s="16" t="str">
        <f>TRIM("　北津守中公園")</f>
        <v>北津守中公園</v>
      </c>
      <c r="C5238" s="14" t="s">
        <v>1521</v>
      </c>
      <c r="D5238" s="14" t="s">
        <v>332</v>
      </c>
      <c r="E5238" s="1">
        <v>1393.95</v>
      </c>
      <c r="F5238" s="2"/>
      <c r="G5238" s="1"/>
      <c r="H5238" s="3"/>
      <c r="I5238" s="14" t="s">
        <v>2177</v>
      </c>
    </row>
    <row r="5239" spans="1:9" ht="18.75" customHeight="1" x14ac:dyDescent="0.4">
      <c r="A5239" s="14" t="s">
        <v>5984</v>
      </c>
      <c r="B5239" s="16" t="str">
        <f>TRIM("もと公害工場跡地（岡田浮選剤化学）")</f>
        <v>もと公害工場跡地（岡田浮選剤化学）</v>
      </c>
      <c r="C5239" s="14" t="s">
        <v>1521</v>
      </c>
      <c r="D5239" s="14" t="s">
        <v>333</v>
      </c>
      <c r="E5239" s="1">
        <v>1920.92</v>
      </c>
      <c r="F5239" s="2">
        <v>761</v>
      </c>
      <c r="G5239" s="1"/>
      <c r="H5239" s="3"/>
      <c r="I5239" s="14" t="s">
        <v>5977</v>
      </c>
    </row>
    <row r="5240" spans="1:9" ht="18.75" customHeight="1" x14ac:dyDescent="0.4">
      <c r="A5240" s="14" t="s">
        <v>6989</v>
      </c>
      <c r="B5240" s="16" t="str">
        <f>TRIM("もと北津守診療所")</f>
        <v>もと北津守診療所</v>
      </c>
      <c r="C5240" s="14" t="s">
        <v>1521</v>
      </c>
      <c r="D5240" s="14" t="s">
        <v>333</v>
      </c>
      <c r="E5240" s="1">
        <v>586.03</v>
      </c>
      <c r="F5240" s="2">
        <v>1020</v>
      </c>
      <c r="G5240" s="1">
        <v>337.38</v>
      </c>
      <c r="H5240" s="3" t="s">
        <v>7353</v>
      </c>
      <c r="I5240" s="14" t="s">
        <v>2402</v>
      </c>
    </row>
    <row r="5241" spans="1:9" ht="18.75" customHeight="1" x14ac:dyDescent="0.4">
      <c r="A5241" s="14" t="s">
        <v>1876</v>
      </c>
      <c r="B5241" s="16" t="str">
        <f>TRIM("もと社会福祉施設用地（西成区北津守）")</f>
        <v>もと社会福祉施設用地（西成区北津守）</v>
      </c>
      <c r="C5241" s="14" t="s">
        <v>1521</v>
      </c>
      <c r="D5241" s="14" t="s">
        <v>333</v>
      </c>
      <c r="E5241" s="1">
        <v>1698.87</v>
      </c>
      <c r="F5241" s="2">
        <v>1021</v>
      </c>
      <c r="G5241" s="1"/>
      <c r="H5241" s="3"/>
      <c r="I5241" s="14" t="s">
        <v>1654</v>
      </c>
    </row>
    <row r="5242" spans="1:9" ht="18.75" customHeight="1" x14ac:dyDescent="0.4">
      <c r="A5242" s="14" t="s">
        <v>1676</v>
      </c>
      <c r="B5242" s="16" t="str">
        <f>TRIM("もと平和湯（西成区北津守3丁目）")</f>
        <v>もと平和湯（西成区北津守3丁目）</v>
      </c>
      <c r="C5242" s="14" t="s">
        <v>1521</v>
      </c>
      <c r="D5242" s="14" t="s">
        <v>333</v>
      </c>
      <c r="E5242" s="1">
        <v>1117.54</v>
      </c>
      <c r="F5242" s="2">
        <v>1160</v>
      </c>
      <c r="G5242" s="1"/>
      <c r="H5242" s="3"/>
      <c r="I5242" s="14" t="s">
        <v>1654</v>
      </c>
    </row>
    <row r="5243" spans="1:9" ht="18.75" customHeight="1" x14ac:dyDescent="0.4">
      <c r="A5243" s="14" t="s">
        <v>6660</v>
      </c>
      <c r="B5243" s="16" t="str">
        <f>TRIM("北津守第3住宅")</f>
        <v>北津守第3住宅</v>
      </c>
      <c r="C5243" s="14" t="s">
        <v>1521</v>
      </c>
      <c r="D5243" s="14" t="s">
        <v>333</v>
      </c>
      <c r="E5243" s="1">
        <v>11293.46</v>
      </c>
      <c r="F5243" s="2">
        <v>1631</v>
      </c>
      <c r="G5243" s="1">
        <v>7802.37</v>
      </c>
      <c r="H5243" s="3"/>
      <c r="I5243" s="14" t="s">
        <v>6177</v>
      </c>
    </row>
    <row r="5244" spans="1:9" ht="18.75" customHeight="1" x14ac:dyDescent="0.4">
      <c r="A5244" s="14" t="s">
        <v>6263</v>
      </c>
      <c r="B5244" s="16" t="str">
        <f>TRIM("もと北津守第３住宅")</f>
        <v>もと北津守第３住宅</v>
      </c>
      <c r="C5244" s="14" t="s">
        <v>1521</v>
      </c>
      <c r="D5244" s="14" t="s">
        <v>333</v>
      </c>
      <c r="E5244" s="1">
        <v>703.96</v>
      </c>
      <c r="F5244" s="2" t="s">
        <v>7295</v>
      </c>
      <c r="G5244" s="1"/>
      <c r="H5244" s="3"/>
      <c r="I5244" s="14" t="s">
        <v>6177</v>
      </c>
    </row>
    <row r="5245" spans="1:9" ht="18.75" customHeight="1" x14ac:dyDescent="0.4">
      <c r="A5245" s="14" t="s">
        <v>2145</v>
      </c>
      <c r="B5245" s="16" t="str">
        <f>TRIM("北津守老人憩の家")</f>
        <v>北津守老人憩の家</v>
      </c>
      <c r="C5245" s="14" t="s">
        <v>1521</v>
      </c>
      <c r="D5245" s="14" t="s">
        <v>333</v>
      </c>
      <c r="E5245" s="1">
        <v>420</v>
      </c>
      <c r="F5245" s="2"/>
      <c r="G5245" s="1">
        <v>133.79</v>
      </c>
      <c r="H5245" s="3"/>
      <c r="I5245" s="14" t="s">
        <v>1687</v>
      </c>
    </row>
    <row r="5246" spans="1:9" ht="18.75" customHeight="1" x14ac:dyDescent="0.4">
      <c r="A5246" s="14" t="s">
        <v>5105</v>
      </c>
      <c r="B5246" s="16" t="str">
        <f>TRIM("北津守小学校")</f>
        <v>北津守小学校</v>
      </c>
      <c r="C5246" s="14" t="s">
        <v>1521</v>
      </c>
      <c r="D5246" s="14" t="s">
        <v>333</v>
      </c>
      <c r="E5246" s="1">
        <v>14143.74</v>
      </c>
      <c r="F5246" s="2"/>
      <c r="G5246" s="1">
        <v>8433.44</v>
      </c>
      <c r="H5246" s="3"/>
      <c r="I5246" s="14" t="s">
        <v>4689</v>
      </c>
    </row>
    <row r="5247" spans="1:9" ht="18.75" customHeight="1" x14ac:dyDescent="0.4">
      <c r="A5247" s="14" t="s">
        <v>5928</v>
      </c>
      <c r="B5247" s="16" t="str">
        <f>TRIM("北津守保育所")</f>
        <v>北津守保育所</v>
      </c>
      <c r="C5247" s="14" t="s">
        <v>1521</v>
      </c>
      <c r="D5247" s="14" t="s">
        <v>333</v>
      </c>
      <c r="E5247" s="1">
        <v>3412.29</v>
      </c>
      <c r="F5247" s="2"/>
      <c r="G5247" s="1">
        <v>1500.86</v>
      </c>
      <c r="H5247" s="3"/>
      <c r="I5247" s="14" t="s">
        <v>5617</v>
      </c>
    </row>
    <row r="5248" spans="1:9" ht="18.75" customHeight="1" x14ac:dyDescent="0.4">
      <c r="A5248" s="14" t="s">
        <v>1720</v>
      </c>
      <c r="B5248" s="16" t="str">
        <f>TRIM("障がい福祉サービス事業所　にしなりＷＩＮＧ")</f>
        <v>障がい福祉サービス事業所　にしなりＷＩＮＧ</v>
      </c>
      <c r="C5248" s="14" t="s">
        <v>1521</v>
      </c>
      <c r="D5248" s="14" t="s">
        <v>333</v>
      </c>
      <c r="E5248" s="1">
        <v>1983.3</v>
      </c>
      <c r="F5248" s="2"/>
      <c r="G5248" s="1"/>
      <c r="H5248" s="3"/>
      <c r="I5248" s="14" t="s">
        <v>1654</v>
      </c>
    </row>
    <row r="5249" spans="1:9" ht="18.75" customHeight="1" x14ac:dyDescent="0.4">
      <c r="A5249" s="14" t="s">
        <v>2429</v>
      </c>
      <c r="B5249" s="16" t="str">
        <f>TRIM("もと都市計画街路代替地（西成区北津守）")</f>
        <v>もと都市計画街路代替地（西成区北津守）</v>
      </c>
      <c r="C5249" s="14" t="s">
        <v>1521</v>
      </c>
      <c r="D5249" s="14" t="s">
        <v>333</v>
      </c>
      <c r="E5249" s="1">
        <v>1093.04</v>
      </c>
      <c r="F5249" s="2"/>
      <c r="G5249" s="1"/>
      <c r="H5249" s="3"/>
      <c r="I5249" s="14" t="s">
        <v>2177</v>
      </c>
    </row>
    <row r="5250" spans="1:9" ht="18.75" customHeight="1" x14ac:dyDescent="0.4">
      <c r="A5250" s="14" t="s">
        <v>2517</v>
      </c>
      <c r="B5250" s="16" t="str">
        <f>TRIM("落合上渡船場左岸待合所")</f>
        <v>落合上渡船場左岸待合所</v>
      </c>
      <c r="C5250" s="14" t="s">
        <v>1521</v>
      </c>
      <c r="D5250" s="14" t="s">
        <v>333</v>
      </c>
      <c r="E5250" s="1"/>
      <c r="F5250" s="2"/>
      <c r="G5250" s="1">
        <v>32.729999999999997</v>
      </c>
      <c r="H5250" s="3"/>
      <c r="I5250" s="14" t="s">
        <v>2177</v>
      </c>
    </row>
    <row r="5251" spans="1:9" ht="18.75" customHeight="1" x14ac:dyDescent="0.4">
      <c r="A5251" s="14" t="s">
        <v>3305</v>
      </c>
      <c r="B5251" s="16" t="str">
        <f>TRIM("　北津守公園")</f>
        <v>北津守公園</v>
      </c>
      <c r="C5251" s="14" t="s">
        <v>1521</v>
      </c>
      <c r="D5251" s="14" t="s">
        <v>333</v>
      </c>
      <c r="E5251" s="1">
        <v>3103.66</v>
      </c>
      <c r="F5251" s="2"/>
      <c r="G5251" s="1"/>
      <c r="H5251" s="3"/>
      <c r="I5251" s="14" t="s">
        <v>2177</v>
      </c>
    </row>
    <row r="5252" spans="1:9" ht="18.75" customHeight="1" x14ac:dyDescent="0.4">
      <c r="A5252" s="14" t="s">
        <v>3500</v>
      </c>
      <c r="B5252" s="16" t="str">
        <f>TRIM("北津守中央公園")</f>
        <v>北津守中央公園</v>
      </c>
      <c r="C5252" s="14" t="s">
        <v>1521</v>
      </c>
      <c r="D5252" s="14" t="s">
        <v>333</v>
      </c>
      <c r="E5252" s="1">
        <v>1534.54</v>
      </c>
      <c r="F5252" s="2"/>
      <c r="G5252" s="1"/>
      <c r="H5252" s="3"/>
      <c r="I5252" s="14" t="s">
        <v>2177</v>
      </c>
    </row>
    <row r="5253" spans="1:9" ht="18.75" customHeight="1" x14ac:dyDescent="0.4">
      <c r="A5253" s="14" t="s">
        <v>6883</v>
      </c>
      <c r="B5253" s="16" t="str">
        <f>TRIM("　もと密集市街地整備事業用地")</f>
        <v>もと密集市街地整備事業用地</v>
      </c>
      <c r="C5253" s="14" t="s">
        <v>1521</v>
      </c>
      <c r="D5253" s="14" t="s">
        <v>480</v>
      </c>
      <c r="E5253" s="1">
        <v>3029.63</v>
      </c>
      <c r="F5253" s="2">
        <v>771</v>
      </c>
      <c r="G5253" s="1"/>
      <c r="H5253" s="3"/>
      <c r="I5253" s="14" t="s">
        <v>6177</v>
      </c>
    </row>
    <row r="5254" spans="1:9" ht="18.75" customHeight="1" x14ac:dyDescent="0.4">
      <c r="A5254" s="14" t="s">
        <v>5635</v>
      </c>
      <c r="B5254" s="16" t="str">
        <f>TRIM("もと津守西第2保育所")</f>
        <v>もと津守西第2保育所</v>
      </c>
      <c r="C5254" s="14" t="s">
        <v>1521</v>
      </c>
      <c r="D5254" s="14" t="s">
        <v>480</v>
      </c>
      <c r="E5254" s="1">
        <v>2018.33</v>
      </c>
      <c r="F5254" s="2" t="s">
        <v>7330</v>
      </c>
      <c r="G5254" s="1"/>
      <c r="H5254" s="3"/>
      <c r="I5254" s="14" t="s">
        <v>5617</v>
      </c>
    </row>
    <row r="5255" spans="1:9" ht="18.75" customHeight="1" x14ac:dyDescent="0.4">
      <c r="A5255" s="14" t="s">
        <v>5987</v>
      </c>
      <c r="B5255" s="16" t="str">
        <f>TRIM("公害工場跡地（中外バルブ）")</f>
        <v>公害工場跡地（中外バルブ）</v>
      </c>
      <c r="C5255" s="14" t="s">
        <v>1521</v>
      </c>
      <c r="D5255" s="14" t="s">
        <v>480</v>
      </c>
      <c r="E5255" s="1">
        <v>1096.6199999999999</v>
      </c>
      <c r="F5255" s="2" t="s">
        <v>7282</v>
      </c>
      <c r="G5255" s="1"/>
      <c r="H5255" s="3"/>
      <c r="I5255" s="14" t="s">
        <v>5977</v>
      </c>
    </row>
    <row r="5256" spans="1:9" ht="18.75" customHeight="1" x14ac:dyDescent="0.4">
      <c r="A5256" s="14" t="s">
        <v>2144</v>
      </c>
      <c r="B5256" s="16" t="str">
        <f>TRIM("北津守わかくさ公園老人憩の家")</f>
        <v>北津守わかくさ公園老人憩の家</v>
      </c>
      <c r="C5256" s="14" t="s">
        <v>1521</v>
      </c>
      <c r="D5256" s="14" t="s">
        <v>480</v>
      </c>
      <c r="E5256" s="1">
        <v>120.57</v>
      </c>
      <c r="F5256" s="2"/>
      <c r="G5256" s="1">
        <v>41.2</v>
      </c>
      <c r="H5256" s="3"/>
      <c r="I5256" s="14" t="s">
        <v>1687</v>
      </c>
    </row>
    <row r="5257" spans="1:9" ht="18.75" customHeight="1" x14ac:dyDescent="0.4">
      <c r="A5257" s="14" t="s">
        <v>2324</v>
      </c>
      <c r="B5257" s="16" t="str">
        <f>TRIM("廃道（西成）")</f>
        <v>廃道（西成）</v>
      </c>
      <c r="C5257" s="14" t="s">
        <v>1521</v>
      </c>
      <c r="D5257" s="14" t="s">
        <v>480</v>
      </c>
      <c r="E5257" s="1">
        <v>814</v>
      </c>
      <c r="F5257" s="2"/>
      <c r="G5257" s="1"/>
      <c r="H5257" s="3"/>
      <c r="I5257" s="14" t="s">
        <v>2177</v>
      </c>
    </row>
    <row r="5258" spans="1:9" ht="18.75" customHeight="1" x14ac:dyDescent="0.4">
      <c r="A5258" s="14" t="s">
        <v>2544</v>
      </c>
      <c r="B5258" s="16" t="str">
        <f>TRIM("　わかくさ公園")</f>
        <v>わかくさ公園</v>
      </c>
      <c r="C5258" s="14" t="s">
        <v>1521</v>
      </c>
      <c r="D5258" s="14" t="s">
        <v>480</v>
      </c>
      <c r="E5258" s="1">
        <v>671.74</v>
      </c>
      <c r="F5258" s="2"/>
      <c r="G5258" s="1"/>
      <c r="H5258" s="3"/>
      <c r="I5258" s="14" t="s">
        <v>2177</v>
      </c>
    </row>
    <row r="5259" spans="1:9" ht="18.75" customHeight="1" x14ac:dyDescent="0.4">
      <c r="A5259" s="14" t="s">
        <v>2927</v>
      </c>
      <c r="B5259" s="16" t="str">
        <f>TRIM("　西成開発1号公園")</f>
        <v>西成開発1号公園</v>
      </c>
      <c r="C5259" s="14" t="s">
        <v>1521</v>
      </c>
      <c r="D5259" s="14" t="s">
        <v>480</v>
      </c>
      <c r="E5259" s="1">
        <v>230.36</v>
      </c>
      <c r="F5259" s="2"/>
      <c r="G5259" s="1"/>
      <c r="H5259" s="3"/>
      <c r="I5259" s="14" t="s">
        <v>2177</v>
      </c>
    </row>
    <row r="5260" spans="1:9" ht="18.75" customHeight="1" x14ac:dyDescent="0.4">
      <c r="A5260" s="14" t="s">
        <v>2928</v>
      </c>
      <c r="B5260" s="16" t="str">
        <f>TRIM("　西成開発2号公園")</f>
        <v>西成開発2号公園</v>
      </c>
      <c r="C5260" s="14" t="s">
        <v>1521</v>
      </c>
      <c r="D5260" s="14" t="s">
        <v>480</v>
      </c>
      <c r="E5260" s="1">
        <v>300.02</v>
      </c>
      <c r="F5260" s="2"/>
      <c r="G5260" s="1"/>
      <c r="H5260" s="3"/>
      <c r="I5260" s="14" t="s">
        <v>2177</v>
      </c>
    </row>
    <row r="5261" spans="1:9" ht="18.75" customHeight="1" x14ac:dyDescent="0.4">
      <c r="A5261" s="14" t="s">
        <v>3304</v>
      </c>
      <c r="B5261" s="16" t="str">
        <f>TRIM("　北津守4公園")</f>
        <v>北津守4公園</v>
      </c>
      <c r="C5261" s="14" t="s">
        <v>1521</v>
      </c>
      <c r="D5261" s="14" t="s">
        <v>480</v>
      </c>
      <c r="E5261" s="1">
        <v>2361.73</v>
      </c>
      <c r="F5261" s="2"/>
      <c r="G5261" s="1"/>
      <c r="H5261" s="3"/>
      <c r="I5261" s="14" t="s">
        <v>2177</v>
      </c>
    </row>
    <row r="5262" spans="1:9" ht="18.75" customHeight="1" x14ac:dyDescent="0.4">
      <c r="A5262" s="14" t="s">
        <v>4983</v>
      </c>
      <c r="B5262" s="16" t="str">
        <f>TRIM("長橋小学校代替地")</f>
        <v>長橋小学校代替地</v>
      </c>
      <c r="C5262" s="14" t="s">
        <v>1521</v>
      </c>
      <c r="D5262" s="14" t="s">
        <v>480</v>
      </c>
      <c r="E5262" s="1">
        <v>1249.97</v>
      </c>
      <c r="F5262" s="2"/>
      <c r="G5262" s="1"/>
      <c r="H5262" s="3"/>
      <c r="I5262" s="14" t="s">
        <v>4689</v>
      </c>
    </row>
    <row r="5263" spans="1:9" ht="18.75" customHeight="1" x14ac:dyDescent="0.4">
      <c r="A5263" s="14" t="s">
        <v>5982</v>
      </c>
      <c r="B5263" s="16" t="str">
        <f>TRIM("公害工場跡地（ニッチ津守）")</f>
        <v>公害工場跡地（ニッチ津守）</v>
      </c>
      <c r="C5263" s="14" t="s">
        <v>1521</v>
      </c>
      <c r="D5263" s="14" t="s">
        <v>480</v>
      </c>
      <c r="E5263" s="1">
        <v>572.03</v>
      </c>
      <c r="F5263" s="2"/>
      <c r="G5263" s="1"/>
      <c r="H5263" s="3"/>
      <c r="I5263" s="14" t="s">
        <v>5977</v>
      </c>
    </row>
    <row r="5264" spans="1:9" ht="18.75" customHeight="1" x14ac:dyDescent="0.4">
      <c r="A5264" s="14" t="s">
        <v>6868</v>
      </c>
      <c r="B5264" s="16" t="str">
        <f>TRIM("もと建築物移転先用地（元木津工区・西成区北開）")</f>
        <v>もと建築物移転先用地（元木津工区・西成区北開）</v>
      </c>
      <c r="C5264" s="14" t="s">
        <v>1521</v>
      </c>
      <c r="D5264" s="14" t="s">
        <v>836</v>
      </c>
      <c r="E5264" s="1">
        <v>170.05</v>
      </c>
      <c r="F5264" s="2">
        <v>781</v>
      </c>
      <c r="G5264" s="1"/>
      <c r="H5264" s="3"/>
      <c r="I5264" s="14" t="s">
        <v>6177</v>
      </c>
    </row>
    <row r="5265" spans="1:9" ht="18.75" customHeight="1" x14ac:dyDescent="0.4">
      <c r="A5265" s="14" t="s">
        <v>6653</v>
      </c>
      <c r="B5265" s="16" t="str">
        <f>TRIM("北開住宅")</f>
        <v>北開住宅</v>
      </c>
      <c r="C5265" s="14" t="s">
        <v>1521</v>
      </c>
      <c r="D5265" s="14" t="s">
        <v>836</v>
      </c>
      <c r="E5265" s="1">
        <v>3941.49</v>
      </c>
      <c r="F5265" s="2"/>
      <c r="G5265" s="1">
        <v>3072.86</v>
      </c>
      <c r="H5265" s="3"/>
      <c r="I5265" s="14" t="s">
        <v>6177</v>
      </c>
    </row>
    <row r="5266" spans="1:9" ht="18.75" customHeight="1" x14ac:dyDescent="0.4">
      <c r="A5266" s="14" t="s">
        <v>5636</v>
      </c>
      <c r="B5266" s="16" t="str">
        <f>TRIM("もと北開第2児童遊園")</f>
        <v>もと北開第2児童遊園</v>
      </c>
      <c r="C5266" s="14" t="s">
        <v>1521</v>
      </c>
      <c r="D5266" s="14" t="s">
        <v>107</v>
      </c>
      <c r="E5266" s="1">
        <v>528.54</v>
      </c>
      <c r="F5266" s="2">
        <v>785</v>
      </c>
      <c r="G5266" s="1"/>
      <c r="H5266" s="3"/>
      <c r="I5266" s="14" t="s">
        <v>5617</v>
      </c>
    </row>
    <row r="5267" spans="1:9" ht="18.75" customHeight="1" x14ac:dyDescent="0.4">
      <c r="A5267" s="14" t="s">
        <v>1607</v>
      </c>
      <c r="B5267" s="16" t="str">
        <f>TRIM("もと西成人権文化センター")</f>
        <v>もと西成人権文化センター</v>
      </c>
      <c r="C5267" s="14" t="s">
        <v>1521</v>
      </c>
      <c r="D5267" s="14" t="s">
        <v>107</v>
      </c>
      <c r="E5267" s="1">
        <v>798.85</v>
      </c>
      <c r="F5267" s="2"/>
      <c r="G5267" s="1"/>
      <c r="H5267" s="3"/>
      <c r="I5267" s="14" t="s">
        <v>1598</v>
      </c>
    </row>
    <row r="5268" spans="1:9" ht="18.75" customHeight="1" x14ac:dyDescent="0.4">
      <c r="A5268" s="14" t="s">
        <v>3293</v>
      </c>
      <c r="B5268" s="16" t="str">
        <f>TRIM("　北開公園")</f>
        <v>北開公園</v>
      </c>
      <c r="C5268" s="14" t="s">
        <v>1521</v>
      </c>
      <c r="D5268" s="14" t="s">
        <v>107</v>
      </c>
      <c r="E5268" s="1">
        <v>1229.6199999999999</v>
      </c>
      <c r="F5268" s="2"/>
      <c r="G5268" s="1"/>
      <c r="H5268" s="3"/>
      <c r="I5268" s="14" t="s">
        <v>2177</v>
      </c>
    </row>
    <row r="5269" spans="1:9" ht="18.75" customHeight="1" x14ac:dyDescent="0.4">
      <c r="A5269" s="14" t="s">
        <v>5976</v>
      </c>
      <c r="B5269" s="16" t="str">
        <f>TRIM("もと公害工場跡地（倉谷油脂）")</f>
        <v>もと公害工場跡地（倉谷油脂）</v>
      </c>
      <c r="C5269" s="14" t="s">
        <v>1521</v>
      </c>
      <c r="D5269" s="14" t="s">
        <v>107</v>
      </c>
      <c r="E5269" s="1">
        <v>1.72</v>
      </c>
      <c r="F5269" s="2"/>
      <c r="G5269" s="1"/>
      <c r="H5269" s="3"/>
      <c r="I5269" s="14" t="s">
        <v>5977</v>
      </c>
    </row>
    <row r="5270" spans="1:9" ht="18.75" customHeight="1" x14ac:dyDescent="0.4">
      <c r="A5270" s="14" t="s">
        <v>6010</v>
      </c>
      <c r="B5270" s="16" t="str">
        <f>TRIM("化製場集約化事業用地")</f>
        <v>化製場集約化事業用地</v>
      </c>
      <c r="C5270" s="14" t="s">
        <v>1521</v>
      </c>
      <c r="D5270" s="14" t="s">
        <v>107</v>
      </c>
      <c r="E5270" s="1">
        <v>5559.42</v>
      </c>
      <c r="F5270" s="2"/>
      <c r="G5270" s="1"/>
      <c r="H5270" s="3"/>
      <c r="I5270" s="14" t="s">
        <v>5977</v>
      </c>
    </row>
    <row r="5271" spans="1:9" ht="18.75" customHeight="1" x14ac:dyDescent="0.4">
      <c r="A5271" s="14" t="s">
        <v>6839</v>
      </c>
      <c r="B5271" s="16" t="str">
        <f>TRIM("もと建築物移転先用地（玉出工区・元木津工区）")</f>
        <v>もと建築物移転先用地（玉出工区・元木津工区）</v>
      </c>
      <c r="C5271" s="14" t="s">
        <v>1521</v>
      </c>
      <c r="D5271" s="14" t="s">
        <v>107</v>
      </c>
      <c r="E5271" s="1">
        <v>218.16</v>
      </c>
      <c r="F5271" s="2"/>
      <c r="G5271" s="1"/>
      <c r="H5271" s="3"/>
      <c r="I5271" s="14" t="s">
        <v>6177</v>
      </c>
    </row>
    <row r="5272" spans="1:9" ht="18.75" customHeight="1" x14ac:dyDescent="0.4">
      <c r="A5272" s="14" t="s">
        <v>5861</v>
      </c>
      <c r="B5272" s="16" t="str">
        <f>TRIM("山王保育所")</f>
        <v>山王保育所</v>
      </c>
      <c r="C5272" s="14" t="s">
        <v>1521</v>
      </c>
      <c r="D5272" s="14" t="s">
        <v>381</v>
      </c>
      <c r="E5272" s="1">
        <v>1207.8599999999999</v>
      </c>
      <c r="F5272" s="2"/>
      <c r="G5272" s="1">
        <v>949.3</v>
      </c>
      <c r="H5272" s="3"/>
      <c r="I5272" s="14" t="s">
        <v>5617</v>
      </c>
    </row>
    <row r="5273" spans="1:9" ht="18.75" customHeight="1" x14ac:dyDescent="0.4">
      <c r="A5273" s="14" t="s">
        <v>1875</v>
      </c>
      <c r="B5273" s="16" t="str">
        <f>TRIM("山王地域在宅サービスステーション")</f>
        <v>山王地域在宅サービスステーション</v>
      </c>
      <c r="C5273" s="14" t="s">
        <v>1521</v>
      </c>
      <c r="D5273" s="14" t="s">
        <v>381</v>
      </c>
      <c r="E5273" s="1">
        <v>504.45</v>
      </c>
      <c r="F5273" s="2"/>
      <c r="G5273" s="1"/>
      <c r="H5273" s="3"/>
      <c r="I5273" s="14" t="s">
        <v>1654</v>
      </c>
    </row>
    <row r="5274" spans="1:9" ht="18.75" customHeight="1" x14ac:dyDescent="0.4">
      <c r="A5274" s="14" t="s">
        <v>2431</v>
      </c>
      <c r="B5274" s="16" t="str">
        <f>TRIM("尼崎平野線")</f>
        <v>尼崎平野線</v>
      </c>
      <c r="C5274" s="14" t="s">
        <v>1521</v>
      </c>
      <c r="D5274" s="14" t="s">
        <v>381</v>
      </c>
      <c r="E5274" s="1">
        <v>12087.41</v>
      </c>
      <c r="F5274" s="2"/>
      <c r="G5274" s="1"/>
      <c r="H5274" s="3"/>
      <c r="I5274" s="14" t="s">
        <v>2177</v>
      </c>
    </row>
    <row r="5275" spans="1:9" ht="18.75" customHeight="1" x14ac:dyDescent="0.4">
      <c r="A5275" s="14" t="s">
        <v>2440</v>
      </c>
      <c r="B5275" s="16" t="str">
        <f>TRIM("尼崎平野線（基金）")</f>
        <v>尼崎平野線（基金）</v>
      </c>
      <c r="C5275" s="14" t="s">
        <v>1521</v>
      </c>
      <c r="D5275" s="14" t="s">
        <v>381</v>
      </c>
      <c r="E5275" s="1">
        <v>72.89</v>
      </c>
      <c r="F5275" s="2"/>
      <c r="G5275" s="1"/>
      <c r="H5275" s="3"/>
      <c r="I5275" s="14" t="s">
        <v>2177</v>
      </c>
    </row>
    <row r="5276" spans="1:9" ht="18.75" customHeight="1" x14ac:dyDescent="0.4">
      <c r="A5276" s="14" t="s">
        <v>3518</v>
      </c>
      <c r="B5276" s="16" t="str">
        <f>TRIM("山王みどり公園")</f>
        <v>山王みどり公園</v>
      </c>
      <c r="C5276" s="14" t="s">
        <v>1521</v>
      </c>
      <c r="D5276" s="14" t="s">
        <v>381</v>
      </c>
      <c r="E5276" s="1">
        <v>3580.57</v>
      </c>
      <c r="F5276" s="2"/>
      <c r="G5276" s="1"/>
      <c r="H5276" s="3"/>
      <c r="I5276" s="14" t="s">
        <v>2177</v>
      </c>
    </row>
    <row r="5277" spans="1:9" ht="18.75" customHeight="1" x14ac:dyDescent="0.4">
      <c r="A5277" s="14" t="s">
        <v>2038</v>
      </c>
      <c r="B5277" s="16" t="str">
        <f>TRIM("山王老人憩の家")</f>
        <v>山王老人憩の家</v>
      </c>
      <c r="C5277" s="14" t="s">
        <v>1521</v>
      </c>
      <c r="D5277" s="14" t="s">
        <v>1279</v>
      </c>
      <c r="E5277" s="1"/>
      <c r="F5277" s="2"/>
      <c r="G5277" s="1">
        <v>100.53</v>
      </c>
      <c r="H5277" s="3"/>
      <c r="I5277" s="14" t="s">
        <v>1687</v>
      </c>
    </row>
    <row r="5278" spans="1:9" ht="18.75" customHeight="1" x14ac:dyDescent="0.4">
      <c r="A5278" s="14" t="s">
        <v>3435</v>
      </c>
      <c r="B5278" s="16" t="str">
        <f>TRIM("山王第2公園")</f>
        <v>山王第2公園</v>
      </c>
      <c r="C5278" s="14" t="s">
        <v>1521</v>
      </c>
      <c r="D5278" s="14" t="s">
        <v>1279</v>
      </c>
      <c r="E5278" s="1">
        <v>2170.8200000000002</v>
      </c>
      <c r="F5278" s="2"/>
      <c r="G5278" s="1"/>
      <c r="H5278" s="3"/>
      <c r="I5278" s="14" t="s">
        <v>2177</v>
      </c>
    </row>
    <row r="5279" spans="1:9" ht="18.75" customHeight="1" x14ac:dyDescent="0.4">
      <c r="A5279" s="14" t="s">
        <v>4678</v>
      </c>
      <c r="B5279" s="16" t="str">
        <f>TRIM("山王集会所")</f>
        <v>山王集会所</v>
      </c>
      <c r="C5279" s="14" t="s">
        <v>1521</v>
      </c>
      <c r="D5279" s="14" t="s">
        <v>1279</v>
      </c>
      <c r="E5279" s="1"/>
      <c r="F5279" s="2"/>
      <c r="G5279" s="1">
        <v>265.19</v>
      </c>
      <c r="H5279" s="3"/>
      <c r="I5279" s="14" t="s">
        <v>1687</v>
      </c>
    </row>
    <row r="5280" spans="1:9" ht="18.75" customHeight="1" x14ac:dyDescent="0.4">
      <c r="A5280" s="14" t="s">
        <v>4684</v>
      </c>
      <c r="B5280" s="16" t="str">
        <f>TRIM("飛田ふれあい会館")</f>
        <v>飛田ふれあい会館</v>
      </c>
      <c r="C5280" s="14" t="s">
        <v>1521</v>
      </c>
      <c r="D5280" s="14" t="s">
        <v>1508</v>
      </c>
      <c r="E5280" s="1"/>
      <c r="F5280" s="2"/>
      <c r="G5280" s="1">
        <v>199.5</v>
      </c>
      <c r="H5280" s="3"/>
      <c r="I5280" s="14" t="s">
        <v>1687</v>
      </c>
    </row>
    <row r="5281" spans="1:9" ht="18.75" customHeight="1" x14ac:dyDescent="0.4">
      <c r="A5281" s="14" t="s">
        <v>2922</v>
      </c>
      <c r="B5281" s="16" t="str">
        <f>TRIM("　西皿池公園")</f>
        <v>西皿池公園</v>
      </c>
      <c r="C5281" s="14" t="s">
        <v>1521</v>
      </c>
      <c r="D5281" s="14" t="s">
        <v>1112</v>
      </c>
      <c r="E5281" s="1">
        <v>3939</v>
      </c>
      <c r="F5281" s="2"/>
      <c r="G5281" s="1"/>
      <c r="H5281" s="3"/>
      <c r="I5281" s="14" t="s">
        <v>2177</v>
      </c>
    </row>
    <row r="5282" spans="1:9" ht="18.75" customHeight="1" x14ac:dyDescent="0.4">
      <c r="A5282" s="14" t="s">
        <v>2242</v>
      </c>
      <c r="B5282" s="16" t="str">
        <f>TRIM("大阪伊丹線（西成）（管財課）")</f>
        <v>大阪伊丹線（西成）（管財課）</v>
      </c>
      <c r="C5282" s="14" t="s">
        <v>1521</v>
      </c>
      <c r="D5282" s="14" t="s">
        <v>924</v>
      </c>
      <c r="E5282" s="1">
        <v>19196.2</v>
      </c>
      <c r="F5282" s="2"/>
      <c r="G5282" s="1"/>
      <c r="H5282" s="3"/>
      <c r="I5282" s="14" t="s">
        <v>2177</v>
      </c>
    </row>
    <row r="5283" spans="1:9" ht="18.75" customHeight="1" x14ac:dyDescent="0.4">
      <c r="A5283" s="14" t="s">
        <v>5001</v>
      </c>
      <c r="B5283" s="16" t="str">
        <f>TRIM("天下茶屋小学校")</f>
        <v>天下茶屋小学校</v>
      </c>
      <c r="C5283" s="14" t="s">
        <v>1521</v>
      </c>
      <c r="D5283" s="14" t="s">
        <v>514</v>
      </c>
      <c r="E5283" s="1">
        <v>7157.02</v>
      </c>
      <c r="F5283" s="2"/>
      <c r="G5283" s="1">
        <v>4115.3900000000003</v>
      </c>
      <c r="H5283" s="3"/>
      <c r="I5283" s="14" t="s">
        <v>4689</v>
      </c>
    </row>
    <row r="5284" spans="1:9" ht="18.75" customHeight="1" x14ac:dyDescent="0.4">
      <c r="A5284" s="14" t="s">
        <v>5808</v>
      </c>
      <c r="B5284" s="16" t="str">
        <f>TRIM("天下茶屋幼稚園")</f>
        <v>天下茶屋幼稚園</v>
      </c>
      <c r="C5284" s="14" t="s">
        <v>1521</v>
      </c>
      <c r="D5284" s="14" t="s">
        <v>514</v>
      </c>
      <c r="E5284" s="1">
        <v>2294.71</v>
      </c>
      <c r="F5284" s="2"/>
      <c r="G5284" s="1">
        <v>983.66</v>
      </c>
      <c r="H5284" s="3"/>
      <c r="I5284" s="14" t="s">
        <v>5617</v>
      </c>
    </row>
    <row r="5285" spans="1:9" ht="18.75" customHeight="1" x14ac:dyDescent="0.4">
      <c r="A5285" s="14" t="s">
        <v>3312</v>
      </c>
      <c r="B5285" s="16" t="str">
        <f>TRIM("　北天下茶屋公園")</f>
        <v>北天下茶屋公園</v>
      </c>
      <c r="C5285" s="14" t="s">
        <v>1521</v>
      </c>
      <c r="D5285" s="14" t="s">
        <v>514</v>
      </c>
      <c r="E5285" s="1">
        <v>1918</v>
      </c>
      <c r="F5285" s="2"/>
      <c r="G5285" s="1"/>
      <c r="H5285" s="3"/>
      <c r="I5285" s="14" t="s">
        <v>2177</v>
      </c>
    </row>
    <row r="5286" spans="1:9" ht="18.75" customHeight="1" x14ac:dyDescent="0.4">
      <c r="A5286" s="14" t="s">
        <v>6851</v>
      </c>
      <c r="B5286" s="16" t="str">
        <f>TRIM("区画整理事業用地（天下茶屋工区）")</f>
        <v>区画整理事業用地（天下茶屋工区）</v>
      </c>
      <c r="C5286" s="14" t="s">
        <v>1521</v>
      </c>
      <c r="D5286" s="14" t="s">
        <v>890</v>
      </c>
      <c r="E5286" s="1">
        <v>51.17</v>
      </c>
      <c r="F5286" s="2"/>
      <c r="G5286" s="1"/>
      <c r="H5286" s="3"/>
      <c r="I5286" s="14" t="s">
        <v>6177</v>
      </c>
    </row>
    <row r="5287" spans="1:9" ht="18.75" customHeight="1" x14ac:dyDescent="0.4">
      <c r="A5287" s="14" t="s">
        <v>2203</v>
      </c>
      <c r="B5287" s="16" t="str">
        <f>TRIM("木津川平野線")</f>
        <v>木津川平野線</v>
      </c>
      <c r="C5287" s="14" t="s">
        <v>1521</v>
      </c>
      <c r="D5287" s="14" t="s">
        <v>173</v>
      </c>
      <c r="E5287" s="1">
        <v>8001.73</v>
      </c>
      <c r="F5287" s="2"/>
      <c r="G5287" s="1"/>
      <c r="H5287" s="3"/>
      <c r="I5287" s="14" t="s">
        <v>2177</v>
      </c>
    </row>
    <row r="5288" spans="1:9" ht="18.75" customHeight="1" x14ac:dyDescent="0.4">
      <c r="A5288" s="14" t="s">
        <v>2424</v>
      </c>
      <c r="B5288" s="16" t="str">
        <f>TRIM("木津川平野線（基金）")</f>
        <v>木津川平野線（基金）</v>
      </c>
      <c r="C5288" s="14" t="s">
        <v>1521</v>
      </c>
      <c r="D5288" s="14" t="s">
        <v>173</v>
      </c>
      <c r="E5288" s="1">
        <v>285.2</v>
      </c>
      <c r="F5288" s="2"/>
      <c r="G5288" s="1"/>
      <c r="H5288" s="3"/>
      <c r="I5288" s="14" t="s">
        <v>2177</v>
      </c>
    </row>
    <row r="5289" spans="1:9" ht="18.75" customHeight="1" x14ac:dyDescent="0.4">
      <c r="A5289" s="14" t="s">
        <v>2956</v>
      </c>
      <c r="B5289" s="16" t="str">
        <f>TRIM("　千本北公園")</f>
        <v>千本北公園</v>
      </c>
      <c r="C5289" s="14" t="s">
        <v>1521</v>
      </c>
      <c r="D5289" s="14" t="s">
        <v>173</v>
      </c>
      <c r="E5289" s="1">
        <v>1336.25</v>
      </c>
      <c r="F5289" s="2"/>
      <c r="G5289" s="1"/>
      <c r="H5289" s="3"/>
      <c r="I5289" s="14" t="s">
        <v>2177</v>
      </c>
    </row>
    <row r="5290" spans="1:9" ht="18.75" customHeight="1" x14ac:dyDescent="0.4">
      <c r="A5290" s="14" t="s">
        <v>5419</v>
      </c>
      <c r="B5290" s="16" t="str">
        <f>TRIM("もと天下茶屋公設市場")</f>
        <v>もと天下茶屋公設市場</v>
      </c>
      <c r="C5290" s="14" t="s">
        <v>1521</v>
      </c>
      <c r="D5290" s="14" t="s">
        <v>173</v>
      </c>
      <c r="E5290" s="1">
        <v>190.99</v>
      </c>
      <c r="F5290" s="2"/>
      <c r="G5290" s="1"/>
      <c r="H5290" s="3"/>
      <c r="I5290" s="14" t="s">
        <v>5349</v>
      </c>
    </row>
    <row r="5291" spans="1:9" ht="18.75" customHeight="1" x14ac:dyDescent="0.4">
      <c r="A5291" s="14" t="s">
        <v>1886</v>
      </c>
      <c r="B5291" s="16" t="str">
        <f>TRIM("成南地域在宅サービスステーション・認知症高齢者グループホームめぐみ苑")</f>
        <v>成南地域在宅サービスステーション・認知症高齢者グループホームめぐみ苑</v>
      </c>
      <c r="C5291" s="14" t="s">
        <v>1521</v>
      </c>
      <c r="D5291" s="14" t="s">
        <v>47</v>
      </c>
      <c r="E5291" s="1">
        <v>965.53</v>
      </c>
      <c r="F5291" s="2"/>
      <c r="G5291" s="1"/>
      <c r="H5291" s="3"/>
      <c r="I5291" s="14" t="s">
        <v>1654</v>
      </c>
    </row>
    <row r="5292" spans="1:9" ht="18.75" customHeight="1" x14ac:dyDescent="0.4">
      <c r="A5292" s="14" t="s">
        <v>2072</v>
      </c>
      <c r="B5292" s="16" t="str">
        <f>TRIM("千本福祉会館老人憩の家")</f>
        <v>千本福祉会館老人憩の家</v>
      </c>
      <c r="C5292" s="14" t="s">
        <v>1521</v>
      </c>
      <c r="D5292" s="14" t="s">
        <v>47</v>
      </c>
      <c r="E5292" s="1">
        <v>347.75</v>
      </c>
      <c r="F5292" s="2"/>
      <c r="G5292" s="1"/>
      <c r="H5292" s="3"/>
      <c r="I5292" s="14" t="s">
        <v>1687</v>
      </c>
    </row>
    <row r="5293" spans="1:9" ht="18.75" customHeight="1" x14ac:dyDescent="0.4">
      <c r="A5293" s="14" t="s">
        <v>2646</v>
      </c>
      <c r="B5293" s="16" t="str">
        <f>TRIM("　橘千本北公園")</f>
        <v>橘千本北公園</v>
      </c>
      <c r="C5293" s="14" t="s">
        <v>1521</v>
      </c>
      <c r="D5293" s="14" t="s">
        <v>47</v>
      </c>
      <c r="E5293" s="1">
        <v>2552.42</v>
      </c>
      <c r="F5293" s="2"/>
      <c r="G5293" s="1"/>
      <c r="H5293" s="3"/>
      <c r="I5293" s="14" t="s">
        <v>2177</v>
      </c>
    </row>
    <row r="5294" spans="1:9" ht="18.75" customHeight="1" x14ac:dyDescent="0.4">
      <c r="A5294" s="14" t="s">
        <v>6197</v>
      </c>
      <c r="B5294" s="16" t="str">
        <f>TRIM("新開住宅用地")</f>
        <v>新開住宅用地</v>
      </c>
      <c r="C5294" s="14" t="s">
        <v>1521</v>
      </c>
      <c r="D5294" s="14" t="s">
        <v>47</v>
      </c>
      <c r="E5294" s="1">
        <v>2600.69</v>
      </c>
      <c r="F5294" s="2"/>
      <c r="G5294" s="1"/>
      <c r="H5294" s="3"/>
      <c r="I5294" s="14" t="s">
        <v>6177</v>
      </c>
    </row>
    <row r="5295" spans="1:9" ht="18.75" customHeight="1" x14ac:dyDescent="0.4">
      <c r="A5295" s="14" t="s">
        <v>7064</v>
      </c>
      <c r="B5295" s="16" t="str">
        <f>TRIM("天下茶屋小売市場民営活性化事業施設")</f>
        <v>天下茶屋小売市場民営活性化事業施設</v>
      </c>
      <c r="C5295" s="14" t="s">
        <v>1521</v>
      </c>
      <c r="D5295" s="14" t="s">
        <v>47</v>
      </c>
      <c r="E5295" s="1">
        <v>1195.42</v>
      </c>
      <c r="F5295" s="2"/>
      <c r="G5295" s="1"/>
      <c r="H5295" s="3"/>
      <c r="I5295" s="14" t="s">
        <v>4115</v>
      </c>
    </row>
    <row r="5296" spans="1:9" ht="18.75" customHeight="1" x14ac:dyDescent="0.4">
      <c r="A5296" s="14" t="s">
        <v>6812</v>
      </c>
      <c r="B5296" s="16" t="str">
        <f>TRIM("肩替地（天下茶屋）")</f>
        <v>肩替地（天下茶屋）</v>
      </c>
      <c r="C5296" s="14" t="s">
        <v>1521</v>
      </c>
      <c r="D5296" s="14" t="s">
        <v>161</v>
      </c>
      <c r="E5296" s="1">
        <v>251.76</v>
      </c>
      <c r="F5296" s="2" t="s">
        <v>7280</v>
      </c>
      <c r="G5296" s="1"/>
      <c r="H5296" s="3"/>
      <c r="I5296" s="14" t="s">
        <v>6177</v>
      </c>
    </row>
    <row r="5297" spans="1:9" ht="18.75" customHeight="1" x14ac:dyDescent="0.4">
      <c r="A5297" s="14" t="s">
        <v>4767</v>
      </c>
      <c r="B5297" s="16" t="str">
        <f>TRIM("岸里小学校")</f>
        <v>岸里小学校</v>
      </c>
      <c r="C5297" s="14" t="s">
        <v>1521</v>
      </c>
      <c r="D5297" s="14" t="s">
        <v>161</v>
      </c>
      <c r="E5297" s="1">
        <v>11678.48</v>
      </c>
      <c r="F5297" s="2"/>
      <c r="G5297" s="1">
        <v>5666.93</v>
      </c>
      <c r="H5297" s="3"/>
      <c r="I5297" s="14" t="s">
        <v>4689</v>
      </c>
    </row>
    <row r="5298" spans="1:9" ht="18.75" customHeight="1" x14ac:dyDescent="0.4">
      <c r="A5298" s="14" t="s">
        <v>4897</v>
      </c>
      <c r="B5298" s="16" t="str">
        <f>TRIM("成南中学校")</f>
        <v>成南中学校</v>
      </c>
      <c r="C5298" s="14" t="s">
        <v>1521</v>
      </c>
      <c r="D5298" s="14" t="s">
        <v>161</v>
      </c>
      <c r="E5298" s="1">
        <v>14798.78</v>
      </c>
      <c r="F5298" s="2"/>
      <c r="G5298" s="1">
        <v>8666.14</v>
      </c>
      <c r="H5298" s="3"/>
      <c r="I5298" s="14" t="s">
        <v>4689</v>
      </c>
    </row>
    <row r="5299" spans="1:9" ht="18.75" customHeight="1" x14ac:dyDescent="0.4">
      <c r="A5299" s="14" t="s">
        <v>6464</v>
      </c>
      <c r="B5299" s="16" t="str">
        <f>TRIM("千本住宅")</f>
        <v>千本住宅</v>
      </c>
      <c r="C5299" s="14" t="s">
        <v>1521</v>
      </c>
      <c r="D5299" s="14" t="s">
        <v>161</v>
      </c>
      <c r="E5299" s="1">
        <v>4991.7299999999996</v>
      </c>
      <c r="F5299" s="2"/>
      <c r="G5299" s="1">
        <v>3289.98</v>
      </c>
      <c r="H5299" s="3"/>
      <c r="I5299" s="14" t="s">
        <v>6177</v>
      </c>
    </row>
    <row r="5300" spans="1:9" ht="18.75" customHeight="1" x14ac:dyDescent="0.4">
      <c r="A5300" s="14" t="s">
        <v>2343</v>
      </c>
      <c r="B5300" s="16" t="str">
        <f>TRIM("国道26号線(西成)(もと交通局)")</f>
        <v>国道26号線(西成)(もと交通局)</v>
      </c>
      <c r="C5300" s="14" t="s">
        <v>1521</v>
      </c>
      <c r="D5300" s="14" t="s">
        <v>161</v>
      </c>
      <c r="E5300" s="1">
        <v>25.17</v>
      </c>
      <c r="F5300" s="2"/>
      <c r="G5300" s="1"/>
      <c r="H5300" s="3"/>
      <c r="I5300" s="14" t="s">
        <v>2177</v>
      </c>
    </row>
    <row r="5301" spans="1:9" ht="18.75" customHeight="1" x14ac:dyDescent="0.4">
      <c r="A5301" s="14" t="s">
        <v>5168</v>
      </c>
      <c r="B5301" s="16" t="str">
        <f>TRIM("成南校園営繕園芸事務所")</f>
        <v>成南校園営繕園芸事務所</v>
      </c>
      <c r="C5301" s="14" t="s">
        <v>1521</v>
      </c>
      <c r="D5301" s="14" t="s">
        <v>161</v>
      </c>
      <c r="E5301" s="1"/>
      <c r="F5301" s="2"/>
      <c r="G5301" s="1">
        <v>363</v>
      </c>
      <c r="H5301" s="3"/>
      <c r="I5301" s="14" t="s">
        <v>4689</v>
      </c>
    </row>
    <row r="5302" spans="1:9" ht="18.75" customHeight="1" x14ac:dyDescent="0.4">
      <c r="A5302" s="14" t="s">
        <v>5403</v>
      </c>
      <c r="B5302" s="16" t="str">
        <f>TRIM("もと成南中学校（児童遊園）")</f>
        <v>もと成南中学校（児童遊園）</v>
      </c>
      <c r="C5302" s="14" t="s">
        <v>1521</v>
      </c>
      <c r="D5302" s="14" t="s">
        <v>161</v>
      </c>
      <c r="E5302" s="1">
        <v>494.31</v>
      </c>
      <c r="F5302" s="2"/>
      <c r="G5302" s="1"/>
      <c r="H5302" s="3"/>
      <c r="I5302" s="14" t="s">
        <v>5349</v>
      </c>
    </row>
    <row r="5303" spans="1:9" ht="18.75" customHeight="1" x14ac:dyDescent="0.4">
      <c r="A5303" s="14" t="s">
        <v>6465</v>
      </c>
      <c r="B5303" s="16" t="str">
        <f>TRIM("千本中住宅")</f>
        <v>千本中住宅</v>
      </c>
      <c r="C5303" s="14" t="s">
        <v>1521</v>
      </c>
      <c r="D5303" s="14" t="s">
        <v>776</v>
      </c>
      <c r="E5303" s="1">
        <v>10020.870000000001</v>
      </c>
      <c r="F5303" s="2">
        <v>2091</v>
      </c>
      <c r="G5303" s="1">
        <v>5966.45</v>
      </c>
      <c r="H5303" s="3"/>
      <c r="I5303" s="14" t="s">
        <v>6177</v>
      </c>
    </row>
    <row r="5304" spans="1:9" ht="18.75" customHeight="1" x14ac:dyDescent="0.4">
      <c r="A5304" s="14" t="s">
        <v>4919</v>
      </c>
      <c r="B5304" s="16" t="str">
        <f>TRIM("千本小学校")</f>
        <v>千本小学校</v>
      </c>
      <c r="C5304" s="14" t="s">
        <v>1521</v>
      </c>
      <c r="D5304" s="14" t="s">
        <v>776</v>
      </c>
      <c r="E5304" s="1">
        <v>8381.5400000000009</v>
      </c>
      <c r="F5304" s="2"/>
      <c r="G5304" s="1">
        <v>8161.66</v>
      </c>
      <c r="H5304" s="3"/>
      <c r="I5304" s="14" t="s">
        <v>4689</v>
      </c>
    </row>
    <row r="5305" spans="1:9" ht="18.75" customHeight="1" x14ac:dyDescent="0.4">
      <c r="A5305" s="14" t="s">
        <v>3118</v>
      </c>
      <c r="B5305" s="16" t="str">
        <f>TRIM("　田端公園")</f>
        <v>田端公園</v>
      </c>
      <c r="C5305" s="14" t="s">
        <v>1521</v>
      </c>
      <c r="D5305" s="14" t="s">
        <v>1180</v>
      </c>
      <c r="E5305" s="1">
        <v>4720.13</v>
      </c>
      <c r="F5305" s="2"/>
      <c r="G5305" s="1"/>
      <c r="H5305" s="3"/>
      <c r="I5305" s="14" t="s">
        <v>2177</v>
      </c>
    </row>
    <row r="5306" spans="1:9" ht="18.75" customHeight="1" x14ac:dyDescent="0.4">
      <c r="A5306" s="14" t="s">
        <v>2071</v>
      </c>
      <c r="B5306" s="16" t="str">
        <f>TRIM("千本会館老人憩の家")</f>
        <v>千本会館老人憩の家</v>
      </c>
      <c r="C5306" s="14" t="s">
        <v>1521</v>
      </c>
      <c r="D5306" s="14" t="s">
        <v>582</v>
      </c>
      <c r="E5306" s="1">
        <v>169.1</v>
      </c>
      <c r="F5306" s="2"/>
      <c r="G5306" s="1">
        <v>95.38</v>
      </c>
      <c r="H5306" s="3"/>
      <c r="I5306" s="14" t="s">
        <v>1687</v>
      </c>
    </row>
    <row r="5307" spans="1:9" ht="18.75" customHeight="1" x14ac:dyDescent="0.4">
      <c r="A5307" s="14" t="s">
        <v>5884</v>
      </c>
      <c r="B5307" s="16" t="str">
        <f>TRIM("千本保育所")</f>
        <v>千本保育所</v>
      </c>
      <c r="C5307" s="14" t="s">
        <v>1521</v>
      </c>
      <c r="D5307" s="14" t="s">
        <v>582</v>
      </c>
      <c r="E5307" s="1">
        <v>981.31</v>
      </c>
      <c r="F5307" s="2"/>
      <c r="G5307" s="1">
        <v>462.48</v>
      </c>
      <c r="H5307" s="3"/>
      <c r="I5307" s="14" t="s">
        <v>5617</v>
      </c>
    </row>
    <row r="5308" spans="1:9" ht="18.75" customHeight="1" x14ac:dyDescent="0.4">
      <c r="A5308" s="14" t="s">
        <v>2955</v>
      </c>
      <c r="B5308" s="16" t="str">
        <f>TRIM("　千本南公園")</f>
        <v>千本南公園</v>
      </c>
      <c r="C5308" s="14" t="s">
        <v>1521</v>
      </c>
      <c r="D5308" s="14" t="s">
        <v>582</v>
      </c>
      <c r="E5308" s="1">
        <v>1652.55</v>
      </c>
      <c r="F5308" s="2"/>
      <c r="G5308" s="1"/>
      <c r="H5308" s="3"/>
      <c r="I5308" s="14" t="s">
        <v>2177</v>
      </c>
    </row>
    <row r="5309" spans="1:9" ht="18.75" customHeight="1" x14ac:dyDescent="0.4">
      <c r="A5309" s="14" t="s">
        <v>6203</v>
      </c>
      <c r="B5309" s="16" t="str">
        <f>TRIM("千本西1災害者住宅用地")</f>
        <v>千本西1災害者住宅用地</v>
      </c>
      <c r="C5309" s="14" t="s">
        <v>1521</v>
      </c>
      <c r="D5309" s="14" t="s">
        <v>582</v>
      </c>
      <c r="E5309" s="1">
        <v>1120.8900000000001</v>
      </c>
      <c r="F5309" s="2"/>
      <c r="G5309" s="1"/>
      <c r="H5309" s="3"/>
      <c r="I5309" s="14" t="s">
        <v>6177</v>
      </c>
    </row>
    <row r="5310" spans="1:9" ht="18.75" customHeight="1" x14ac:dyDescent="0.4">
      <c r="A5310" s="14" t="s">
        <v>5912</v>
      </c>
      <c r="B5310" s="16" t="str">
        <f>TRIM("もと東田保育所")</f>
        <v>もと東田保育所</v>
      </c>
      <c r="C5310" s="14" t="s">
        <v>1521</v>
      </c>
      <c r="D5310" s="14" t="s">
        <v>592</v>
      </c>
      <c r="E5310" s="1">
        <v>595.04</v>
      </c>
      <c r="F5310" s="2">
        <v>1913</v>
      </c>
      <c r="G5310" s="1">
        <v>377.35</v>
      </c>
      <c r="H5310" s="3" t="s">
        <v>7353</v>
      </c>
      <c r="I5310" s="14" t="s">
        <v>5617</v>
      </c>
    </row>
    <row r="5311" spans="1:9" ht="18.75" customHeight="1" x14ac:dyDescent="0.4">
      <c r="A5311" s="14" t="s">
        <v>3517</v>
      </c>
      <c r="B5311" s="16" t="str">
        <f>TRIM("太子公園")</f>
        <v>太子公園</v>
      </c>
      <c r="C5311" s="14" t="s">
        <v>1521</v>
      </c>
      <c r="D5311" s="14" t="s">
        <v>592</v>
      </c>
      <c r="E5311" s="1">
        <v>504.19</v>
      </c>
      <c r="F5311" s="2" t="s">
        <v>7281</v>
      </c>
      <c r="G5311" s="1"/>
      <c r="H5311" s="3"/>
      <c r="I5311" s="14" t="s">
        <v>2177</v>
      </c>
    </row>
    <row r="5312" spans="1:9" ht="18.75" customHeight="1" x14ac:dyDescent="0.4">
      <c r="A5312" s="14" t="s">
        <v>1686</v>
      </c>
      <c r="B5312" s="16" t="str">
        <f>TRIM("西成区保健福祉センター分館")</f>
        <v>西成区保健福祉センター分館</v>
      </c>
      <c r="C5312" s="14" t="s">
        <v>1521</v>
      </c>
      <c r="D5312" s="14" t="s">
        <v>592</v>
      </c>
      <c r="E5312" s="1">
        <v>489.02</v>
      </c>
      <c r="F5312" s="2"/>
      <c r="G5312" s="1">
        <v>1688.72</v>
      </c>
      <c r="H5312" s="3"/>
      <c r="I5312" s="14" t="s">
        <v>1687</v>
      </c>
    </row>
    <row r="5313" spans="1:9" ht="18.75" customHeight="1" x14ac:dyDescent="0.4">
      <c r="A5313" s="14" t="s">
        <v>2162</v>
      </c>
      <c r="B5313" s="16" t="str">
        <f>TRIM("老人憩の家（西成区太子）")</f>
        <v>老人憩の家（西成区太子）</v>
      </c>
      <c r="C5313" s="14" t="s">
        <v>1521</v>
      </c>
      <c r="D5313" s="14" t="s">
        <v>592</v>
      </c>
      <c r="E5313" s="1">
        <v>132.35</v>
      </c>
      <c r="F5313" s="2"/>
      <c r="G5313" s="1"/>
      <c r="H5313" s="3"/>
      <c r="I5313" s="14" t="s">
        <v>1687</v>
      </c>
    </row>
    <row r="5314" spans="1:9" ht="18.75" customHeight="1" x14ac:dyDescent="0.4">
      <c r="A5314" s="14" t="s">
        <v>5002</v>
      </c>
      <c r="B5314" s="16" t="str">
        <f>TRIM("天下茶屋中学校")</f>
        <v>天下茶屋中学校</v>
      </c>
      <c r="C5314" s="14" t="s">
        <v>1521</v>
      </c>
      <c r="D5314" s="14" t="s">
        <v>1420</v>
      </c>
      <c r="E5314" s="1">
        <v>11305.45</v>
      </c>
      <c r="F5314" s="2"/>
      <c r="G5314" s="1">
        <v>6509.45</v>
      </c>
      <c r="H5314" s="3"/>
      <c r="I5314" s="14" t="s">
        <v>4689</v>
      </c>
    </row>
    <row r="5315" spans="1:9" ht="18.75" customHeight="1" x14ac:dyDescent="0.4">
      <c r="A5315" s="14" t="s">
        <v>4774</v>
      </c>
      <c r="B5315" s="16" t="str">
        <f>TRIM("橘小学校")</f>
        <v>橘小学校</v>
      </c>
      <c r="C5315" s="14" t="s">
        <v>1521</v>
      </c>
      <c r="D5315" s="14" t="s">
        <v>1390</v>
      </c>
      <c r="E5315" s="1">
        <v>10823.56</v>
      </c>
      <c r="F5315" s="2"/>
      <c r="G5315" s="1">
        <v>5433.96</v>
      </c>
      <c r="H5315" s="3"/>
      <c r="I5315" s="14" t="s">
        <v>4689</v>
      </c>
    </row>
    <row r="5316" spans="1:9" ht="18.75" customHeight="1" x14ac:dyDescent="0.4">
      <c r="A5316" s="14" t="s">
        <v>3417</v>
      </c>
      <c r="B5316" s="16" t="str">
        <f>TRIM("橘第3公園")</f>
        <v>橘第3公園</v>
      </c>
      <c r="C5316" s="14" t="s">
        <v>1521</v>
      </c>
      <c r="D5316" s="14" t="s">
        <v>567</v>
      </c>
      <c r="E5316" s="1">
        <v>839.11</v>
      </c>
      <c r="F5316" s="2"/>
      <c r="G5316" s="1"/>
      <c r="H5316" s="3"/>
      <c r="I5316" s="14" t="s">
        <v>2177</v>
      </c>
    </row>
    <row r="5317" spans="1:9" ht="18.75" customHeight="1" x14ac:dyDescent="0.4">
      <c r="A5317" s="14" t="s">
        <v>5851</v>
      </c>
      <c r="B5317" s="16" t="str">
        <f>TRIM("たちばな保育園")</f>
        <v>たちばな保育園</v>
      </c>
      <c r="C5317" s="14" t="s">
        <v>1521</v>
      </c>
      <c r="D5317" s="14" t="s">
        <v>567</v>
      </c>
      <c r="E5317" s="1">
        <v>871.27</v>
      </c>
      <c r="F5317" s="2"/>
      <c r="G5317" s="1"/>
      <c r="H5317" s="3"/>
      <c r="I5317" s="14" t="s">
        <v>5617</v>
      </c>
    </row>
    <row r="5318" spans="1:9" ht="18.75" customHeight="1" x14ac:dyDescent="0.4">
      <c r="A5318" s="14" t="s">
        <v>7039</v>
      </c>
      <c r="B5318" s="16" t="str">
        <f>TRIM("もと玉出公設市場")</f>
        <v>もと玉出公設市場</v>
      </c>
      <c r="C5318" s="14" t="s">
        <v>1521</v>
      </c>
      <c r="D5318" s="14" t="s">
        <v>25</v>
      </c>
      <c r="E5318" s="1">
        <v>1532.09</v>
      </c>
      <c r="F5318" s="2">
        <v>789</v>
      </c>
      <c r="G5318" s="1">
        <v>1472.96</v>
      </c>
      <c r="H5318" s="3"/>
      <c r="I5318" s="14" t="s">
        <v>4115</v>
      </c>
    </row>
    <row r="5319" spans="1:9" ht="18.75" customHeight="1" x14ac:dyDescent="0.4">
      <c r="A5319" s="14" t="s">
        <v>6025</v>
      </c>
      <c r="B5319" s="16" t="str">
        <f>TRIM("西成区内公衆便所")</f>
        <v>西成区内公衆便所</v>
      </c>
      <c r="C5319" s="14" t="s">
        <v>1521</v>
      </c>
      <c r="D5319" s="14" t="s">
        <v>25</v>
      </c>
      <c r="E5319" s="1">
        <v>7.93</v>
      </c>
      <c r="F5319" s="2"/>
      <c r="G5319" s="1">
        <v>88.63</v>
      </c>
      <c r="H5319" s="3"/>
      <c r="I5319" s="14" t="s">
        <v>5977</v>
      </c>
    </row>
    <row r="5320" spans="1:9" ht="18.75" customHeight="1" x14ac:dyDescent="0.4">
      <c r="A5320" s="14" t="s">
        <v>2653</v>
      </c>
      <c r="B5320" s="16" t="str">
        <f>TRIM("　玉出公園")</f>
        <v>玉出公園</v>
      </c>
      <c r="C5320" s="14" t="s">
        <v>1521</v>
      </c>
      <c r="D5320" s="14" t="s">
        <v>25</v>
      </c>
      <c r="E5320" s="1">
        <v>2927.1</v>
      </c>
      <c r="F5320" s="2"/>
      <c r="G5320" s="1"/>
      <c r="H5320" s="3"/>
      <c r="I5320" s="14" t="s">
        <v>2177</v>
      </c>
    </row>
    <row r="5321" spans="1:9" ht="18.75" customHeight="1" x14ac:dyDescent="0.4">
      <c r="A5321" s="14" t="s">
        <v>5473</v>
      </c>
      <c r="B5321" s="16" t="str">
        <f>TRIM("契約管財局賃貸地（西成）")</f>
        <v>契約管財局賃貸地（西成）</v>
      </c>
      <c r="C5321" s="14" t="s">
        <v>1521</v>
      </c>
      <c r="D5321" s="14" t="s">
        <v>25</v>
      </c>
      <c r="E5321" s="1">
        <v>43.83</v>
      </c>
      <c r="F5321" s="2"/>
      <c r="G5321" s="1"/>
      <c r="H5321" s="3"/>
      <c r="I5321" s="14" t="s">
        <v>5349</v>
      </c>
    </row>
    <row r="5322" spans="1:9" ht="18.75" customHeight="1" x14ac:dyDescent="0.4">
      <c r="A5322" s="14" t="s">
        <v>4781</v>
      </c>
      <c r="B5322" s="16" t="str">
        <f>TRIM("玉出小学校")</f>
        <v>玉出小学校</v>
      </c>
      <c r="C5322" s="14" t="s">
        <v>1521</v>
      </c>
      <c r="D5322" s="14" t="s">
        <v>496</v>
      </c>
      <c r="E5322" s="1">
        <v>8315.61</v>
      </c>
      <c r="F5322" s="2"/>
      <c r="G5322" s="1">
        <v>5279.71</v>
      </c>
      <c r="H5322" s="3"/>
      <c r="I5322" s="14" t="s">
        <v>4689</v>
      </c>
    </row>
    <row r="5323" spans="1:9" ht="18.75" customHeight="1" x14ac:dyDescent="0.4">
      <c r="A5323" s="14" t="s">
        <v>5782</v>
      </c>
      <c r="B5323" s="16" t="str">
        <f>TRIM("玉出幼稚園")</f>
        <v>玉出幼稚園</v>
      </c>
      <c r="C5323" s="14" t="s">
        <v>1521</v>
      </c>
      <c r="D5323" s="14" t="s">
        <v>496</v>
      </c>
      <c r="E5323" s="1">
        <v>1839.83</v>
      </c>
      <c r="F5323" s="2"/>
      <c r="G5323" s="1">
        <v>1118.18</v>
      </c>
      <c r="H5323" s="3"/>
      <c r="I5323" s="14" t="s">
        <v>5617</v>
      </c>
    </row>
    <row r="5324" spans="1:9" ht="18.75" customHeight="1" x14ac:dyDescent="0.4">
      <c r="A5324" s="14" t="s">
        <v>2655</v>
      </c>
      <c r="B5324" s="16" t="str">
        <f>TRIM("　玉出南公園")</f>
        <v>玉出南公園</v>
      </c>
      <c r="C5324" s="14" t="s">
        <v>1521</v>
      </c>
      <c r="D5324" s="14" t="s">
        <v>496</v>
      </c>
      <c r="E5324" s="1">
        <v>2542.44</v>
      </c>
      <c r="F5324" s="2"/>
      <c r="G5324" s="1"/>
      <c r="H5324" s="3"/>
      <c r="I5324" s="14" t="s">
        <v>2177</v>
      </c>
    </row>
    <row r="5325" spans="1:9" ht="18.75" customHeight="1" x14ac:dyDescent="0.4">
      <c r="A5325" s="14" t="s">
        <v>2008</v>
      </c>
      <c r="B5325" s="16" t="str">
        <f>TRIM("玉出西公園会館・老人憩の家")</f>
        <v>玉出西公園会館・老人憩の家</v>
      </c>
      <c r="C5325" s="14" t="s">
        <v>1521</v>
      </c>
      <c r="D5325" s="14" t="s">
        <v>1028</v>
      </c>
      <c r="E5325" s="1">
        <v>395.45</v>
      </c>
      <c r="F5325" s="2"/>
      <c r="G5325" s="1">
        <v>431.04</v>
      </c>
      <c r="H5325" s="3"/>
      <c r="I5325" s="14" t="s">
        <v>1687</v>
      </c>
    </row>
    <row r="5326" spans="1:9" ht="18.75" customHeight="1" x14ac:dyDescent="0.4">
      <c r="A5326" s="14" t="s">
        <v>4782</v>
      </c>
      <c r="B5326" s="16" t="str">
        <f>TRIM("玉出中学校")</f>
        <v>玉出中学校</v>
      </c>
      <c r="C5326" s="14" t="s">
        <v>1521</v>
      </c>
      <c r="D5326" s="14" t="s">
        <v>1028</v>
      </c>
      <c r="E5326" s="1">
        <v>10990.31</v>
      </c>
      <c r="F5326" s="2"/>
      <c r="G5326" s="1">
        <v>7095.95</v>
      </c>
      <c r="H5326" s="3"/>
      <c r="I5326" s="14" t="s">
        <v>4689</v>
      </c>
    </row>
    <row r="5327" spans="1:9" ht="18.75" customHeight="1" x14ac:dyDescent="0.4">
      <c r="A5327" s="14" t="s">
        <v>2654</v>
      </c>
      <c r="B5327" s="16" t="str">
        <f>TRIM("　玉出西公園")</f>
        <v>玉出西公園</v>
      </c>
      <c r="C5327" s="14" t="s">
        <v>1521</v>
      </c>
      <c r="D5327" s="14" t="s">
        <v>1028</v>
      </c>
      <c r="E5327" s="1">
        <v>9806.4699999999993</v>
      </c>
      <c r="F5327" s="2"/>
      <c r="G5327" s="1"/>
      <c r="H5327" s="3"/>
      <c r="I5327" s="14" t="s">
        <v>2177</v>
      </c>
    </row>
    <row r="5328" spans="1:9" ht="18.75" customHeight="1" x14ac:dyDescent="0.4">
      <c r="A5328" s="14" t="s">
        <v>3547</v>
      </c>
      <c r="B5328" s="16" t="str">
        <f>TRIM("　玉出西公園")</f>
        <v>玉出西公園</v>
      </c>
      <c r="C5328" s="14" t="s">
        <v>1521</v>
      </c>
      <c r="D5328" s="14" t="s">
        <v>1028</v>
      </c>
      <c r="E5328" s="1"/>
      <c r="F5328" s="2"/>
      <c r="G5328" s="1">
        <v>19.2</v>
      </c>
      <c r="H5328" s="3"/>
      <c r="I5328" s="14" t="s">
        <v>2177</v>
      </c>
    </row>
    <row r="5329" spans="1:9" ht="18.75" customHeight="1" x14ac:dyDescent="0.4">
      <c r="A5329" s="14" t="s">
        <v>5729</v>
      </c>
      <c r="B5329" s="16" t="str">
        <f>TRIM("玉出西保育園")</f>
        <v>玉出西保育園</v>
      </c>
      <c r="C5329" s="14" t="s">
        <v>1521</v>
      </c>
      <c r="D5329" s="14" t="s">
        <v>58</v>
      </c>
      <c r="E5329" s="1">
        <v>1320.01</v>
      </c>
      <c r="F5329" s="2"/>
      <c r="G5329" s="1">
        <v>597.16</v>
      </c>
      <c r="H5329" s="3"/>
      <c r="I5329" s="14" t="s">
        <v>5617</v>
      </c>
    </row>
    <row r="5330" spans="1:9" ht="18.75" customHeight="1" x14ac:dyDescent="0.4">
      <c r="A5330" s="14" t="s">
        <v>5375</v>
      </c>
      <c r="B5330" s="16" t="str">
        <f>TRIM("もと玉出質舗（児童遊園）")</f>
        <v>もと玉出質舗（児童遊園）</v>
      </c>
      <c r="C5330" s="14" t="s">
        <v>1521</v>
      </c>
      <c r="D5330" s="14" t="s">
        <v>58</v>
      </c>
      <c r="E5330" s="1">
        <v>272.85000000000002</v>
      </c>
      <c r="F5330" s="2"/>
      <c r="G5330" s="1"/>
      <c r="H5330" s="3"/>
      <c r="I5330" s="14" t="s">
        <v>5349</v>
      </c>
    </row>
    <row r="5331" spans="1:9" ht="18.75" customHeight="1" x14ac:dyDescent="0.4">
      <c r="A5331" s="14" t="s">
        <v>7076</v>
      </c>
      <c r="B5331" s="16" t="str">
        <f>TRIM("玉出小売市場民営活性化事業施設")</f>
        <v>玉出小売市場民営活性化事業施設</v>
      </c>
      <c r="C5331" s="14" t="s">
        <v>1521</v>
      </c>
      <c r="D5331" s="14" t="s">
        <v>58</v>
      </c>
      <c r="E5331" s="1">
        <v>801.83</v>
      </c>
      <c r="F5331" s="2"/>
      <c r="G5331" s="1"/>
      <c r="H5331" s="3"/>
      <c r="I5331" s="14" t="s">
        <v>4115</v>
      </c>
    </row>
    <row r="5332" spans="1:9" ht="18.75" customHeight="1" x14ac:dyDescent="0.4">
      <c r="A5332" s="14" t="s">
        <v>3985</v>
      </c>
      <c r="B5332" s="16" t="str">
        <f>TRIM("もと南工営所")</f>
        <v>もと南工営所</v>
      </c>
      <c r="C5332" s="14" t="s">
        <v>1521</v>
      </c>
      <c r="D5332" s="14" t="s">
        <v>538</v>
      </c>
      <c r="E5332" s="1">
        <v>5530.77</v>
      </c>
      <c r="F5332" s="2"/>
      <c r="G5332" s="1">
        <v>6468.03</v>
      </c>
      <c r="H5332" s="3" t="s">
        <v>7353</v>
      </c>
      <c r="I5332" s="14" t="s">
        <v>2177</v>
      </c>
    </row>
    <row r="5333" spans="1:9" ht="18.75" customHeight="1" x14ac:dyDescent="0.4">
      <c r="A5333" s="14" t="s">
        <v>5730</v>
      </c>
      <c r="B5333" s="16" t="str">
        <f>TRIM("玉出東保育園")</f>
        <v>玉出東保育園</v>
      </c>
      <c r="C5333" s="14" t="s">
        <v>1521</v>
      </c>
      <c r="D5333" s="14" t="s">
        <v>538</v>
      </c>
      <c r="E5333" s="1">
        <v>1299.04</v>
      </c>
      <c r="F5333" s="2"/>
      <c r="G5333" s="1"/>
      <c r="H5333" s="3"/>
      <c r="I5333" s="14" t="s">
        <v>5617</v>
      </c>
    </row>
    <row r="5334" spans="1:9" ht="18.75" customHeight="1" x14ac:dyDescent="0.4">
      <c r="A5334" s="14" t="s">
        <v>7112</v>
      </c>
      <c r="B5334" s="16" t="str">
        <f>TRIM("西成スポーツセンター")</f>
        <v>西成スポーツセンター</v>
      </c>
      <c r="C5334" s="14" t="s">
        <v>1521</v>
      </c>
      <c r="D5334" s="14" t="s">
        <v>538</v>
      </c>
      <c r="E5334" s="1"/>
      <c r="F5334" s="2"/>
      <c r="G5334" s="1">
        <v>4557.07</v>
      </c>
      <c r="H5334" s="3"/>
      <c r="I5334" s="14" t="s">
        <v>4115</v>
      </c>
    </row>
    <row r="5335" spans="1:9" ht="18.75" customHeight="1" x14ac:dyDescent="0.4">
      <c r="A5335" s="14" t="s">
        <v>7113</v>
      </c>
      <c r="B5335" s="16" t="str">
        <f>TRIM("西成屋内プール")</f>
        <v>西成屋内プール</v>
      </c>
      <c r="C5335" s="14" t="s">
        <v>1521</v>
      </c>
      <c r="D5335" s="14" t="s">
        <v>538</v>
      </c>
      <c r="E5335" s="1"/>
      <c r="F5335" s="2"/>
      <c r="G5335" s="1">
        <v>2218.02</v>
      </c>
      <c r="H5335" s="3"/>
      <c r="I5335" s="14" t="s">
        <v>4115</v>
      </c>
    </row>
    <row r="5336" spans="1:9" ht="18.75" customHeight="1" x14ac:dyDescent="0.4">
      <c r="A5336" s="14" t="s">
        <v>5499</v>
      </c>
      <c r="B5336" s="16" t="str">
        <f>TRIM("西成署長公舎")</f>
        <v>西成署長公舎</v>
      </c>
      <c r="C5336" s="14" t="s">
        <v>1521</v>
      </c>
      <c r="D5336" s="14" t="s">
        <v>234</v>
      </c>
      <c r="E5336" s="1">
        <v>152.88</v>
      </c>
      <c r="F5336" s="2"/>
      <c r="G5336" s="1"/>
      <c r="H5336" s="3"/>
      <c r="I5336" s="14" t="s">
        <v>5349</v>
      </c>
    </row>
    <row r="5337" spans="1:9" ht="18.75" customHeight="1" x14ac:dyDescent="0.4">
      <c r="A5337" s="14" t="s">
        <v>6160</v>
      </c>
      <c r="B5337" s="16" t="str">
        <f>TRIM("粉浜霊園")</f>
        <v>粉浜霊園</v>
      </c>
      <c r="C5337" s="14" t="s">
        <v>1521</v>
      </c>
      <c r="D5337" s="14" t="s">
        <v>234</v>
      </c>
      <c r="E5337" s="1">
        <v>2247.9299999999998</v>
      </c>
      <c r="F5337" s="2"/>
      <c r="G5337" s="1"/>
      <c r="H5337" s="3"/>
      <c r="I5337" s="14" t="s">
        <v>5977</v>
      </c>
    </row>
    <row r="5338" spans="1:9" ht="18.75" customHeight="1" x14ac:dyDescent="0.4">
      <c r="A5338" s="14" t="s">
        <v>5902</v>
      </c>
      <c r="B5338" s="16" t="str">
        <f>TRIM("もと津守保育所")</f>
        <v>もと津守保育所</v>
      </c>
      <c r="C5338" s="14" t="s">
        <v>1521</v>
      </c>
      <c r="D5338" s="14" t="s">
        <v>290</v>
      </c>
      <c r="E5338" s="1">
        <v>1278.33</v>
      </c>
      <c r="F5338" s="2"/>
      <c r="G5338" s="1">
        <v>472.53</v>
      </c>
      <c r="H5338" s="3" t="s">
        <v>7353</v>
      </c>
      <c r="I5338" s="14" t="s">
        <v>5617</v>
      </c>
    </row>
    <row r="5339" spans="1:9" ht="18.75" customHeight="1" x14ac:dyDescent="0.4">
      <c r="A5339" s="14" t="s">
        <v>6547</v>
      </c>
      <c r="B5339" s="16" t="str">
        <f>TRIM("津守第3住宅")</f>
        <v>津守第3住宅</v>
      </c>
      <c r="C5339" s="14" t="s">
        <v>1521</v>
      </c>
      <c r="D5339" s="14" t="s">
        <v>290</v>
      </c>
      <c r="E5339" s="1">
        <v>4587.47</v>
      </c>
      <c r="F5339" s="2"/>
      <c r="G5339" s="1">
        <v>2683.19</v>
      </c>
      <c r="H5339" s="3"/>
      <c r="I5339" s="14" t="s">
        <v>6177</v>
      </c>
    </row>
    <row r="5340" spans="1:9" ht="18.75" customHeight="1" x14ac:dyDescent="0.4">
      <c r="A5340" s="14" t="s">
        <v>2098</v>
      </c>
      <c r="B5340" s="16" t="str">
        <f>TRIM("津守老人憩の家")</f>
        <v>津守老人憩の家</v>
      </c>
      <c r="C5340" s="14" t="s">
        <v>1521</v>
      </c>
      <c r="D5340" s="14" t="s">
        <v>290</v>
      </c>
      <c r="E5340" s="1"/>
      <c r="F5340" s="2"/>
      <c r="G5340" s="1">
        <v>109.87</v>
      </c>
      <c r="H5340" s="3"/>
      <c r="I5340" s="14" t="s">
        <v>1687</v>
      </c>
    </row>
    <row r="5341" spans="1:9" ht="18.75" customHeight="1" x14ac:dyDescent="0.4">
      <c r="A5341" s="14" t="s">
        <v>2430</v>
      </c>
      <c r="B5341" s="16" t="str">
        <f>TRIM("尼崎堺線（西成南）")</f>
        <v>尼崎堺線（西成南）</v>
      </c>
      <c r="C5341" s="14" t="s">
        <v>1521</v>
      </c>
      <c r="D5341" s="14" t="s">
        <v>290</v>
      </c>
      <c r="E5341" s="1">
        <v>1496.83</v>
      </c>
      <c r="F5341" s="2"/>
      <c r="G5341" s="1"/>
      <c r="H5341" s="3"/>
      <c r="I5341" s="14" t="s">
        <v>2177</v>
      </c>
    </row>
    <row r="5342" spans="1:9" ht="18.75" customHeight="1" x14ac:dyDescent="0.4">
      <c r="A5342" s="14" t="s">
        <v>2929</v>
      </c>
      <c r="B5342" s="16" t="str">
        <f>TRIM("　西成公園")</f>
        <v>西成公園</v>
      </c>
      <c r="C5342" s="14" t="s">
        <v>1521</v>
      </c>
      <c r="D5342" s="14" t="s">
        <v>290</v>
      </c>
      <c r="E5342" s="1">
        <v>42376.56</v>
      </c>
      <c r="F5342" s="2"/>
      <c r="G5342" s="1"/>
      <c r="H5342" s="3"/>
      <c r="I5342" s="14" t="s">
        <v>2177</v>
      </c>
    </row>
    <row r="5343" spans="1:9" ht="18.75" customHeight="1" x14ac:dyDescent="0.4">
      <c r="A5343" s="14" t="s">
        <v>3048</v>
      </c>
      <c r="B5343" s="16" t="str">
        <f>TRIM("　中津守公園")</f>
        <v>中津守公園</v>
      </c>
      <c r="C5343" s="14" t="s">
        <v>1521</v>
      </c>
      <c r="D5343" s="14" t="s">
        <v>290</v>
      </c>
      <c r="E5343" s="1">
        <v>1082.0999999999999</v>
      </c>
      <c r="F5343" s="2"/>
      <c r="G5343" s="1"/>
      <c r="H5343" s="3"/>
      <c r="I5343" s="14" t="s">
        <v>2177</v>
      </c>
    </row>
    <row r="5344" spans="1:9" ht="18.75" customHeight="1" x14ac:dyDescent="0.4">
      <c r="A5344" s="14" t="s">
        <v>3076</v>
      </c>
      <c r="B5344" s="16" t="str">
        <f>TRIM("　津守北公園")</f>
        <v>津守北公園</v>
      </c>
      <c r="C5344" s="14" t="s">
        <v>1521</v>
      </c>
      <c r="D5344" s="14" t="s">
        <v>290</v>
      </c>
      <c r="E5344" s="1">
        <v>540.85</v>
      </c>
      <c r="F5344" s="2"/>
      <c r="G5344" s="1"/>
      <c r="H5344" s="3"/>
      <c r="I5344" s="14" t="s">
        <v>2177</v>
      </c>
    </row>
    <row r="5345" spans="1:9" ht="18.75" customHeight="1" x14ac:dyDescent="0.4">
      <c r="A5345" s="14" t="s">
        <v>3597</v>
      </c>
      <c r="B5345" s="16" t="str">
        <f>TRIM("　西成公園")</f>
        <v>西成公園</v>
      </c>
      <c r="C5345" s="14" t="s">
        <v>1521</v>
      </c>
      <c r="D5345" s="14" t="s">
        <v>290</v>
      </c>
      <c r="E5345" s="1"/>
      <c r="F5345" s="2"/>
      <c r="G5345" s="1">
        <v>63.84</v>
      </c>
      <c r="H5345" s="3"/>
      <c r="I5345" s="14" t="s">
        <v>2177</v>
      </c>
    </row>
    <row r="5346" spans="1:9" ht="18.75" customHeight="1" x14ac:dyDescent="0.4">
      <c r="A5346" s="14" t="s">
        <v>5582</v>
      </c>
      <c r="B5346" s="16" t="str">
        <f>TRIM("もと津守浄水場")</f>
        <v>もと津守浄水場</v>
      </c>
      <c r="C5346" s="14" t="s">
        <v>1521</v>
      </c>
      <c r="D5346" s="14" t="s">
        <v>290</v>
      </c>
      <c r="E5346" s="1">
        <v>6921.74</v>
      </c>
      <c r="F5346" s="2"/>
      <c r="G5346" s="1"/>
      <c r="H5346" s="3"/>
      <c r="I5346" s="14" t="s">
        <v>5349</v>
      </c>
    </row>
    <row r="5347" spans="1:9" ht="18.75" customHeight="1" x14ac:dyDescent="0.4">
      <c r="A5347" s="14" t="s">
        <v>4080</v>
      </c>
      <c r="B5347" s="16" t="str">
        <f>TRIM("津守下水処理場")</f>
        <v>津守下水処理場</v>
      </c>
      <c r="C5347" s="14" t="s">
        <v>1521</v>
      </c>
      <c r="D5347" s="14" t="s">
        <v>1164</v>
      </c>
      <c r="E5347" s="1">
        <v>121099.99</v>
      </c>
      <c r="F5347" s="2">
        <v>791</v>
      </c>
      <c r="G5347" s="1">
        <v>46753.98</v>
      </c>
      <c r="H5347" s="3"/>
      <c r="I5347" s="14" t="s">
        <v>2177</v>
      </c>
    </row>
    <row r="5348" spans="1:9" ht="18.75" customHeight="1" x14ac:dyDescent="0.4">
      <c r="A5348" s="14" t="s">
        <v>5261</v>
      </c>
      <c r="B5348" s="16" t="str">
        <f>TRIM("西成消防署津守出張所")</f>
        <v>西成消防署津守出張所</v>
      </c>
      <c r="C5348" s="14" t="s">
        <v>1521</v>
      </c>
      <c r="D5348" s="14" t="s">
        <v>1164</v>
      </c>
      <c r="E5348" s="1">
        <v>280.89</v>
      </c>
      <c r="F5348" s="2"/>
      <c r="G5348" s="1">
        <v>607.79999999999995</v>
      </c>
      <c r="H5348" s="3"/>
      <c r="I5348" s="14" t="s">
        <v>5219</v>
      </c>
    </row>
    <row r="5349" spans="1:9" ht="18.75" customHeight="1" x14ac:dyDescent="0.4">
      <c r="A5349" s="14" t="s">
        <v>2515</v>
      </c>
      <c r="B5349" s="16" t="str">
        <f>TRIM("落合下渡船場左岸待合所")</f>
        <v>落合下渡船場左岸待合所</v>
      </c>
      <c r="C5349" s="14" t="s">
        <v>1521</v>
      </c>
      <c r="D5349" s="14" t="s">
        <v>1164</v>
      </c>
      <c r="E5349" s="1"/>
      <c r="F5349" s="2"/>
      <c r="G5349" s="1">
        <v>21</v>
      </c>
      <c r="H5349" s="3"/>
      <c r="I5349" s="14" t="s">
        <v>2177</v>
      </c>
    </row>
    <row r="5350" spans="1:9" ht="18.75" customHeight="1" x14ac:dyDescent="0.4">
      <c r="A5350" s="14" t="s">
        <v>3074</v>
      </c>
      <c r="B5350" s="16" t="str">
        <f>TRIM("　津守公園")</f>
        <v>津守公園</v>
      </c>
      <c r="C5350" s="14" t="s">
        <v>1521</v>
      </c>
      <c r="D5350" s="14" t="s">
        <v>1164</v>
      </c>
      <c r="E5350" s="1">
        <v>5668.31</v>
      </c>
      <c r="F5350" s="2"/>
      <c r="G5350" s="1"/>
      <c r="H5350" s="3"/>
      <c r="I5350" s="14" t="s">
        <v>2177</v>
      </c>
    </row>
    <row r="5351" spans="1:9" ht="18.75" customHeight="1" x14ac:dyDescent="0.4">
      <c r="A5351" s="18"/>
      <c r="B5351" s="14" t="s">
        <v>7181</v>
      </c>
      <c r="C5351" s="14" t="s">
        <v>1521</v>
      </c>
      <c r="D5351" s="1" t="s">
        <v>1164</v>
      </c>
      <c r="E5351" s="2"/>
      <c r="F5351" s="11"/>
      <c r="G5351" s="1">
        <v>675.3</v>
      </c>
      <c r="H5351" s="1"/>
      <c r="I5351" s="1" t="s">
        <v>2177</v>
      </c>
    </row>
    <row r="5352" spans="1:9" ht="18.75" customHeight="1" x14ac:dyDescent="0.4">
      <c r="A5352" s="18"/>
      <c r="B5352" s="14" t="s">
        <v>7182</v>
      </c>
      <c r="C5352" s="14" t="s">
        <v>1521</v>
      </c>
      <c r="D5352" s="1" t="s">
        <v>1164</v>
      </c>
      <c r="E5352" s="2"/>
      <c r="F5352" s="11"/>
      <c r="G5352" s="1">
        <v>1201.3599999999999</v>
      </c>
      <c r="H5352" s="1"/>
      <c r="I5352" s="1" t="s">
        <v>2177</v>
      </c>
    </row>
    <row r="5353" spans="1:9" ht="18.75" customHeight="1" x14ac:dyDescent="0.4">
      <c r="A5353" s="18"/>
      <c r="B5353" s="14" t="s">
        <v>7183</v>
      </c>
      <c r="C5353" s="14" t="s">
        <v>1521</v>
      </c>
      <c r="D5353" s="1" t="s">
        <v>1164</v>
      </c>
      <c r="E5353" s="2"/>
      <c r="F5353" s="11"/>
      <c r="G5353" s="1">
        <v>299.25</v>
      </c>
      <c r="H5353" s="1"/>
      <c r="I5353" s="1" t="s">
        <v>2177</v>
      </c>
    </row>
    <row r="5354" spans="1:9" ht="18.75" customHeight="1" x14ac:dyDescent="0.4">
      <c r="A5354" s="18"/>
      <c r="B5354" s="14" t="s">
        <v>7184</v>
      </c>
      <c r="C5354" s="14" t="s">
        <v>1521</v>
      </c>
      <c r="D5354" s="1" t="s">
        <v>1164</v>
      </c>
      <c r="E5354" s="2"/>
      <c r="F5354" s="2"/>
      <c r="G5354" s="1">
        <v>285.42</v>
      </c>
      <c r="H5354" s="1"/>
      <c r="I5354" s="1" t="s">
        <v>2177</v>
      </c>
    </row>
    <row r="5355" spans="1:9" ht="18.75" customHeight="1" x14ac:dyDescent="0.4">
      <c r="A5355" s="14" t="s">
        <v>5654</v>
      </c>
      <c r="B5355" s="16" t="str">
        <f>TRIM("もと津守幼稚園")</f>
        <v>もと津守幼稚園</v>
      </c>
      <c r="C5355" s="14" t="s">
        <v>1521</v>
      </c>
      <c r="D5355" s="14" t="s">
        <v>119</v>
      </c>
      <c r="E5355" s="1">
        <v>1878</v>
      </c>
      <c r="F5355" s="2">
        <v>1632</v>
      </c>
      <c r="G5355" s="1">
        <v>687.17</v>
      </c>
      <c r="H5355" s="3" t="s">
        <v>7353</v>
      </c>
      <c r="I5355" s="14" t="s">
        <v>5617</v>
      </c>
    </row>
    <row r="5356" spans="1:9" ht="18.75" customHeight="1" x14ac:dyDescent="0.4">
      <c r="A5356" s="14" t="s">
        <v>4987</v>
      </c>
      <c r="B5356" s="16" t="str">
        <f>TRIM("もと津守小学校")</f>
        <v>もと津守小学校</v>
      </c>
      <c r="C5356" s="14" t="s">
        <v>1521</v>
      </c>
      <c r="D5356" s="14" t="s">
        <v>119</v>
      </c>
      <c r="E5356" s="1">
        <v>9866.2900000000009</v>
      </c>
      <c r="F5356" s="2">
        <v>1633</v>
      </c>
      <c r="G5356" s="1">
        <v>4383.8599999999997</v>
      </c>
      <c r="H5356" s="3" t="s">
        <v>7353</v>
      </c>
      <c r="I5356" s="14" t="s">
        <v>4689</v>
      </c>
    </row>
    <row r="5357" spans="1:9" ht="18.75" customHeight="1" x14ac:dyDescent="0.4">
      <c r="A5357" s="14" t="s">
        <v>6510</v>
      </c>
      <c r="B5357" s="16" t="str">
        <f>TRIM("中津守住宅")</f>
        <v>中津守住宅</v>
      </c>
      <c r="C5357" s="14" t="s">
        <v>1521</v>
      </c>
      <c r="D5357" s="14" t="s">
        <v>119</v>
      </c>
      <c r="E5357" s="1">
        <v>9157.7800000000007</v>
      </c>
      <c r="F5357" s="2"/>
      <c r="G5357" s="1">
        <v>12406.21</v>
      </c>
      <c r="H5357" s="3"/>
      <c r="I5357" s="14" t="s">
        <v>6177</v>
      </c>
    </row>
    <row r="5358" spans="1:9" ht="18.75" customHeight="1" x14ac:dyDescent="0.4">
      <c r="A5358" s="14" t="s">
        <v>3075</v>
      </c>
      <c r="B5358" s="16" t="str">
        <f>TRIM("　津守南公園")</f>
        <v>津守南公園</v>
      </c>
      <c r="C5358" s="14" t="s">
        <v>1521</v>
      </c>
      <c r="D5358" s="14" t="s">
        <v>119</v>
      </c>
      <c r="E5358" s="1">
        <v>993.58</v>
      </c>
      <c r="F5358" s="2"/>
      <c r="G5358" s="1"/>
      <c r="H5358" s="3"/>
      <c r="I5358" s="14" t="s">
        <v>2177</v>
      </c>
    </row>
    <row r="5359" spans="1:9" ht="18.75" customHeight="1" x14ac:dyDescent="0.4">
      <c r="A5359" s="14" t="s">
        <v>3447</v>
      </c>
      <c r="B5359" s="16" t="str">
        <f>TRIM("西成開発3号公園")</f>
        <v>西成開発3号公園</v>
      </c>
      <c r="C5359" s="14" t="s">
        <v>1521</v>
      </c>
      <c r="D5359" s="14" t="s">
        <v>119</v>
      </c>
      <c r="E5359" s="1">
        <v>1356.18</v>
      </c>
      <c r="F5359" s="2"/>
      <c r="G5359" s="1"/>
      <c r="H5359" s="3"/>
      <c r="I5359" s="14" t="s">
        <v>2177</v>
      </c>
    </row>
    <row r="5360" spans="1:9" ht="18.75" customHeight="1" x14ac:dyDescent="0.4">
      <c r="A5360" s="14" t="s">
        <v>3448</v>
      </c>
      <c r="B5360" s="16" t="str">
        <f>TRIM("西成開発4号公園")</f>
        <v>西成開発4号公園</v>
      </c>
      <c r="C5360" s="14" t="s">
        <v>1521</v>
      </c>
      <c r="D5360" s="14" t="s">
        <v>119</v>
      </c>
      <c r="E5360" s="1">
        <v>1349.98</v>
      </c>
      <c r="F5360" s="2"/>
      <c r="G5360" s="1"/>
      <c r="H5360" s="3"/>
      <c r="I5360" s="14" t="s">
        <v>2177</v>
      </c>
    </row>
    <row r="5361" spans="1:9" ht="18.75" customHeight="1" x14ac:dyDescent="0.4">
      <c r="A5361" s="14" t="s">
        <v>5354</v>
      </c>
      <c r="B5361" s="16" t="str">
        <f>TRIM("その他の土地（西成）")</f>
        <v>その他の土地（西成）</v>
      </c>
      <c r="C5361" s="14" t="s">
        <v>1521</v>
      </c>
      <c r="D5361" s="14" t="s">
        <v>119</v>
      </c>
      <c r="E5361" s="1">
        <v>19.329999999999998</v>
      </c>
      <c r="F5361" s="2"/>
      <c r="G5361" s="1"/>
      <c r="H5361" s="3"/>
      <c r="I5361" s="14" t="s">
        <v>5349</v>
      </c>
    </row>
    <row r="5362" spans="1:9" ht="18.75" customHeight="1" x14ac:dyDescent="0.4">
      <c r="A5362" s="14" t="s">
        <v>2020</v>
      </c>
      <c r="B5362" s="16" t="str">
        <f>TRIM("弘治会館老人憩の家")</f>
        <v>弘治会館老人憩の家</v>
      </c>
      <c r="C5362" s="14" t="s">
        <v>1521</v>
      </c>
      <c r="D5362" s="14" t="s">
        <v>1169</v>
      </c>
      <c r="E5362" s="1">
        <v>144.26</v>
      </c>
      <c r="F5362" s="2"/>
      <c r="G5362" s="1">
        <v>74.900000000000006</v>
      </c>
      <c r="H5362" s="3"/>
      <c r="I5362" s="14" t="s">
        <v>1687</v>
      </c>
    </row>
    <row r="5363" spans="1:9" ht="18.75" customHeight="1" x14ac:dyDescent="0.4">
      <c r="A5363" s="14" t="s">
        <v>3087</v>
      </c>
      <c r="B5363" s="16" t="str">
        <f>TRIM("　鶴見橋中公園")</f>
        <v>鶴見橋中公園</v>
      </c>
      <c r="C5363" s="14" t="s">
        <v>1521</v>
      </c>
      <c r="D5363" s="14" t="s">
        <v>1169</v>
      </c>
      <c r="E5363" s="1">
        <v>935.63</v>
      </c>
      <c r="F5363" s="2"/>
      <c r="G5363" s="1"/>
      <c r="H5363" s="3"/>
      <c r="I5363" s="14" t="s">
        <v>2177</v>
      </c>
    </row>
    <row r="5364" spans="1:9" ht="18.75" customHeight="1" x14ac:dyDescent="0.4">
      <c r="A5364" s="14" t="s">
        <v>3088</v>
      </c>
      <c r="B5364" s="16" t="str">
        <f>TRIM("　鶴見橋東公園")</f>
        <v>鶴見橋東公園</v>
      </c>
      <c r="C5364" s="14" t="s">
        <v>1521</v>
      </c>
      <c r="D5364" s="14" t="s">
        <v>1169</v>
      </c>
      <c r="E5364" s="1">
        <v>734.42</v>
      </c>
      <c r="F5364" s="2"/>
      <c r="G5364" s="1"/>
      <c r="H5364" s="3"/>
      <c r="I5364" s="14" t="s">
        <v>2177</v>
      </c>
    </row>
    <row r="5365" spans="1:9" ht="18.75" customHeight="1" x14ac:dyDescent="0.4">
      <c r="A5365" s="14" t="s">
        <v>4677</v>
      </c>
      <c r="B5365" s="16" t="str">
        <f>TRIM("弘治集会所")</f>
        <v>弘治集会所</v>
      </c>
      <c r="C5365" s="14" t="s">
        <v>1521</v>
      </c>
      <c r="D5365" s="14" t="s">
        <v>1169</v>
      </c>
      <c r="E5365" s="1"/>
      <c r="F5365" s="2"/>
      <c r="G5365" s="1">
        <v>80.099999999999994</v>
      </c>
      <c r="H5365" s="3"/>
      <c r="I5365" s="14" t="s">
        <v>1687</v>
      </c>
    </row>
    <row r="5366" spans="1:9" ht="18.75" customHeight="1" x14ac:dyDescent="0.4">
      <c r="A5366" s="14" t="s">
        <v>5631</v>
      </c>
      <c r="B5366" s="16" t="str">
        <f>TRIM("もと松之宮北保育所")</f>
        <v>もと松之宮北保育所</v>
      </c>
      <c r="C5366" s="14" t="s">
        <v>1521</v>
      </c>
      <c r="D5366" s="14" t="s">
        <v>479</v>
      </c>
      <c r="E5366" s="1">
        <v>1499.97</v>
      </c>
      <c r="F5366" s="2">
        <v>938</v>
      </c>
      <c r="G5366" s="1">
        <v>813.69</v>
      </c>
      <c r="H5366" s="3" t="s">
        <v>7353</v>
      </c>
      <c r="I5366" s="14" t="s">
        <v>5617</v>
      </c>
    </row>
    <row r="5367" spans="1:9" ht="18.75" customHeight="1" x14ac:dyDescent="0.4">
      <c r="A5367" s="14" t="s">
        <v>2554</v>
      </c>
      <c r="B5367" s="16" t="str">
        <f>TRIM("　旭北公園")</f>
        <v>旭北公園</v>
      </c>
      <c r="C5367" s="14" t="s">
        <v>1521</v>
      </c>
      <c r="D5367" s="14" t="s">
        <v>479</v>
      </c>
      <c r="E5367" s="1">
        <v>1061.97</v>
      </c>
      <c r="F5367" s="2"/>
      <c r="G5367" s="1"/>
      <c r="H5367" s="3"/>
      <c r="I5367" s="14" t="s">
        <v>2177</v>
      </c>
    </row>
    <row r="5368" spans="1:9" ht="18.75" customHeight="1" x14ac:dyDescent="0.4">
      <c r="A5368" s="14" t="s">
        <v>3086</v>
      </c>
      <c r="B5368" s="16" t="str">
        <f>TRIM("　鶴見橋中央公園")</f>
        <v>鶴見橋中央公園</v>
      </c>
      <c r="C5368" s="14" t="s">
        <v>1521</v>
      </c>
      <c r="D5368" s="14" t="s">
        <v>479</v>
      </c>
      <c r="E5368" s="1">
        <v>2147.4299999999998</v>
      </c>
      <c r="F5368" s="2"/>
      <c r="G5368" s="1"/>
      <c r="H5368" s="3"/>
      <c r="I5368" s="14" t="s">
        <v>2177</v>
      </c>
    </row>
    <row r="5369" spans="1:9" ht="18.75" customHeight="1" x14ac:dyDescent="0.4">
      <c r="A5369" s="14" t="s">
        <v>3630</v>
      </c>
      <c r="B5369" s="16" t="str">
        <f>TRIM(" 鶴見橋中央公園")</f>
        <v>鶴見橋中央公園</v>
      </c>
      <c r="C5369" s="14" t="s">
        <v>1521</v>
      </c>
      <c r="D5369" s="14" t="s">
        <v>479</v>
      </c>
      <c r="E5369" s="1"/>
      <c r="F5369" s="2"/>
      <c r="G5369" s="1">
        <v>19.2</v>
      </c>
      <c r="H5369" s="3"/>
      <c r="I5369" s="14" t="s">
        <v>2177</v>
      </c>
    </row>
    <row r="5370" spans="1:9" ht="18.75" customHeight="1" x14ac:dyDescent="0.4">
      <c r="A5370" s="14" t="s">
        <v>5986</v>
      </c>
      <c r="B5370" s="16" t="str">
        <f>TRIM("もと公害工場跡地（小池鉄工）")</f>
        <v>もと公害工場跡地（小池鉄工）</v>
      </c>
      <c r="C5370" s="14" t="s">
        <v>1521</v>
      </c>
      <c r="D5370" s="14" t="s">
        <v>323</v>
      </c>
      <c r="E5370" s="1">
        <v>1509.69</v>
      </c>
      <c r="F5370" s="2">
        <v>793</v>
      </c>
      <c r="G5370" s="1"/>
      <c r="H5370" s="3"/>
      <c r="I5370" s="14" t="s">
        <v>5977</v>
      </c>
    </row>
    <row r="5371" spans="1:9" ht="18.75" customHeight="1" x14ac:dyDescent="0.4">
      <c r="A5371" s="14" t="s">
        <v>1657</v>
      </c>
      <c r="B5371" s="16" t="str">
        <f>TRIM("もと鶴見橋温泉")</f>
        <v>もと鶴見橋温泉</v>
      </c>
      <c r="C5371" s="14" t="s">
        <v>1521</v>
      </c>
      <c r="D5371" s="14" t="s">
        <v>323</v>
      </c>
      <c r="E5371" s="1">
        <v>486.47</v>
      </c>
      <c r="F5371" s="2">
        <v>1162</v>
      </c>
      <c r="G5371" s="1"/>
      <c r="H5371" s="3"/>
      <c r="I5371" s="14" t="s">
        <v>1654</v>
      </c>
    </row>
    <row r="5372" spans="1:9" ht="18.75" customHeight="1" x14ac:dyDescent="0.4">
      <c r="A5372" s="14" t="s">
        <v>2047</v>
      </c>
      <c r="B5372" s="16" t="str">
        <f>TRIM("松之宮老人憩の家")</f>
        <v>松之宮老人憩の家</v>
      </c>
      <c r="C5372" s="14" t="s">
        <v>1521</v>
      </c>
      <c r="D5372" s="14" t="s">
        <v>323</v>
      </c>
      <c r="E5372" s="1">
        <v>695.92</v>
      </c>
      <c r="F5372" s="2"/>
      <c r="G5372" s="1">
        <v>241.47</v>
      </c>
      <c r="H5372" s="3"/>
      <c r="I5372" s="14" t="s">
        <v>1687</v>
      </c>
    </row>
    <row r="5373" spans="1:9" ht="18.75" customHeight="1" x14ac:dyDescent="0.4">
      <c r="A5373" s="14" t="s">
        <v>2813</v>
      </c>
      <c r="B5373" s="16" t="str">
        <f>TRIM("　松之宮公園")</f>
        <v>松之宮公園</v>
      </c>
      <c r="C5373" s="14" t="s">
        <v>1521</v>
      </c>
      <c r="D5373" s="14" t="s">
        <v>323</v>
      </c>
      <c r="E5373" s="1">
        <v>3193.3</v>
      </c>
      <c r="F5373" s="2"/>
      <c r="G5373" s="1"/>
      <c r="H5373" s="3"/>
      <c r="I5373" s="14" t="s">
        <v>2177</v>
      </c>
    </row>
    <row r="5374" spans="1:9" ht="18.75" customHeight="1" x14ac:dyDescent="0.4">
      <c r="A5374" s="14" t="s">
        <v>3085</v>
      </c>
      <c r="B5374" s="16" t="str">
        <f>TRIM("　鶴見橋公園")</f>
        <v>鶴見橋公園</v>
      </c>
      <c r="C5374" s="14" t="s">
        <v>1521</v>
      </c>
      <c r="D5374" s="14" t="s">
        <v>323</v>
      </c>
      <c r="E5374" s="1">
        <v>932.17</v>
      </c>
      <c r="F5374" s="2"/>
      <c r="G5374" s="1"/>
      <c r="H5374" s="3"/>
      <c r="I5374" s="14" t="s">
        <v>2177</v>
      </c>
    </row>
    <row r="5375" spans="1:9" ht="18.75" customHeight="1" x14ac:dyDescent="0.4">
      <c r="A5375" s="14" t="s">
        <v>6407</v>
      </c>
      <c r="B5375" s="16" t="str">
        <f>TRIM("出城東第2住宅")</f>
        <v>出城東第2住宅</v>
      </c>
      <c r="C5375" s="14" t="s">
        <v>1521</v>
      </c>
      <c r="D5375" s="14" t="s">
        <v>635</v>
      </c>
      <c r="E5375" s="1">
        <v>1703.11</v>
      </c>
      <c r="F5375" s="2"/>
      <c r="G5375" s="1">
        <v>2361.54</v>
      </c>
      <c r="H5375" s="3"/>
      <c r="I5375" s="14" t="s">
        <v>6177</v>
      </c>
    </row>
    <row r="5376" spans="1:9" ht="18.75" customHeight="1" x14ac:dyDescent="0.4">
      <c r="A5376" s="14" t="s">
        <v>2788</v>
      </c>
      <c r="B5376" s="16" t="str">
        <f>TRIM("　出城公園")</f>
        <v>出城公園</v>
      </c>
      <c r="C5376" s="14" t="s">
        <v>1521</v>
      </c>
      <c r="D5376" s="14" t="s">
        <v>635</v>
      </c>
      <c r="E5376" s="1">
        <v>3081.34</v>
      </c>
      <c r="F5376" s="2"/>
      <c r="G5376" s="1"/>
      <c r="H5376" s="3"/>
      <c r="I5376" s="14" t="s">
        <v>2177</v>
      </c>
    </row>
    <row r="5377" spans="1:9" ht="18.75" customHeight="1" x14ac:dyDescent="0.4">
      <c r="A5377" s="14" t="s">
        <v>6116</v>
      </c>
      <c r="B5377" s="16" t="str">
        <f>TRIM("今宮霊園")</f>
        <v>今宮霊園</v>
      </c>
      <c r="C5377" s="14" t="s">
        <v>1521</v>
      </c>
      <c r="D5377" s="14" t="s">
        <v>635</v>
      </c>
      <c r="E5377" s="1">
        <v>574.01</v>
      </c>
      <c r="F5377" s="2"/>
      <c r="G5377" s="1"/>
      <c r="H5377" s="3"/>
      <c r="I5377" s="14" t="s">
        <v>5977</v>
      </c>
    </row>
    <row r="5378" spans="1:9" ht="18.75" customHeight="1" x14ac:dyDescent="0.4">
      <c r="A5378" s="14" t="s">
        <v>6406</v>
      </c>
      <c r="B5378" s="16" t="str">
        <f>TRIM("出城東住宅附帯駐車場")</f>
        <v>出城東住宅附帯駐車場</v>
      </c>
      <c r="C5378" s="14" t="s">
        <v>1521</v>
      </c>
      <c r="D5378" s="14" t="s">
        <v>635</v>
      </c>
      <c r="E5378" s="1">
        <v>303.83999999999997</v>
      </c>
      <c r="F5378" s="2"/>
      <c r="G5378" s="1"/>
      <c r="H5378" s="3"/>
      <c r="I5378" s="14" t="s">
        <v>6177</v>
      </c>
    </row>
    <row r="5379" spans="1:9" ht="18.75" customHeight="1" x14ac:dyDescent="0.4">
      <c r="A5379" s="14" t="s">
        <v>7051</v>
      </c>
      <c r="B5379" s="16" t="str">
        <f>TRIM("もと出城東工場アパート")</f>
        <v>もと出城東工場アパート</v>
      </c>
      <c r="C5379" s="14" t="s">
        <v>1521</v>
      </c>
      <c r="D5379" s="14" t="s">
        <v>37</v>
      </c>
      <c r="E5379" s="1">
        <v>360.59</v>
      </c>
      <c r="F5379" s="2">
        <v>1921</v>
      </c>
      <c r="G5379" s="1">
        <v>482.36</v>
      </c>
      <c r="H5379" s="3" t="s">
        <v>7353</v>
      </c>
      <c r="I5379" s="14" t="s">
        <v>4115</v>
      </c>
    </row>
    <row r="5380" spans="1:9" ht="18.75" customHeight="1" x14ac:dyDescent="0.4">
      <c r="A5380" s="14" t="s">
        <v>1679</v>
      </c>
      <c r="B5380" s="16" t="str">
        <f>TRIM("社会福祉研修・情報センター")</f>
        <v>社会福祉研修・情報センター</v>
      </c>
      <c r="C5380" s="14" t="s">
        <v>1521</v>
      </c>
      <c r="D5380" s="14" t="s">
        <v>37</v>
      </c>
      <c r="E5380" s="1">
        <v>2242.98</v>
      </c>
      <c r="F5380" s="2"/>
      <c r="G5380" s="1">
        <v>4395.63</v>
      </c>
      <c r="H5380" s="3"/>
      <c r="I5380" s="14" t="s">
        <v>1654</v>
      </c>
    </row>
    <row r="5381" spans="1:9" ht="18.75" customHeight="1" x14ac:dyDescent="0.4">
      <c r="A5381" s="14" t="s">
        <v>1767</v>
      </c>
      <c r="B5381" s="16" t="str">
        <f>TRIM("認定事務センター")</f>
        <v>認定事務センター</v>
      </c>
      <c r="C5381" s="14" t="s">
        <v>1521</v>
      </c>
      <c r="D5381" s="14" t="s">
        <v>37</v>
      </c>
      <c r="E5381" s="1">
        <v>861.06</v>
      </c>
      <c r="F5381" s="2"/>
      <c r="G5381" s="1">
        <v>1659.44</v>
      </c>
      <c r="H5381" s="3"/>
      <c r="I5381" s="14" t="s">
        <v>1654</v>
      </c>
    </row>
    <row r="5382" spans="1:9" ht="18.75" customHeight="1" x14ac:dyDescent="0.4">
      <c r="A5382" s="14" t="s">
        <v>2044</v>
      </c>
      <c r="B5382" s="16" t="str">
        <f>TRIM("出城老人憩の家")</f>
        <v>出城老人憩の家</v>
      </c>
      <c r="C5382" s="14" t="s">
        <v>1521</v>
      </c>
      <c r="D5382" s="14" t="s">
        <v>37</v>
      </c>
      <c r="E5382" s="1">
        <v>653.75</v>
      </c>
      <c r="F5382" s="2"/>
      <c r="G5382" s="1">
        <v>339.21</v>
      </c>
      <c r="H5382" s="3"/>
      <c r="I5382" s="14" t="s">
        <v>1687</v>
      </c>
    </row>
    <row r="5383" spans="1:9" ht="18.75" customHeight="1" x14ac:dyDescent="0.4">
      <c r="A5383" s="14" t="s">
        <v>6405</v>
      </c>
      <c r="B5383" s="16" t="str">
        <f>TRIM("出城東住宅")</f>
        <v>出城東住宅</v>
      </c>
      <c r="C5383" s="14" t="s">
        <v>1521</v>
      </c>
      <c r="D5383" s="14" t="s">
        <v>37</v>
      </c>
      <c r="E5383" s="1">
        <v>4368.8900000000003</v>
      </c>
      <c r="F5383" s="2"/>
      <c r="G5383" s="1">
        <v>5678.27</v>
      </c>
      <c r="H5383" s="3"/>
      <c r="I5383" s="14" t="s">
        <v>6177</v>
      </c>
    </row>
    <row r="5384" spans="1:9" ht="18.75" customHeight="1" x14ac:dyDescent="0.4">
      <c r="A5384" s="14" t="s">
        <v>1904</v>
      </c>
      <c r="B5384" s="16" t="str">
        <f>TRIM("鶴見橋地域在宅サービスステーション")</f>
        <v>鶴見橋地域在宅サービスステーション</v>
      </c>
      <c r="C5384" s="14" t="s">
        <v>1521</v>
      </c>
      <c r="D5384" s="14" t="s">
        <v>37</v>
      </c>
      <c r="E5384" s="1">
        <v>502.94</v>
      </c>
      <c r="F5384" s="2"/>
      <c r="G5384" s="1"/>
      <c r="H5384" s="3"/>
      <c r="I5384" s="14" t="s">
        <v>1654</v>
      </c>
    </row>
    <row r="5385" spans="1:9" ht="18.75" customHeight="1" x14ac:dyDescent="0.4">
      <c r="A5385" s="14" t="s">
        <v>1938</v>
      </c>
      <c r="B5385" s="16" t="str">
        <f>TRIM("特別養護老人ホームまちかどホームすずらん")</f>
        <v>特別養護老人ホームまちかどホームすずらん</v>
      </c>
      <c r="C5385" s="14" t="s">
        <v>1521</v>
      </c>
      <c r="D5385" s="14" t="s">
        <v>37</v>
      </c>
      <c r="E5385" s="1">
        <v>1790.53</v>
      </c>
      <c r="F5385" s="2"/>
      <c r="G5385" s="1"/>
      <c r="H5385" s="3"/>
      <c r="I5385" s="14" t="s">
        <v>1654</v>
      </c>
    </row>
    <row r="5386" spans="1:9" ht="18.75" customHeight="1" x14ac:dyDescent="0.4">
      <c r="A5386" s="14" t="s">
        <v>6178</v>
      </c>
      <c r="B5386" s="16" t="str">
        <f>TRIM("もと出城住宅付帯施設用地")</f>
        <v>もと出城住宅付帯施設用地</v>
      </c>
      <c r="C5386" s="14" t="s">
        <v>1521</v>
      </c>
      <c r="D5386" s="14" t="s">
        <v>691</v>
      </c>
      <c r="E5386" s="1">
        <v>86.08</v>
      </c>
      <c r="F5386" s="2">
        <v>796</v>
      </c>
      <c r="G5386" s="1"/>
      <c r="H5386" s="3"/>
      <c r="I5386" s="14" t="s">
        <v>6177</v>
      </c>
    </row>
    <row r="5387" spans="1:9" ht="18.75" customHeight="1" x14ac:dyDescent="0.4">
      <c r="A5387" s="14" t="s">
        <v>2789</v>
      </c>
      <c r="B5387" s="16" t="str">
        <f>TRIM("　出城西公園")</f>
        <v>出城西公園</v>
      </c>
      <c r="C5387" s="14" t="s">
        <v>1521</v>
      </c>
      <c r="D5387" s="14" t="s">
        <v>691</v>
      </c>
      <c r="E5387" s="1">
        <v>4160.5</v>
      </c>
      <c r="F5387" s="2">
        <v>797</v>
      </c>
      <c r="G5387" s="1"/>
      <c r="H5387" s="3"/>
      <c r="I5387" s="14" t="s">
        <v>2177</v>
      </c>
    </row>
    <row r="5388" spans="1:9" ht="18.75" customHeight="1" x14ac:dyDescent="0.4">
      <c r="A5388" s="14" t="s">
        <v>6400</v>
      </c>
      <c r="B5388" s="16" t="str">
        <f>TRIM("出城第1住宅")</f>
        <v>出城第1住宅</v>
      </c>
      <c r="C5388" s="14" t="s">
        <v>1521</v>
      </c>
      <c r="D5388" s="14" t="s">
        <v>691</v>
      </c>
      <c r="E5388" s="1">
        <v>3869.91</v>
      </c>
      <c r="F5388" s="2">
        <v>799</v>
      </c>
      <c r="G5388" s="1">
        <v>2414.16</v>
      </c>
      <c r="H5388" s="3"/>
      <c r="I5388" s="14" t="s">
        <v>6177</v>
      </c>
    </row>
    <row r="5389" spans="1:9" ht="18.75" customHeight="1" x14ac:dyDescent="0.4">
      <c r="A5389" s="14" t="s">
        <v>6401</v>
      </c>
      <c r="B5389" s="16" t="str">
        <f>TRIM("出城第2住宅")</f>
        <v>出城第2住宅</v>
      </c>
      <c r="C5389" s="14" t="s">
        <v>1521</v>
      </c>
      <c r="D5389" s="14" t="s">
        <v>691</v>
      </c>
      <c r="E5389" s="1">
        <v>3573.11</v>
      </c>
      <c r="F5389" s="2"/>
      <c r="G5389" s="1">
        <v>4799.55</v>
      </c>
      <c r="H5389" s="3"/>
      <c r="I5389" s="14" t="s">
        <v>6177</v>
      </c>
    </row>
    <row r="5390" spans="1:9" ht="18.75" customHeight="1" x14ac:dyDescent="0.4">
      <c r="A5390" s="14" t="s">
        <v>6403</v>
      </c>
      <c r="B5390" s="16" t="str">
        <f>TRIM("出城通第4住宅")</f>
        <v>出城通第4住宅</v>
      </c>
      <c r="C5390" s="14" t="s">
        <v>1521</v>
      </c>
      <c r="D5390" s="14" t="s">
        <v>691</v>
      </c>
      <c r="E5390" s="1">
        <v>3812.73</v>
      </c>
      <c r="F5390" s="2"/>
      <c r="G5390" s="1">
        <v>4759.99</v>
      </c>
      <c r="H5390" s="3"/>
      <c r="I5390" s="14" t="s">
        <v>6177</v>
      </c>
    </row>
    <row r="5391" spans="1:9" ht="18.75" customHeight="1" x14ac:dyDescent="0.4">
      <c r="A5391" s="14" t="s">
        <v>6404</v>
      </c>
      <c r="B5391" s="16" t="str">
        <f>TRIM("出城通第5住宅")</f>
        <v>出城通第5住宅</v>
      </c>
      <c r="C5391" s="14" t="s">
        <v>1521</v>
      </c>
      <c r="D5391" s="14" t="s">
        <v>691</v>
      </c>
      <c r="E5391" s="1">
        <v>3726.53</v>
      </c>
      <c r="F5391" s="2"/>
      <c r="G5391" s="1">
        <v>7676.15</v>
      </c>
      <c r="H5391" s="3"/>
      <c r="I5391" s="14" t="s">
        <v>6177</v>
      </c>
    </row>
    <row r="5392" spans="1:9" ht="18.75" customHeight="1" x14ac:dyDescent="0.4">
      <c r="A5392" s="14" t="s">
        <v>6194</v>
      </c>
      <c r="B5392" s="16" t="str">
        <f>TRIM("出城通住宅関連用地")</f>
        <v>出城通住宅関連用地</v>
      </c>
      <c r="C5392" s="14" t="s">
        <v>1521</v>
      </c>
      <c r="D5392" s="14" t="s">
        <v>691</v>
      </c>
      <c r="E5392" s="1">
        <v>111.22</v>
      </c>
      <c r="F5392" s="2"/>
      <c r="G5392" s="1"/>
      <c r="H5392" s="3"/>
      <c r="I5392" s="14" t="s">
        <v>6177</v>
      </c>
    </row>
    <row r="5393" spans="1:9" ht="18.75" customHeight="1" x14ac:dyDescent="0.4">
      <c r="A5393" s="14" t="s">
        <v>4813</v>
      </c>
      <c r="B5393" s="16" t="str">
        <f>TRIM("もと今宮小学校")</f>
        <v>もと今宮小学校</v>
      </c>
      <c r="C5393" s="14" t="s">
        <v>1521</v>
      </c>
      <c r="D5393" s="14" t="s">
        <v>1394</v>
      </c>
      <c r="E5393" s="1">
        <v>6768.28</v>
      </c>
      <c r="F5393" s="2">
        <v>1634</v>
      </c>
      <c r="G5393" s="1">
        <v>2865.34</v>
      </c>
      <c r="H5393" s="3" t="s">
        <v>7353</v>
      </c>
      <c r="I5393" s="14" t="s">
        <v>4689</v>
      </c>
    </row>
    <row r="5394" spans="1:9" ht="18.75" customHeight="1" x14ac:dyDescent="0.4">
      <c r="A5394" s="14" t="s">
        <v>5217</v>
      </c>
      <c r="B5394" s="16" t="str">
        <f>TRIM("学校経営管理センター事務所")</f>
        <v>学校経営管理センター事務所</v>
      </c>
      <c r="C5394" s="14" t="s">
        <v>1521</v>
      </c>
      <c r="D5394" s="14" t="s">
        <v>1394</v>
      </c>
      <c r="E5394" s="1">
        <v>1621.33</v>
      </c>
      <c r="F5394" s="2"/>
      <c r="G5394" s="1">
        <v>2064.19</v>
      </c>
      <c r="H5394" s="3"/>
      <c r="I5394" s="14" t="s">
        <v>4689</v>
      </c>
    </row>
    <row r="5395" spans="1:9" ht="18.75" customHeight="1" x14ac:dyDescent="0.4">
      <c r="A5395" s="14" t="s">
        <v>5540</v>
      </c>
      <c r="B5395" s="16" t="str">
        <f>TRIM("廃道（西成）")</f>
        <v>廃道（西成）</v>
      </c>
      <c r="C5395" s="14" t="s">
        <v>1521</v>
      </c>
      <c r="D5395" s="14" t="s">
        <v>259</v>
      </c>
      <c r="E5395" s="1">
        <v>26.28</v>
      </c>
      <c r="F5395" s="2"/>
      <c r="G5395" s="1"/>
      <c r="H5395" s="3"/>
      <c r="I5395" s="14" t="s">
        <v>5349</v>
      </c>
    </row>
    <row r="5396" spans="1:9" ht="18.75" customHeight="1" x14ac:dyDescent="0.4">
      <c r="A5396" s="14" t="s">
        <v>5615</v>
      </c>
      <c r="B5396" s="16" t="str">
        <f>TRIM("もと府警西成単身寮")</f>
        <v>もと府警西成単身寮</v>
      </c>
      <c r="C5396" s="14" t="s">
        <v>1521</v>
      </c>
      <c r="D5396" s="14" t="s">
        <v>259</v>
      </c>
      <c r="E5396" s="1">
        <v>530.14</v>
      </c>
      <c r="F5396" s="2"/>
      <c r="G5396" s="1"/>
      <c r="H5396" s="3"/>
      <c r="I5396" s="14" t="s">
        <v>5349</v>
      </c>
    </row>
    <row r="5397" spans="1:9" ht="18.75" customHeight="1" x14ac:dyDescent="0.4">
      <c r="A5397" s="14" t="s">
        <v>1680</v>
      </c>
      <c r="B5397" s="16" t="str">
        <f>TRIM("もと救護施設今池平和寮")</f>
        <v>もと救護施設今池平和寮</v>
      </c>
      <c r="C5397" s="14" t="s">
        <v>1521</v>
      </c>
      <c r="D5397" s="14" t="s">
        <v>334</v>
      </c>
      <c r="E5397" s="1">
        <v>450.94</v>
      </c>
      <c r="F5397" s="2">
        <v>1744</v>
      </c>
      <c r="G5397" s="1">
        <v>1247.98</v>
      </c>
      <c r="H5397" s="3" t="s">
        <v>7353</v>
      </c>
      <c r="I5397" s="14" t="s">
        <v>1654</v>
      </c>
    </row>
    <row r="5398" spans="1:9" ht="18.75" customHeight="1" x14ac:dyDescent="0.4">
      <c r="A5398" s="14" t="s">
        <v>2026</v>
      </c>
      <c r="B5398" s="16" t="str">
        <f>TRIM("今宮老人憩の家")</f>
        <v>今宮老人憩の家</v>
      </c>
      <c r="C5398" s="14" t="s">
        <v>1521</v>
      </c>
      <c r="D5398" s="14" t="s">
        <v>334</v>
      </c>
      <c r="E5398" s="1">
        <v>89.44</v>
      </c>
      <c r="F5398" s="2"/>
      <c r="G5398" s="1"/>
      <c r="H5398" s="3"/>
      <c r="I5398" s="14" t="s">
        <v>1687</v>
      </c>
    </row>
    <row r="5399" spans="1:9" ht="18.75" customHeight="1" x14ac:dyDescent="0.4">
      <c r="A5399" s="14" t="s">
        <v>5690</v>
      </c>
      <c r="B5399" s="16" t="str">
        <f>TRIM("もと今池こどもの家")</f>
        <v>もと今池こどもの家</v>
      </c>
      <c r="C5399" s="14" t="s">
        <v>1521</v>
      </c>
      <c r="D5399" s="14" t="s">
        <v>334</v>
      </c>
      <c r="E5399" s="1"/>
      <c r="F5399" s="2"/>
      <c r="G5399" s="1">
        <v>186.6</v>
      </c>
      <c r="H5399" s="3" t="s">
        <v>7353</v>
      </c>
      <c r="I5399" s="14" t="s">
        <v>5617</v>
      </c>
    </row>
    <row r="5400" spans="1:9" ht="18.75" customHeight="1" x14ac:dyDescent="0.4">
      <c r="A5400" s="14" t="s">
        <v>5988</v>
      </c>
      <c r="B5400" s="16" t="str">
        <f>TRIM("公害工場跡地（朝日化学）")</f>
        <v>公害工場跡地（朝日化学）</v>
      </c>
      <c r="C5400" s="14" t="s">
        <v>1521</v>
      </c>
      <c r="D5400" s="14" t="s">
        <v>621</v>
      </c>
      <c r="E5400" s="1">
        <v>1587</v>
      </c>
      <c r="F5400" s="2"/>
      <c r="G5400" s="1"/>
      <c r="H5400" s="3"/>
      <c r="I5400" s="14" t="s">
        <v>5977</v>
      </c>
    </row>
    <row r="5401" spans="1:9" ht="18.75" customHeight="1" x14ac:dyDescent="0.4">
      <c r="A5401" s="14" t="s">
        <v>5906</v>
      </c>
      <c r="B5401" s="16" t="str">
        <f>TRIM("天下茶屋保育所")</f>
        <v>天下茶屋保育所</v>
      </c>
      <c r="C5401" s="14" t="s">
        <v>1521</v>
      </c>
      <c r="D5401" s="14" t="s">
        <v>399</v>
      </c>
      <c r="E5401" s="1">
        <v>1220.26</v>
      </c>
      <c r="F5401" s="2"/>
      <c r="G5401" s="1">
        <v>496.03</v>
      </c>
      <c r="H5401" s="3"/>
      <c r="I5401" s="14" t="s">
        <v>5617</v>
      </c>
    </row>
    <row r="5402" spans="1:9" ht="18.75" customHeight="1" x14ac:dyDescent="0.4">
      <c r="A5402" s="14" t="s">
        <v>1908</v>
      </c>
      <c r="B5402" s="16" t="str">
        <f>TRIM("天下茶屋地域在宅サービスステーション")</f>
        <v>天下茶屋地域在宅サービスステーション</v>
      </c>
      <c r="C5402" s="14" t="s">
        <v>1521</v>
      </c>
      <c r="D5402" s="14" t="s">
        <v>399</v>
      </c>
      <c r="E5402" s="1">
        <v>756.45</v>
      </c>
      <c r="F5402" s="2"/>
      <c r="G5402" s="1"/>
      <c r="H5402" s="3"/>
      <c r="I5402" s="14" t="s">
        <v>1654</v>
      </c>
    </row>
    <row r="5403" spans="1:9" ht="18.75" customHeight="1" x14ac:dyDescent="0.4">
      <c r="A5403" s="14" t="s">
        <v>2167</v>
      </c>
      <c r="B5403" s="16" t="str">
        <f>TRIM("天下茶屋会館老人憩の家")</f>
        <v>天下茶屋会館老人憩の家</v>
      </c>
      <c r="C5403" s="14" t="s">
        <v>1521</v>
      </c>
      <c r="D5403" s="14" t="s">
        <v>399</v>
      </c>
      <c r="E5403" s="1">
        <v>116.47</v>
      </c>
      <c r="F5403" s="2"/>
      <c r="G5403" s="1"/>
      <c r="H5403" s="3"/>
      <c r="I5403" s="14" t="s">
        <v>1687</v>
      </c>
    </row>
    <row r="5404" spans="1:9" ht="18.75" customHeight="1" x14ac:dyDescent="0.4">
      <c r="A5404" s="14" t="s">
        <v>3104</v>
      </c>
      <c r="B5404" s="16" t="str">
        <f>TRIM("　天下茶屋中公園")</f>
        <v>天下茶屋中公園</v>
      </c>
      <c r="C5404" s="14" t="s">
        <v>1521</v>
      </c>
      <c r="D5404" s="14" t="s">
        <v>399</v>
      </c>
      <c r="E5404" s="1">
        <v>905.71</v>
      </c>
      <c r="F5404" s="2"/>
      <c r="G5404" s="1"/>
      <c r="H5404" s="3"/>
      <c r="I5404" s="14" t="s">
        <v>2177</v>
      </c>
    </row>
    <row r="5405" spans="1:9" ht="18.75" customHeight="1" x14ac:dyDescent="0.4">
      <c r="A5405" s="14" t="s">
        <v>3105</v>
      </c>
      <c r="B5405" s="16" t="str">
        <f>TRIM("　天下茶屋東公園")</f>
        <v>天下茶屋東公園</v>
      </c>
      <c r="C5405" s="14" t="s">
        <v>1521</v>
      </c>
      <c r="D5405" s="14" t="s">
        <v>399</v>
      </c>
      <c r="E5405" s="1">
        <v>789.16</v>
      </c>
      <c r="F5405" s="2"/>
      <c r="G5405" s="1"/>
      <c r="H5405" s="3"/>
      <c r="I5405" s="14" t="s">
        <v>2177</v>
      </c>
    </row>
    <row r="5406" spans="1:9" ht="18.75" customHeight="1" x14ac:dyDescent="0.4">
      <c r="A5406" s="14" t="s">
        <v>3106</v>
      </c>
      <c r="B5406" s="16" t="str">
        <f>TRIM("　天神ノ森公園")</f>
        <v>天神ノ森公園</v>
      </c>
      <c r="C5406" s="14" t="s">
        <v>1521</v>
      </c>
      <c r="D5406" s="14" t="s">
        <v>1175</v>
      </c>
      <c r="E5406" s="1">
        <v>4161</v>
      </c>
      <c r="F5406" s="2"/>
      <c r="G5406" s="1"/>
      <c r="H5406" s="3"/>
      <c r="I5406" s="14" t="s">
        <v>2177</v>
      </c>
    </row>
    <row r="5407" spans="1:9" ht="18.75" customHeight="1" x14ac:dyDescent="0.4">
      <c r="A5407" s="14" t="s">
        <v>1714</v>
      </c>
      <c r="B5407" s="16" t="str">
        <f>TRIM("障がい福祉サービス事業所　あいえる")</f>
        <v>障がい福祉サービス事業所　あいえる</v>
      </c>
      <c r="C5407" s="14" t="s">
        <v>1521</v>
      </c>
      <c r="D5407" s="14" t="s">
        <v>347</v>
      </c>
      <c r="E5407" s="1">
        <v>507.8</v>
      </c>
      <c r="F5407" s="2"/>
      <c r="G5407" s="1"/>
      <c r="H5407" s="3"/>
      <c r="I5407" s="14" t="s">
        <v>1654</v>
      </c>
    </row>
    <row r="5408" spans="1:9" ht="18.75" customHeight="1" x14ac:dyDescent="0.4">
      <c r="A5408" s="14" t="s">
        <v>5901</v>
      </c>
      <c r="B5408" s="16" t="str">
        <f>TRIM("もと長橋第5保育所")</f>
        <v>もと長橋第5保育所</v>
      </c>
      <c r="C5408" s="14" t="s">
        <v>1521</v>
      </c>
      <c r="D5408" s="14" t="s">
        <v>109</v>
      </c>
      <c r="E5408" s="1">
        <v>2173.66</v>
      </c>
      <c r="F5408" s="2">
        <v>1914</v>
      </c>
      <c r="G5408" s="1">
        <v>1090.31</v>
      </c>
      <c r="H5408" s="3" t="s">
        <v>7353</v>
      </c>
      <c r="I5408" s="14" t="s">
        <v>5617</v>
      </c>
    </row>
    <row r="5409" spans="1:9" ht="18.75" customHeight="1" x14ac:dyDescent="0.4">
      <c r="A5409" s="14" t="s">
        <v>6538</v>
      </c>
      <c r="B5409" s="16" t="str">
        <f>TRIM("長橋第4住宅")</f>
        <v>長橋第4住宅</v>
      </c>
      <c r="C5409" s="14" t="s">
        <v>1521</v>
      </c>
      <c r="D5409" s="14" t="s">
        <v>109</v>
      </c>
      <c r="E5409" s="1">
        <v>6057.57</v>
      </c>
      <c r="F5409" s="2"/>
      <c r="G5409" s="1">
        <v>4635.1000000000004</v>
      </c>
      <c r="H5409" s="3"/>
      <c r="I5409" s="14" t="s">
        <v>6177</v>
      </c>
    </row>
    <row r="5410" spans="1:9" ht="18.75" customHeight="1" x14ac:dyDescent="0.4">
      <c r="A5410" s="14" t="s">
        <v>6539</v>
      </c>
      <c r="B5410" s="16" t="str">
        <f>TRIM("長橋第5住宅")</f>
        <v>長橋第5住宅</v>
      </c>
      <c r="C5410" s="14" t="s">
        <v>1521</v>
      </c>
      <c r="D5410" s="14" t="s">
        <v>109</v>
      </c>
      <c r="E5410" s="1">
        <v>5818</v>
      </c>
      <c r="F5410" s="2"/>
      <c r="G5410" s="1">
        <v>16362.48</v>
      </c>
      <c r="H5410" s="3"/>
      <c r="I5410" s="14" t="s">
        <v>6177</v>
      </c>
    </row>
    <row r="5411" spans="1:9" ht="18.75" customHeight="1" x14ac:dyDescent="0.4">
      <c r="A5411" s="14" t="s">
        <v>1617</v>
      </c>
      <c r="B5411" s="16" t="str">
        <f>TRIM("もと西成地区公共施設建設用地（長橋）")</f>
        <v>もと西成地区公共施設建設用地（長橋）</v>
      </c>
      <c r="C5411" s="14" t="s">
        <v>1521</v>
      </c>
      <c r="D5411" s="14" t="s">
        <v>109</v>
      </c>
      <c r="E5411" s="1">
        <v>2059.4299999999998</v>
      </c>
      <c r="F5411" s="2"/>
      <c r="G5411" s="1"/>
      <c r="H5411" s="3"/>
      <c r="I5411" s="14" t="s">
        <v>1598</v>
      </c>
    </row>
    <row r="5412" spans="1:9" ht="18.75" customHeight="1" x14ac:dyDescent="0.4">
      <c r="A5412" s="14" t="s">
        <v>3066</v>
      </c>
      <c r="B5412" s="16" t="str">
        <f>TRIM("　長橋1公園")</f>
        <v>長橋1公園</v>
      </c>
      <c r="C5412" s="14" t="s">
        <v>1521</v>
      </c>
      <c r="D5412" s="14" t="s">
        <v>109</v>
      </c>
      <c r="E5412" s="1">
        <v>1220.21</v>
      </c>
      <c r="F5412" s="2"/>
      <c r="G5412" s="1"/>
      <c r="H5412" s="3"/>
      <c r="I5412" s="14" t="s">
        <v>2177</v>
      </c>
    </row>
    <row r="5413" spans="1:9" ht="18.75" customHeight="1" x14ac:dyDescent="0.4">
      <c r="A5413" s="14" t="s">
        <v>4685</v>
      </c>
      <c r="B5413" s="16" t="str">
        <f>TRIM("長橋集会所")</f>
        <v>長橋集会所</v>
      </c>
      <c r="C5413" s="14" t="s">
        <v>1521</v>
      </c>
      <c r="D5413" s="14" t="s">
        <v>109</v>
      </c>
      <c r="E5413" s="1">
        <v>511.5</v>
      </c>
      <c r="F5413" s="2"/>
      <c r="G5413" s="1"/>
      <c r="H5413" s="3"/>
      <c r="I5413" s="14" t="s">
        <v>1687</v>
      </c>
    </row>
    <row r="5414" spans="1:9" ht="18.75" customHeight="1" x14ac:dyDescent="0.4">
      <c r="A5414" s="14" t="s">
        <v>6237</v>
      </c>
      <c r="B5414" s="16" t="str">
        <f>TRIM("長橋第5住宅")</f>
        <v>長橋第5住宅</v>
      </c>
      <c r="C5414" s="14" t="s">
        <v>1521</v>
      </c>
      <c r="D5414" s="14" t="s">
        <v>109</v>
      </c>
      <c r="E5414" s="1">
        <v>4270.3</v>
      </c>
      <c r="F5414" s="2"/>
      <c r="G5414" s="1"/>
      <c r="H5414" s="3"/>
      <c r="I5414" s="14" t="s">
        <v>6177</v>
      </c>
    </row>
    <row r="5415" spans="1:9" ht="18.75" customHeight="1" x14ac:dyDescent="0.4">
      <c r="A5415" s="14" t="s">
        <v>4982</v>
      </c>
      <c r="B5415" s="16" t="str">
        <f>TRIM("長橋小学校")</f>
        <v>長橋小学校</v>
      </c>
      <c r="C5415" s="14" t="s">
        <v>1521</v>
      </c>
      <c r="D5415" s="14" t="s">
        <v>102</v>
      </c>
      <c r="E5415" s="1">
        <v>11563.22</v>
      </c>
      <c r="F5415" s="2"/>
      <c r="G5415" s="1">
        <v>13481.81</v>
      </c>
      <c r="H5415" s="3"/>
      <c r="I5415" s="14" t="s">
        <v>4689</v>
      </c>
    </row>
    <row r="5416" spans="1:9" ht="18.75" customHeight="1" x14ac:dyDescent="0.4">
      <c r="A5416" s="14" t="s">
        <v>6536</v>
      </c>
      <c r="B5416" s="16" t="str">
        <f>TRIM("長橋第1住宅")</f>
        <v>長橋第1住宅</v>
      </c>
      <c r="C5416" s="14" t="s">
        <v>1521</v>
      </c>
      <c r="D5416" s="14" t="s">
        <v>102</v>
      </c>
      <c r="E5416" s="1">
        <v>7445.59</v>
      </c>
      <c r="F5416" s="2"/>
      <c r="G5416" s="1">
        <v>7343.37</v>
      </c>
      <c r="H5416" s="3"/>
      <c r="I5416" s="14" t="s">
        <v>6177</v>
      </c>
    </row>
    <row r="5417" spans="1:9" ht="18.75" customHeight="1" x14ac:dyDescent="0.4">
      <c r="A5417" s="14" t="s">
        <v>6540</v>
      </c>
      <c r="B5417" s="16" t="str">
        <f>TRIM("長橋第6住宅")</f>
        <v>長橋第6住宅</v>
      </c>
      <c r="C5417" s="14" t="s">
        <v>1521</v>
      </c>
      <c r="D5417" s="14" t="s">
        <v>102</v>
      </c>
      <c r="E5417" s="1">
        <v>1861.47</v>
      </c>
      <c r="F5417" s="2"/>
      <c r="G5417" s="1">
        <v>2573.8000000000002</v>
      </c>
      <c r="H5417" s="3"/>
      <c r="I5417" s="14" t="s">
        <v>6177</v>
      </c>
    </row>
    <row r="5418" spans="1:9" ht="18.75" customHeight="1" x14ac:dyDescent="0.4">
      <c r="A5418" s="14" t="s">
        <v>3068</v>
      </c>
      <c r="B5418" s="16" t="str">
        <f>TRIM("　長橋公園")</f>
        <v>長橋公園</v>
      </c>
      <c r="C5418" s="14" t="s">
        <v>1521</v>
      </c>
      <c r="D5418" s="14" t="s">
        <v>102</v>
      </c>
      <c r="E5418" s="1">
        <v>2682.85</v>
      </c>
      <c r="F5418" s="2"/>
      <c r="G5418" s="1"/>
      <c r="H5418" s="3"/>
      <c r="I5418" s="14" t="s">
        <v>2177</v>
      </c>
    </row>
    <row r="5419" spans="1:9" ht="18.75" customHeight="1" x14ac:dyDescent="0.4">
      <c r="A5419" s="14" t="s">
        <v>5650</v>
      </c>
      <c r="B5419" s="16" t="str">
        <f>TRIM("もと長橋児童集会所")</f>
        <v>もと長橋児童集会所</v>
      </c>
      <c r="C5419" s="14" t="s">
        <v>1521</v>
      </c>
      <c r="D5419" s="14" t="s">
        <v>102</v>
      </c>
      <c r="E5419" s="1"/>
      <c r="F5419" s="2"/>
      <c r="G5419" s="1">
        <v>77.75</v>
      </c>
      <c r="H5419" s="3"/>
      <c r="I5419" s="14" t="s">
        <v>5617</v>
      </c>
    </row>
    <row r="5420" spans="1:9" ht="18.75" customHeight="1" x14ac:dyDescent="0.4">
      <c r="A5420" s="14" t="s">
        <v>6979</v>
      </c>
      <c r="B5420" s="16" t="str">
        <f>TRIM("ツルミ診療所")</f>
        <v>ツルミ診療所</v>
      </c>
      <c r="C5420" s="14" t="s">
        <v>1521</v>
      </c>
      <c r="D5420" s="14" t="s">
        <v>102</v>
      </c>
      <c r="E5420" s="1">
        <v>500</v>
      </c>
      <c r="F5420" s="2"/>
      <c r="G5420" s="1"/>
      <c r="H5420" s="3"/>
      <c r="I5420" s="14" t="s">
        <v>2402</v>
      </c>
    </row>
    <row r="5421" spans="1:9" ht="18.75" customHeight="1" x14ac:dyDescent="0.4">
      <c r="A5421" s="14" t="s">
        <v>5634</v>
      </c>
      <c r="B5421" s="16" t="str">
        <f>TRIM("もと長橋第6保育所")</f>
        <v>もと長橋第6保育所</v>
      </c>
      <c r="C5421" s="14" t="s">
        <v>1521</v>
      </c>
      <c r="D5421" s="14" t="s">
        <v>108</v>
      </c>
      <c r="E5421" s="1">
        <v>418.4</v>
      </c>
      <c r="F5421" s="2">
        <v>809</v>
      </c>
      <c r="G5421" s="1"/>
      <c r="H5421" s="3"/>
      <c r="I5421" s="14" t="s">
        <v>5617</v>
      </c>
    </row>
    <row r="5422" spans="1:9" ht="18.75" customHeight="1" x14ac:dyDescent="0.4">
      <c r="A5422" s="14" t="s">
        <v>5655</v>
      </c>
      <c r="B5422" s="16" t="str">
        <f>TRIM("もと長橋第6保育所（北側）")</f>
        <v>もと長橋第6保育所（北側）</v>
      </c>
      <c r="C5422" s="14" t="s">
        <v>1521</v>
      </c>
      <c r="D5422" s="14" t="s">
        <v>108</v>
      </c>
      <c r="E5422" s="1">
        <v>898</v>
      </c>
      <c r="F5422" s="2">
        <v>1166</v>
      </c>
      <c r="G5422" s="1"/>
      <c r="H5422" s="3"/>
      <c r="I5422" s="14" t="s">
        <v>5617</v>
      </c>
    </row>
    <row r="5423" spans="1:9" ht="18.75" customHeight="1" x14ac:dyDescent="0.4">
      <c r="A5423" s="14" t="s">
        <v>6881</v>
      </c>
      <c r="B5423" s="16" t="str">
        <f>TRIM("長橋住宅地区改良事業用地")</f>
        <v>長橋住宅地区改良事業用地</v>
      </c>
      <c r="C5423" s="14" t="s">
        <v>1521</v>
      </c>
      <c r="D5423" s="14" t="s">
        <v>108</v>
      </c>
      <c r="E5423" s="1">
        <v>7766.04</v>
      </c>
      <c r="F5423" s="15" t="s">
        <v>7357</v>
      </c>
      <c r="G5423" s="1"/>
      <c r="H5423" s="3"/>
      <c r="I5423" s="14" t="s">
        <v>6177</v>
      </c>
    </row>
    <row r="5424" spans="1:9" ht="18.75" customHeight="1" x14ac:dyDescent="0.4">
      <c r="A5424" s="14" t="s">
        <v>1608</v>
      </c>
      <c r="B5424" s="16" t="str">
        <f>TRIM("もと西成地区公共施設建設用地")</f>
        <v>もと西成地区公共施設建設用地</v>
      </c>
      <c r="C5424" s="14" t="s">
        <v>1521</v>
      </c>
      <c r="D5424" s="14" t="s">
        <v>108</v>
      </c>
      <c r="E5424" s="1">
        <v>840</v>
      </c>
      <c r="F5424" s="2" t="s">
        <v>7328</v>
      </c>
      <c r="G5424" s="1"/>
      <c r="H5424" s="3"/>
      <c r="I5424" s="14" t="s">
        <v>1598</v>
      </c>
    </row>
    <row r="5425" spans="1:9" ht="18.75" customHeight="1" x14ac:dyDescent="0.4">
      <c r="A5425" s="14" t="s">
        <v>4995</v>
      </c>
      <c r="B5425" s="16" t="str">
        <f>TRIM("鶴見橋中学校")</f>
        <v>鶴見橋中学校</v>
      </c>
      <c r="C5425" s="14" t="s">
        <v>1521</v>
      </c>
      <c r="D5425" s="14" t="s">
        <v>108</v>
      </c>
      <c r="E5425" s="1">
        <v>20763.82</v>
      </c>
      <c r="F5425" s="2"/>
      <c r="G5425" s="1">
        <v>10987.61</v>
      </c>
      <c r="H5425" s="3"/>
      <c r="I5425" s="14" t="s">
        <v>4689</v>
      </c>
    </row>
    <row r="5426" spans="1:9" ht="18.75" customHeight="1" x14ac:dyDescent="0.4">
      <c r="A5426" s="14" t="s">
        <v>6537</v>
      </c>
      <c r="B5426" s="16" t="str">
        <f>TRIM("長橋第3住宅")</f>
        <v>長橋第3住宅</v>
      </c>
      <c r="C5426" s="14" t="s">
        <v>1521</v>
      </c>
      <c r="D5426" s="14" t="s">
        <v>108</v>
      </c>
      <c r="E5426" s="1">
        <v>9326.61</v>
      </c>
      <c r="F5426" s="2"/>
      <c r="G5426" s="1">
        <v>9183.68</v>
      </c>
      <c r="H5426" s="3"/>
      <c r="I5426" s="14" t="s">
        <v>6177</v>
      </c>
    </row>
    <row r="5427" spans="1:9" ht="18.75" customHeight="1" x14ac:dyDescent="0.4">
      <c r="A5427" s="14" t="s">
        <v>6541</v>
      </c>
      <c r="B5427" s="16" t="str">
        <f>TRIM("長橋通住宅")</f>
        <v>長橋通住宅</v>
      </c>
      <c r="C5427" s="14" t="s">
        <v>1521</v>
      </c>
      <c r="D5427" s="14" t="s">
        <v>108</v>
      </c>
      <c r="E5427" s="1">
        <v>1368.91</v>
      </c>
      <c r="F5427" s="2"/>
      <c r="G5427" s="1">
        <v>1666.77</v>
      </c>
      <c r="H5427" s="3"/>
      <c r="I5427" s="14" t="s">
        <v>6177</v>
      </c>
    </row>
    <row r="5428" spans="1:9" ht="18.75" customHeight="1" x14ac:dyDescent="0.4">
      <c r="A5428" s="14" t="s">
        <v>1664</v>
      </c>
      <c r="B5428" s="16" t="str">
        <f>TRIM("三星温泉")</f>
        <v>三星温泉</v>
      </c>
      <c r="C5428" s="14" t="s">
        <v>1521</v>
      </c>
      <c r="D5428" s="14" t="s">
        <v>108</v>
      </c>
      <c r="E5428" s="1">
        <v>619.82000000000005</v>
      </c>
      <c r="F5428" s="2"/>
      <c r="G5428" s="1"/>
      <c r="H5428" s="3"/>
      <c r="I5428" s="14" t="s">
        <v>1654</v>
      </c>
    </row>
    <row r="5429" spans="1:9" ht="18.75" customHeight="1" x14ac:dyDescent="0.4">
      <c r="A5429" s="14" t="s">
        <v>1757</v>
      </c>
      <c r="B5429" s="16" t="str">
        <f>TRIM("過小地（もと西成障がい者会館）")</f>
        <v>過小地（もと西成障がい者会館）</v>
      </c>
      <c r="C5429" s="14" t="s">
        <v>1521</v>
      </c>
      <c r="D5429" s="14" t="s">
        <v>108</v>
      </c>
      <c r="E5429" s="1">
        <v>44.12</v>
      </c>
      <c r="F5429" s="2"/>
      <c r="G5429" s="1"/>
      <c r="H5429" s="3"/>
      <c r="I5429" s="14" t="s">
        <v>1654</v>
      </c>
    </row>
    <row r="5430" spans="1:9" ht="18.75" customHeight="1" x14ac:dyDescent="0.4">
      <c r="A5430" s="14" t="s">
        <v>1758</v>
      </c>
      <c r="B5430" s="16" t="str">
        <f>TRIM("過小地（もと西成障がい者会館駐車場）")</f>
        <v>過小地（もと西成障がい者会館駐車場）</v>
      </c>
      <c r="C5430" s="14" t="s">
        <v>1521</v>
      </c>
      <c r="D5430" s="14" t="s">
        <v>108</v>
      </c>
      <c r="E5430" s="1">
        <v>44.32</v>
      </c>
      <c r="F5430" s="2"/>
      <c r="G5430" s="1"/>
      <c r="H5430" s="3"/>
      <c r="I5430" s="14" t="s">
        <v>1654</v>
      </c>
    </row>
    <row r="5431" spans="1:9" ht="18.75" customHeight="1" x14ac:dyDescent="0.4">
      <c r="A5431" s="14" t="s">
        <v>3067</v>
      </c>
      <c r="B5431" s="16" t="str">
        <f>TRIM("　長橋3公園")</f>
        <v>長橋3公園</v>
      </c>
      <c r="C5431" s="14" t="s">
        <v>1521</v>
      </c>
      <c r="D5431" s="14" t="s">
        <v>108</v>
      </c>
      <c r="E5431" s="1">
        <v>1796.56</v>
      </c>
      <c r="F5431" s="2"/>
      <c r="G5431" s="1"/>
      <c r="H5431" s="3"/>
      <c r="I5431" s="14" t="s">
        <v>2177</v>
      </c>
    </row>
    <row r="5432" spans="1:9" ht="18.75" customHeight="1" x14ac:dyDescent="0.4">
      <c r="A5432" s="14" t="s">
        <v>3069</v>
      </c>
      <c r="B5432" s="16" t="str">
        <f>TRIM("　長橋西公園")</f>
        <v>長橋西公園</v>
      </c>
      <c r="C5432" s="14" t="s">
        <v>1521</v>
      </c>
      <c r="D5432" s="14" t="s">
        <v>108</v>
      </c>
      <c r="E5432" s="1">
        <v>1086.1400000000001</v>
      </c>
      <c r="F5432" s="2"/>
      <c r="G5432" s="1"/>
      <c r="H5432" s="3"/>
      <c r="I5432" s="14" t="s">
        <v>2177</v>
      </c>
    </row>
    <row r="5433" spans="1:9" ht="18.75" customHeight="1" x14ac:dyDescent="0.4">
      <c r="A5433" s="14" t="s">
        <v>6214</v>
      </c>
      <c r="B5433" s="16" t="str">
        <f>TRIM("長橋第2住宅")</f>
        <v>長橋第2住宅</v>
      </c>
      <c r="C5433" s="14" t="s">
        <v>1521</v>
      </c>
      <c r="D5433" s="14" t="s">
        <v>108</v>
      </c>
      <c r="E5433" s="1">
        <v>2276.9</v>
      </c>
      <c r="F5433" s="2"/>
      <c r="G5433" s="1"/>
      <c r="H5433" s="3"/>
      <c r="I5433" s="14" t="s">
        <v>6177</v>
      </c>
    </row>
    <row r="5434" spans="1:9" ht="18.75" customHeight="1" x14ac:dyDescent="0.4">
      <c r="A5434" s="14" t="s">
        <v>6215</v>
      </c>
      <c r="B5434" s="16" t="str">
        <f>TRIM("長橋定期借地権事業用地")</f>
        <v>長橋定期借地権事業用地</v>
      </c>
      <c r="C5434" s="14" t="s">
        <v>1521</v>
      </c>
      <c r="D5434" s="14" t="s">
        <v>108</v>
      </c>
      <c r="E5434" s="1">
        <v>718.25</v>
      </c>
      <c r="F5434" s="2"/>
      <c r="G5434" s="1"/>
      <c r="H5434" s="3"/>
      <c r="I5434" s="14" t="s">
        <v>6177</v>
      </c>
    </row>
    <row r="5435" spans="1:9" ht="18.75" customHeight="1" x14ac:dyDescent="0.4">
      <c r="A5435" s="14" t="s">
        <v>5981</v>
      </c>
      <c r="B5435" s="16" t="str">
        <f>TRIM("公害工場跡地（ダイヤ産業）")</f>
        <v>公害工場跡地（ダイヤ産業）</v>
      </c>
      <c r="C5435" s="14" t="s">
        <v>1521</v>
      </c>
      <c r="D5435" s="14" t="s">
        <v>619</v>
      </c>
      <c r="E5435" s="1">
        <v>1286.83</v>
      </c>
      <c r="F5435" s="2">
        <v>811</v>
      </c>
      <c r="G5435" s="1"/>
      <c r="H5435" s="3"/>
      <c r="I5435" s="14" t="s">
        <v>5977</v>
      </c>
    </row>
    <row r="5436" spans="1:9" ht="18.75" customHeight="1" x14ac:dyDescent="0.4">
      <c r="A5436" s="14" t="s">
        <v>6824</v>
      </c>
      <c r="B5436" s="16" t="str">
        <f>TRIM("肩替地（元木津）")</f>
        <v>肩替地（元木津）</v>
      </c>
      <c r="C5436" s="14" t="s">
        <v>1521</v>
      </c>
      <c r="D5436" s="14" t="s">
        <v>35</v>
      </c>
      <c r="E5436" s="1">
        <v>138.25</v>
      </c>
      <c r="F5436" s="2">
        <v>780</v>
      </c>
      <c r="G5436" s="1"/>
      <c r="H5436" s="3"/>
      <c r="I5436" s="14" t="s">
        <v>6177</v>
      </c>
    </row>
    <row r="5437" spans="1:9" ht="18.75" customHeight="1" x14ac:dyDescent="0.4">
      <c r="A5437" s="14" t="s">
        <v>6507</v>
      </c>
      <c r="B5437" s="16" t="str">
        <f>TRIM("中開東住宅")</f>
        <v>中開東住宅</v>
      </c>
      <c r="C5437" s="14" t="s">
        <v>1521</v>
      </c>
      <c r="D5437" s="14" t="s">
        <v>35</v>
      </c>
      <c r="E5437" s="1">
        <v>3069.06</v>
      </c>
      <c r="F5437" s="2"/>
      <c r="G5437" s="1">
        <v>3087.23</v>
      </c>
      <c r="H5437" s="3"/>
      <c r="I5437" s="14" t="s">
        <v>6177</v>
      </c>
    </row>
    <row r="5438" spans="1:9" ht="18.75" customHeight="1" x14ac:dyDescent="0.4">
      <c r="A5438" s="14" t="s">
        <v>3057</v>
      </c>
      <c r="B5438" s="16" t="str">
        <f>TRIM("　中北公園")</f>
        <v>中北公園</v>
      </c>
      <c r="C5438" s="14" t="s">
        <v>1521</v>
      </c>
      <c r="D5438" s="14" t="s">
        <v>35</v>
      </c>
      <c r="E5438" s="1">
        <v>1419.43</v>
      </c>
      <c r="F5438" s="2"/>
      <c r="G5438" s="1"/>
      <c r="H5438" s="3"/>
      <c r="I5438" s="14" t="s">
        <v>2177</v>
      </c>
    </row>
    <row r="5439" spans="1:9" ht="18.75" customHeight="1" x14ac:dyDescent="0.4">
      <c r="A5439" s="14" t="s">
        <v>5990</v>
      </c>
      <c r="B5439" s="16" t="str">
        <f>TRIM("もと公害工場跡地（浪速塗装）")</f>
        <v>もと公害工場跡地（浪速塗装）</v>
      </c>
      <c r="C5439" s="14" t="s">
        <v>1521</v>
      </c>
      <c r="D5439" s="14" t="s">
        <v>622</v>
      </c>
      <c r="E5439" s="1">
        <v>808.82</v>
      </c>
      <c r="F5439" s="2">
        <v>813</v>
      </c>
      <c r="G5439" s="1"/>
      <c r="H5439" s="3"/>
      <c r="I5439" s="14" t="s">
        <v>5977</v>
      </c>
    </row>
    <row r="5440" spans="1:9" ht="18.75" customHeight="1" x14ac:dyDescent="0.4">
      <c r="A5440" s="14" t="s">
        <v>6506</v>
      </c>
      <c r="B5440" s="16" t="str">
        <f>TRIM("中開住宅")</f>
        <v>中開住宅</v>
      </c>
      <c r="C5440" s="14" t="s">
        <v>1521</v>
      </c>
      <c r="D5440" s="14" t="s">
        <v>622</v>
      </c>
      <c r="E5440" s="1">
        <v>2679.09</v>
      </c>
      <c r="F5440" s="2"/>
      <c r="G5440" s="1">
        <v>2027.29</v>
      </c>
      <c r="H5440" s="3"/>
      <c r="I5440" s="14" t="s">
        <v>6177</v>
      </c>
    </row>
    <row r="5441" spans="1:9" ht="18.75" customHeight="1" x14ac:dyDescent="0.4">
      <c r="A5441" s="14" t="s">
        <v>6273</v>
      </c>
      <c r="B5441" s="16" t="str">
        <f>TRIM("ひらき住宅")</f>
        <v>ひらき住宅</v>
      </c>
      <c r="C5441" s="14" t="s">
        <v>1521</v>
      </c>
      <c r="D5441" s="14" t="s">
        <v>622</v>
      </c>
      <c r="E5441" s="1">
        <v>10199.530000000001</v>
      </c>
      <c r="F5441" s="2"/>
      <c r="G5441" s="1">
        <v>12160.82</v>
      </c>
      <c r="H5441" s="3"/>
      <c r="I5441" s="14" t="s">
        <v>6177</v>
      </c>
    </row>
    <row r="5442" spans="1:9" ht="18.75" customHeight="1" x14ac:dyDescent="0.4">
      <c r="A5442" s="14" t="s">
        <v>6274</v>
      </c>
      <c r="B5442" s="16" t="str">
        <f>TRIM("ひらき西住宅")</f>
        <v>ひらき西住宅</v>
      </c>
      <c r="C5442" s="14" t="s">
        <v>1521</v>
      </c>
      <c r="D5442" s="14" t="s">
        <v>622</v>
      </c>
      <c r="E5442" s="1">
        <v>3895.1</v>
      </c>
      <c r="F5442" s="2"/>
      <c r="G5442" s="1">
        <v>4256.76</v>
      </c>
      <c r="H5442" s="3"/>
      <c r="I5442" s="14" t="s">
        <v>6177</v>
      </c>
    </row>
    <row r="5443" spans="1:9" ht="18.75" customHeight="1" x14ac:dyDescent="0.4">
      <c r="A5443" s="14" t="s">
        <v>2421</v>
      </c>
      <c r="B5443" s="16" t="str">
        <f>TRIM("西成区第48-1号線（西成区）（道路課）")</f>
        <v>西成区第48-1号線（西成区）（道路課）</v>
      </c>
      <c r="C5443" s="14" t="s">
        <v>1521</v>
      </c>
      <c r="D5443" s="14" t="s">
        <v>622</v>
      </c>
      <c r="E5443" s="1">
        <v>23.25</v>
      </c>
      <c r="F5443" s="2"/>
      <c r="G5443" s="1"/>
      <c r="H5443" s="3"/>
      <c r="I5443" s="14" t="s">
        <v>2177</v>
      </c>
    </row>
    <row r="5444" spans="1:9" ht="18.75" customHeight="1" x14ac:dyDescent="0.4">
      <c r="A5444" s="14" t="s">
        <v>2625</v>
      </c>
      <c r="B5444" s="16" t="str">
        <f>TRIM("　開公園")</f>
        <v>開公園</v>
      </c>
      <c r="C5444" s="14" t="s">
        <v>1521</v>
      </c>
      <c r="D5444" s="14" t="s">
        <v>622</v>
      </c>
      <c r="E5444" s="1">
        <v>1038.5</v>
      </c>
      <c r="F5444" s="2"/>
      <c r="G5444" s="1"/>
      <c r="H5444" s="3"/>
      <c r="I5444" s="14" t="s">
        <v>2177</v>
      </c>
    </row>
    <row r="5445" spans="1:9" ht="18.75" customHeight="1" x14ac:dyDescent="0.4">
      <c r="A5445" s="14" t="s">
        <v>3037</v>
      </c>
      <c r="B5445" s="16" t="str">
        <f>TRIM("　中開3公園")</f>
        <v>中開3公園</v>
      </c>
      <c r="C5445" s="14" t="s">
        <v>1521</v>
      </c>
      <c r="D5445" s="14" t="s">
        <v>622</v>
      </c>
      <c r="E5445" s="1">
        <v>511.22</v>
      </c>
      <c r="F5445" s="2"/>
      <c r="G5445" s="1"/>
      <c r="H5445" s="3"/>
      <c r="I5445" s="14" t="s">
        <v>2177</v>
      </c>
    </row>
    <row r="5446" spans="1:9" ht="18.75" customHeight="1" x14ac:dyDescent="0.4">
      <c r="A5446" s="14" t="s">
        <v>6233</v>
      </c>
      <c r="B5446" s="16" t="str">
        <f>TRIM("ひらき住宅")</f>
        <v>ひらき住宅</v>
      </c>
      <c r="C5446" s="14" t="s">
        <v>1521</v>
      </c>
      <c r="D5446" s="14" t="s">
        <v>622</v>
      </c>
      <c r="E5446" s="1">
        <v>42.46</v>
      </c>
      <c r="F5446" s="2"/>
      <c r="G5446" s="1"/>
      <c r="H5446" s="3"/>
      <c r="I5446" s="14" t="s">
        <v>6177</v>
      </c>
    </row>
    <row r="5447" spans="1:9" ht="18.75" customHeight="1" x14ac:dyDescent="0.4">
      <c r="A5447" s="14" t="s">
        <v>6894</v>
      </c>
      <c r="B5447" s="16" t="str">
        <f>TRIM("中開住宅")</f>
        <v>中開住宅</v>
      </c>
      <c r="C5447" s="14" t="s">
        <v>1521</v>
      </c>
      <c r="D5447" s="14" t="s">
        <v>622</v>
      </c>
      <c r="E5447" s="1">
        <v>493.52</v>
      </c>
      <c r="F5447" s="2">
        <v>815</v>
      </c>
      <c r="G5447" s="1"/>
      <c r="H5447" s="3"/>
      <c r="I5447" s="14" t="s">
        <v>6177</v>
      </c>
    </row>
    <row r="5448" spans="1:9" ht="18.75" customHeight="1" x14ac:dyDescent="0.4">
      <c r="A5448" s="14" t="s">
        <v>1859</v>
      </c>
      <c r="B5448" s="16" t="str">
        <f>TRIM("もと介護老人保健施設おとしよりすこやかセンター（南部花園館）")</f>
        <v>もと介護老人保健施設おとしよりすこやかセンター（南部花園館）</v>
      </c>
      <c r="C5448" s="14" t="s">
        <v>1521</v>
      </c>
      <c r="D5448" s="14" t="s">
        <v>372</v>
      </c>
      <c r="E5448" s="1">
        <v>1982.19</v>
      </c>
      <c r="F5448" s="2"/>
      <c r="G5448" s="1">
        <v>6137.56</v>
      </c>
      <c r="H5448" s="3"/>
      <c r="I5448" s="14" t="s">
        <v>1654</v>
      </c>
    </row>
    <row r="5449" spans="1:9" ht="18.75" customHeight="1" x14ac:dyDescent="0.4">
      <c r="A5449" s="14" t="s">
        <v>5672</v>
      </c>
      <c r="B5449" s="16" t="str">
        <f>TRIM("もと西成勤労青少年ホーム")</f>
        <v>もと西成勤労青少年ホーム</v>
      </c>
      <c r="C5449" s="14" t="s">
        <v>1521</v>
      </c>
      <c r="D5449" s="14" t="s">
        <v>372</v>
      </c>
      <c r="E5449" s="1">
        <v>865.1</v>
      </c>
      <c r="F5449" s="2"/>
      <c r="G5449" s="1">
        <v>774.76</v>
      </c>
      <c r="H5449" s="3" t="s">
        <v>7353</v>
      </c>
      <c r="I5449" s="14" t="s">
        <v>5617</v>
      </c>
    </row>
    <row r="5450" spans="1:9" ht="18.75" customHeight="1" x14ac:dyDescent="0.4">
      <c r="A5450" s="14" t="s">
        <v>1802</v>
      </c>
      <c r="B5450" s="16" t="str">
        <f>TRIM("西成区老人福祉センター")</f>
        <v>西成区老人福祉センター</v>
      </c>
      <c r="C5450" s="14" t="s">
        <v>1521</v>
      </c>
      <c r="D5450" s="14" t="s">
        <v>372</v>
      </c>
      <c r="E5450" s="1"/>
      <c r="F5450" s="2"/>
      <c r="G5450" s="1">
        <v>1013.05</v>
      </c>
      <c r="H5450" s="3"/>
      <c r="I5450" s="14" t="s">
        <v>1654</v>
      </c>
    </row>
    <row r="5451" spans="1:9" ht="18.75" customHeight="1" x14ac:dyDescent="0.4">
      <c r="A5451" s="14" t="s">
        <v>2694</v>
      </c>
      <c r="B5451" s="16" t="str">
        <f>TRIM("　弘治南公園")</f>
        <v>弘治南公園</v>
      </c>
      <c r="C5451" s="14" t="s">
        <v>1521</v>
      </c>
      <c r="D5451" s="14" t="s">
        <v>372</v>
      </c>
      <c r="E5451" s="1">
        <v>501.28</v>
      </c>
      <c r="F5451" s="2"/>
      <c r="G5451" s="1"/>
      <c r="H5451" s="3"/>
      <c r="I5451" s="14" t="s">
        <v>2177</v>
      </c>
    </row>
    <row r="5452" spans="1:9" ht="18.75" customHeight="1" x14ac:dyDescent="0.4">
      <c r="A5452" s="14" t="s">
        <v>3784</v>
      </c>
      <c r="B5452" s="16" t="str">
        <f>TRIM("花園町駅自転車駐車場管理ボックス")</f>
        <v>花園町駅自転車駐車場管理ボックス</v>
      </c>
      <c r="C5452" s="14" t="s">
        <v>1521</v>
      </c>
      <c r="D5452" s="14" t="s">
        <v>372</v>
      </c>
      <c r="E5452" s="1"/>
      <c r="F5452" s="2"/>
      <c r="G5452" s="1">
        <v>1.44</v>
      </c>
      <c r="H5452" s="3"/>
      <c r="I5452" s="14" t="s">
        <v>2177</v>
      </c>
    </row>
    <row r="5453" spans="1:9" ht="18.75" customHeight="1" x14ac:dyDescent="0.4">
      <c r="A5453" s="14" t="s">
        <v>3785</v>
      </c>
      <c r="B5453" s="16" t="str">
        <f>TRIM("花園町駅自転車駐車場管理事務所")</f>
        <v>花園町駅自転車駐車場管理事務所</v>
      </c>
      <c r="C5453" s="14" t="s">
        <v>1521</v>
      </c>
      <c r="D5453" s="14" t="s">
        <v>372</v>
      </c>
      <c r="E5453" s="1"/>
      <c r="F5453" s="2"/>
      <c r="G5453" s="1">
        <v>3.53</v>
      </c>
      <c r="H5453" s="3"/>
      <c r="I5453" s="14" t="s">
        <v>2177</v>
      </c>
    </row>
    <row r="5454" spans="1:9" ht="18.75" customHeight="1" x14ac:dyDescent="0.4">
      <c r="A5454" s="14" t="s">
        <v>3229</v>
      </c>
      <c r="B5454" s="16" t="str">
        <f>TRIM("　梅南2公園")</f>
        <v>梅南2公園</v>
      </c>
      <c r="C5454" s="14" t="s">
        <v>1521</v>
      </c>
      <c r="D5454" s="14" t="s">
        <v>1218</v>
      </c>
      <c r="E5454" s="1">
        <v>985.94</v>
      </c>
      <c r="F5454" s="2"/>
      <c r="G5454" s="1"/>
      <c r="H5454" s="3"/>
      <c r="I5454" s="14" t="s">
        <v>2177</v>
      </c>
    </row>
    <row r="5455" spans="1:9" ht="18.75" customHeight="1" x14ac:dyDescent="0.4">
      <c r="A5455" s="14" t="s">
        <v>3230</v>
      </c>
      <c r="B5455" s="16" t="str">
        <f>TRIM("　梅南公園")</f>
        <v>梅南公園</v>
      </c>
      <c r="C5455" s="14" t="s">
        <v>1521</v>
      </c>
      <c r="D5455" s="14" t="s">
        <v>1219</v>
      </c>
      <c r="E5455" s="1">
        <v>647.1</v>
      </c>
      <c r="F5455" s="2">
        <v>817</v>
      </c>
      <c r="G5455" s="1"/>
      <c r="H5455" s="3"/>
      <c r="I5455" s="14" t="s">
        <v>2177</v>
      </c>
    </row>
    <row r="5456" spans="1:9" ht="18.75" customHeight="1" x14ac:dyDescent="0.4">
      <c r="A5456" s="14" t="s">
        <v>5064</v>
      </c>
      <c r="B5456" s="16" t="str">
        <f>TRIM("梅南津守小学校")</f>
        <v>梅南津守小学校</v>
      </c>
      <c r="C5456" s="14" t="s">
        <v>1521</v>
      </c>
      <c r="D5456" s="14" t="s">
        <v>1219</v>
      </c>
      <c r="E5456" s="1">
        <v>6834.29</v>
      </c>
      <c r="F5456" s="2"/>
      <c r="G5456" s="1">
        <v>5586.76</v>
      </c>
      <c r="H5456" s="3"/>
      <c r="I5456" s="14" t="s">
        <v>4689</v>
      </c>
    </row>
    <row r="5457" spans="1:9" ht="18.75" customHeight="1" x14ac:dyDescent="0.4">
      <c r="A5457" s="14" t="s">
        <v>5065</v>
      </c>
      <c r="B5457" s="16" t="str">
        <f>TRIM("梅南中学校")</f>
        <v>梅南中学校</v>
      </c>
      <c r="C5457" s="14" t="s">
        <v>1521</v>
      </c>
      <c r="D5457" s="14" t="s">
        <v>1219</v>
      </c>
      <c r="E5457" s="1">
        <v>14764.66</v>
      </c>
      <c r="F5457" s="2"/>
      <c r="G5457" s="1">
        <v>11278.38</v>
      </c>
      <c r="H5457" s="3"/>
      <c r="I5457" s="14" t="s">
        <v>4689</v>
      </c>
    </row>
    <row r="5458" spans="1:9" ht="18.75" customHeight="1" x14ac:dyDescent="0.4">
      <c r="A5458" s="14" t="s">
        <v>2486</v>
      </c>
      <c r="B5458" s="16" t="str">
        <f>TRIM("十三間川埋立地")</f>
        <v>十三間川埋立地</v>
      </c>
      <c r="C5458" s="14" t="s">
        <v>1521</v>
      </c>
      <c r="D5458" s="14" t="s">
        <v>1219</v>
      </c>
      <c r="E5458" s="1">
        <v>26.47</v>
      </c>
      <c r="F5458" s="2"/>
      <c r="G5458" s="1"/>
      <c r="H5458" s="3"/>
      <c r="I5458" s="14" t="s">
        <v>2177</v>
      </c>
    </row>
    <row r="5459" spans="1:9" ht="18.75" customHeight="1" x14ac:dyDescent="0.4">
      <c r="A5459" s="14" t="s">
        <v>3926</v>
      </c>
      <c r="B5459" s="16" t="str">
        <f>TRIM("萩ノ茶屋駅自転車駐車場管理員詰所")</f>
        <v>萩ノ茶屋駅自転車駐車場管理員詰所</v>
      </c>
      <c r="C5459" s="14" t="s">
        <v>1521</v>
      </c>
      <c r="D5459" s="14" t="s">
        <v>1502</v>
      </c>
      <c r="E5459" s="1"/>
      <c r="F5459" s="2"/>
      <c r="G5459" s="1">
        <v>4.9400000000000004</v>
      </c>
      <c r="H5459" s="3"/>
      <c r="I5459" s="14" t="s">
        <v>2177</v>
      </c>
    </row>
    <row r="5460" spans="1:9" ht="18.75" customHeight="1" x14ac:dyDescent="0.4">
      <c r="A5460" s="14" t="s">
        <v>2535</v>
      </c>
      <c r="B5460" s="16" t="str">
        <f>TRIM("　（仮称）萩之茶屋公園")</f>
        <v>（仮称）萩之茶屋公園</v>
      </c>
      <c r="C5460" s="14" t="s">
        <v>1521</v>
      </c>
      <c r="D5460" s="14" t="s">
        <v>341</v>
      </c>
      <c r="E5460" s="1">
        <v>1774</v>
      </c>
      <c r="F5460" s="2">
        <v>818</v>
      </c>
      <c r="G5460" s="1"/>
      <c r="H5460" s="3"/>
      <c r="I5460" s="14" t="s">
        <v>2177</v>
      </c>
    </row>
    <row r="5461" spans="1:9" ht="18.75" customHeight="1" x14ac:dyDescent="0.4">
      <c r="A5461" s="14" t="s">
        <v>1700</v>
      </c>
      <c r="B5461" s="16" t="str">
        <f>TRIM("生活ケアセンター三徳寮")</f>
        <v>生活ケアセンター三徳寮</v>
      </c>
      <c r="C5461" s="14" t="s">
        <v>1521</v>
      </c>
      <c r="D5461" s="14" t="s">
        <v>341</v>
      </c>
      <c r="E5461" s="1">
        <v>2401.41</v>
      </c>
      <c r="F5461" s="2"/>
      <c r="G5461" s="1">
        <v>972.23</v>
      </c>
      <c r="H5461" s="3"/>
      <c r="I5461" s="14" t="s">
        <v>1654</v>
      </c>
    </row>
    <row r="5462" spans="1:9" ht="18.75" customHeight="1" x14ac:dyDescent="0.4">
      <c r="A5462" s="14" t="s">
        <v>6255</v>
      </c>
      <c r="B5462" s="16" t="str">
        <f>TRIM("萩之茶屋北住宅")</f>
        <v>萩之茶屋北住宅</v>
      </c>
      <c r="C5462" s="14" t="s">
        <v>1521</v>
      </c>
      <c r="D5462" s="14" t="s">
        <v>341</v>
      </c>
      <c r="E5462" s="1">
        <v>4705.08</v>
      </c>
      <c r="F5462" s="2"/>
      <c r="G5462" s="1">
        <v>11146.75</v>
      </c>
      <c r="H5462" s="3"/>
      <c r="I5462" s="14" t="s">
        <v>6177</v>
      </c>
    </row>
    <row r="5463" spans="1:9" ht="18.75" customHeight="1" x14ac:dyDescent="0.4">
      <c r="A5463" s="14" t="s">
        <v>6623</v>
      </c>
      <c r="B5463" s="16" t="str">
        <f>TRIM("萩之茶屋住宅")</f>
        <v>萩之茶屋住宅</v>
      </c>
      <c r="C5463" s="14" t="s">
        <v>1521</v>
      </c>
      <c r="D5463" s="14" t="s">
        <v>341</v>
      </c>
      <c r="E5463" s="1">
        <v>2371.91</v>
      </c>
      <c r="F5463" s="2"/>
      <c r="G5463" s="1">
        <v>8514.7000000000007</v>
      </c>
      <c r="H5463" s="3"/>
      <c r="I5463" s="14" t="s">
        <v>6177</v>
      </c>
    </row>
    <row r="5464" spans="1:9" ht="18.75" customHeight="1" x14ac:dyDescent="0.4">
      <c r="A5464" s="14" t="s">
        <v>6624</v>
      </c>
      <c r="B5464" s="16" t="str">
        <f>TRIM("萩之茶屋第2住宅")</f>
        <v>萩之茶屋第2住宅</v>
      </c>
      <c r="C5464" s="14" t="s">
        <v>1521</v>
      </c>
      <c r="D5464" s="14" t="s">
        <v>341</v>
      </c>
      <c r="E5464" s="1">
        <v>2660.71</v>
      </c>
      <c r="F5464" s="2"/>
      <c r="G5464" s="1">
        <v>6664.07</v>
      </c>
      <c r="H5464" s="3"/>
      <c r="I5464" s="14" t="s">
        <v>6177</v>
      </c>
    </row>
    <row r="5465" spans="1:9" ht="18.75" customHeight="1" x14ac:dyDescent="0.4">
      <c r="A5465" s="14" t="s">
        <v>1681</v>
      </c>
      <c r="B5465" s="16" t="str">
        <f>TRIM("救護施設三徳寮")</f>
        <v>救護施設三徳寮</v>
      </c>
      <c r="C5465" s="14" t="s">
        <v>1521</v>
      </c>
      <c r="D5465" s="14" t="s">
        <v>341</v>
      </c>
      <c r="E5465" s="1"/>
      <c r="F5465" s="2"/>
      <c r="G5465" s="1">
        <v>2301.5</v>
      </c>
      <c r="H5465" s="3"/>
      <c r="I5465" s="14" t="s">
        <v>1654</v>
      </c>
    </row>
    <row r="5466" spans="1:9" ht="18.75" customHeight="1" x14ac:dyDescent="0.4">
      <c r="A5466" s="14" t="s">
        <v>1697</v>
      </c>
      <c r="B5466" s="16" t="str">
        <f>TRIM("大阪社会医療センター")</f>
        <v>大阪社会医療センター</v>
      </c>
      <c r="C5466" s="14" t="s">
        <v>1521</v>
      </c>
      <c r="D5466" s="14" t="s">
        <v>341</v>
      </c>
      <c r="E5466" s="1"/>
      <c r="F5466" s="2"/>
      <c r="G5466" s="1">
        <v>3932.55</v>
      </c>
      <c r="H5466" s="3"/>
      <c r="I5466" s="14" t="s">
        <v>1654</v>
      </c>
    </row>
    <row r="5467" spans="1:9" ht="18.75" customHeight="1" x14ac:dyDescent="0.4">
      <c r="A5467" s="14" t="s">
        <v>1701</v>
      </c>
      <c r="B5467" s="16" t="str">
        <f>TRIM("大阪社会医療センター付属病院")</f>
        <v>大阪社会医療センター付属病院</v>
      </c>
      <c r="C5467" s="14" t="s">
        <v>1521</v>
      </c>
      <c r="D5467" s="14" t="s">
        <v>341</v>
      </c>
      <c r="E5467" s="1">
        <v>2041.21</v>
      </c>
      <c r="F5467" s="2"/>
      <c r="G5467" s="1"/>
      <c r="H5467" s="3"/>
      <c r="I5467" s="14" t="s">
        <v>1654</v>
      </c>
    </row>
    <row r="5468" spans="1:9" ht="18.75" customHeight="1" x14ac:dyDescent="0.4">
      <c r="A5468" s="14" t="s">
        <v>1984</v>
      </c>
      <c r="B5468" s="16" t="str">
        <f>TRIM("はぎ会館老人憩の家")</f>
        <v>はぎ会館老人憩の家</v>
      </c>
      <c r="C5468" s="14" t="s">
        <v>1521</v>
      </c>
      <c r="D5468" s="14" t="s">
        <v>341</v>
      </c>
      <c r="E5468" s="1">
        <v>155.1</v>
      </c>
      <c r="F5468" s="2"/>
      <c r="G5468" s="1"/>
      <c r="H5468" s="3"/>
      <c r="I5468" s="14" t="s">
        <v>1687</v>
      </c>
    </row>
    <row r="5469" spans="1:9" ht="18.75" customHeight="1" x14ac:dyDescent="0.4">
      <c r="A5469" s="14" t="s">
        <v>3233</v>
      </c>
      <c r="B5469" s="16" t="str">
        <f>TRIM("　萩之茶屋北公園")</f>
        <v>萩之茶屋北公園</v>
      </c>
      <c r="C5469" s="14" t="s">
        <v>1521</v>
      </c>
      <c r="D5469" s="14" t="s">
        <v>341</v>
      </c>
      <c r="E5469" s="1">
        <v>820.81</v>
      </c>
      <c r="F5469" s="2"/>
      <c r="G5469" s="1"/>
      <c r="H5469" s="3"/>
      <c r="I5469" s="14" t="s">
        <v>2177</v>
      </c>
    </row>
    <row r="5470" spans="1:9" ht="18.75" customHeight="1" x14ac:dyDescent="0.4">
      <c r="A5470" s="14" t="s">
        <v>4687</v>
      </c>
      <c r="B5470" s="16" t="str">
        <f>TRIM("萩之茶屋１丁目ふれあい広場")</f>
        <v>萩之茶屋１丁目ふれあい広場</v>
      </c>
      <c r="C5470" s="14" t="s">
        <v>1521</v>
      </c>
      <c r="D5470" s="14" t="s">
        <v>341</v>
      </c>
      <c r="E5470" s="1">
        <v>696.57</v>
      </c>
      <c r="F5470" s="2"/>
      <c r="G5470" s="1"/>
      <c r="H5470" s="3"/>
      <c r="I5470" s="14" t="s">
        <v>1687</v>
      </c>
    </row>
    <row r="5471" spans="1:9" ht="18.75" customHeight="1" x14ac:dyDescent="0.4">
      <c r="A5471" s="14" t="s">
        <v>1696</v>
      </c>
      <c r="B5471" s="16" t="str">
        <f>TRIM("西成市民館")</f>
        <v>西成市民館</v>
      </c>
      <c r="C5471" s="14" t="s">
        <v>1521</v>
      </c>
      <c r="D5471" s="14" t="s">
        <v>233</v>
      </c>
      <c r="E5471" s="1">
        <v>449.31</v>
      </c>
      <c r="F5471" s="2"/>
      <c r="G5471" s="1">
        <v>416.18</v>
      </c>
      <c r="H5471" s="3"/>
      <c r="I5471" s="14" t="s">
        <v>1654</v>
      </c>
    </row>
    <row r="5472" spans="1:9" ht="18.75" customHeight="1" x14ac:dyDescent="0.4">
      <c r="A5472" s="14" t="s">
        <v>5721</v>
      </c>
      <c r="B5472" s="16" t="str">
        <f>TRIM("わかくさ保育園")</f>
        <v>わかくさ保育園</v>
      </c>
      <c r="C5472" s="14" t="s">
        <v>1521</v>
      </c>
      <c r="D5472" s="14" t="s">
        <v>233</v>
      </c>
      <c r="E5472" s="1">
        <v>191.01</v>
      </c>
      <c r="F5472" s="2"/>
      <c r="G5472" s="1">
        <v>343.7</v>
      </c>
      <c r="H5472" s="3"/>
      <c r="I5472" s="14" t="s">
        <v>5617</v>
      </c>
    </row>
    <row r="5473" spans="1:9" ht="18.75" customHeight="1" x14ac:dyDescent="0.4">
      <c r="A5473" s="14" t="s">
        <v>3231</v>
      </c>
      <c r="B5473" s="16" t="str">
        <f>TRIM("　萩之茶屋中公園")</f>
        <v>萩之茶屋中公園</v>
      </c>
      <c r="C5473" s="14" t="s">
        <v>1521</v>
      </c>
      <c r="D5473" s="14" t="s">
        <v>233</v>
      </c>
      <c r="E5473" s="1">
        <v>1575.65</v>
      </c>
      <c r="F5473" s="2"/>
      <c r="G5473" s="1"/>
      <c r="H5473" s="3"/>
      <c r="I5473" s="14" t="s">
        <v>2177</v>
      </c>
    </row>
    <row r="5474" spans="1:9" ht="18.75" customHeight="1" x14ac:dyDescent="0.4">
      <c r="A5474" s="14" t="s">
        <v>5498</v>
      </c>
      <c r="B5474" s="16" t="str">
        <f>TRIM("西成警察署")</f>
        <v>西成警察署</v>
      </c>
      <c r="C5474" s="14" t="s">
        <v>1521</v>
      </c>
      <c r="D5474" s="14" t="s">
        <v>233</v>
      </c>
      <c r="E5474" s="1">
        <v>2294.48</v>
      </c>
      <c r="F5474" s="2"/>
      <c r="G5474" s="1"/>
      <c r="H5474" s="3"/>
      <c r="I5474" s="14" t="s">
        <v>5349</v>
      </c>
    </row>
    <row r="5475" spans="1:9" ht="18.75" customHeight="1" x14ac:dyDescent="0.4">
      <c r="A5475" s="14" t="s">
        <v>6816</v>
      </c>
      <c r="B5475" s="16" t="str">
        <f>TRIM("肩替地（萩之茶屋）")</f>
        <v>肩替地（萩之茶屋）</v>
      </c>
      <c r="C5475" s="14" t="s">
        <v>1521</v>
      </c>
      <c r="D5475" s="14" t="s">
        <v>338</v>
      </c>
      <c r="E5475" s="1">
        <v>372.39</v>
      </c>
      <c r="F5475" s="2">
        <v>819</v>
      </c>
      <c r="G5475" s="1"/>
      <c r="H5475" s="3"/>
      <c r="I5475" s="14" t="s">
        <v>6177</v>
      </c>
    </row>
    <row r="5476" spans="1:9" ht="18.75" customHeight="1" x14ac:dyDescent="0.4">
      <c r="A5476" s="14" t="s">
        <v>5260</v>
      </c>
      <c r="B5476" s="16" t="str">
        <f>TRIM("西成消防署海道出張所")</f>
        <v>西成消防署海道出張所</v>
      </c>
      <c r="C5476" s="14" t="s">
        <v>1521</v>
      </c>
      <c r="D5476" s="14" t="s">
        <v>338</v>
      </c>
      <c r="E5476" s="1">
        <v>687.6</v>
      </c>
      <c r="F5476" s="2"/>
      <c r="G5476" s="1">
        <v>1260.77</v>
      </c>
      <c r="H5476" s="3"/>
      <c r="I5476" s="14" t="s">
        <v>5219</v>
      </c>
    </row>
    <row r="5477" spans="1:9" ht="18.75" customHeight="1" x14ac:dyDescent="0.4">
      <c r="A5477" s="14" t="s">
        <v>1690</v>
      </c>
      <c r="B5477" s="16" t="str">
        <f>TRIM("もとあいりん高齢日雇労働者就労支援センター")</f>
        <v>もとあいりん高齢日雇労働者就労支援センター</v>
      </c>
      <c r="C5477" s="14" t="s">
        <v>1521</v>
      </c>
      <c r="D5477" s="14" t="s">
        <v>338</v>
      </c>
      <c r="E5477" s="1">
        <v>272.75</v>
      </c>
      <c r="F5477" s="2"/>
      <c r="G5477" s="1"/>
      <c r="H5477" s="3"/>
      <c r="I5477" s="14" t="s">
        <v>1654</v>
      </c>
    </row>
    <row r="5478" spans="1:9" ht="18.75" customHeight="1" x14ac:dyDescent="0.4">
      <c r="A5478" s="14" t="s">
        <v>1699</v>
      </c>
      <c r="B5478" s="16" t="str">
        <f>TRIM("もと臨時夜間緊急避難所物品保管所")</f>
        <v>もと臨時夜間緊急避難所物品保管所</v>
      </c>
      <c r="C5478" s="14" t="s">
        <v>1521</v>
      </c>
      <c r="D5478" s="14" t="s">
        <v>338</v>
      </c>
      <c r="E5478" s="1">
        <v>412.65</v>
      </c>
      <c r="F5478" s="2"/>
      <c r="G5478" s="1"/>
      <c r="H5478" s="3"/>
      <c r="I5478" s="14" t="s">
        <v>1654</v>
      </c>
    </row>
    <row r="5479" spans="1:9" ht="18.75" customHeight="1" x14ac:dyDescent="0.4">
      <c r="A5479" s="14" t="s">
        <v>2037</v>
      </c>
      <c r="B5479" s="16" t="str">
        <f>TRIM("三日路老人憩の家")</f>
        <v>三日路老人憩の家</v>
      </c>
      <c r="C5479" s="14" t="s">
        <v>1521</v>
      </c>
      <c r="D5479" s="14" t="s">
        <v>338</v>
      </c>
      <c r="E5479" s="1">
        <v>159.80000000000001</v>
      </c>
      <c r="F5479" s="2"/>
      <c r="G5479" s="1"/>
      <c r="H5479" s="3"/>
      <c r="I5479" s="14" t="s">
        <v>1687</v>
      </c>
    </row>
    <row r="5480" spans="1:9" ht="18.75" customHeight="1" x14ac:dyDescent="0.4">
      <c r="A5480" s="14" t="s">
        <v>3232</v>
      </c>
      <c r="B5480" s="16" t="str">
        <f>TRIM("　萩之茶屋南公園")</f>
        <v>萩之茶屋南公園</v>
      </c>
      <c r="C5480" s="14" t="s">
        <v>1521</v>
      </c>
      <c r="D5480" s="14" t="s">
        <v>338</v>
      </c>
      <c r="E5480" s="1">
        <v>2712.1</v>
      </c>
      <c r="F5480" s="2"/>
      <c r="G5480" s="1"/>
      <c r="H5480" s="3"/>
      <c r="I5480" s="14" t="s">
        <v>2177</v>
      </c>
    </row>
    <row r="5481" spans="1:9" ht="18.75" customHeight="1" x14ac:dyDescent="0.4">
      <c r="A5481" s="14" t="s">
        <v>6048</v>
      </c>
      <c r="B5481" s="16" t="str">
        <f>TRIM("ごみ収集車駐車場用通路")</f>
        <v>ごみ収集車駐車場用通路</v>
      </c>
      <c r="C5481" s="14" t="s">
        <v>1521</v>
      </c>
      <c r="D5481" s="14" t="s">
        <v>338</v>
      </c>
      <c r="E5481" s="1">
        <v>22.75</v>
      </c>
      <c r="F5481" s="2"/>
      <c r="G5481" s="1"/>
      <c r="H5481" s="3"/>
      <c r="I5481" s="14" t="s">
        <v>5977</v>
      </c>
    </row>
    <row r="5482" spans="1:9" ht="18.75" customHeight="1" x14ac:dyDescent="0.4">
      <c r="A5482" s="14" t="s">
        <v>6837</v>
      </c>
      <c r="B5482" s="16" t="str">
        <f>TRIM("もと区画整理事業用地（萩之茶屋工区）")</f>
        <v>もと区画整理事業用地（萩之茶屋工区）</v>
      </c>
      <c r="C5482" s="14" t="s">
        <v>1521</v>
      </c>
      <c r="D5482" s="14" t="s">
        <v>338</v>
      </c>
      <c r="E5482" s="1">
        <v>88.92</v>
      </c>
      <c r="F5482" s="2"/>
      <c r="G5482" s="1"/>
      <c r="H5482" s="3"/>
      <c r="I5482" s="14" t="s">
        <v>6177</v>
      </c>
    </row>
    <row r="5483" spans="1:9" ht="18.75" customHeight="1" x14ac:dyDescent="0.4">
      <c r="A5483" s="14" t="s">
        <v>4814</v>
      </c>
      <c r="B5483" s="16" t="str">
        <f>TRIM("新今宮小学校　今宮中学校")</f>
        <v>新今宮小学校　今宮中学校</v>
      </c>
      <c r="C5483" s="14" t="s">
        <v>1521</v>
      </c>
      <c r="D5483" s="14" t="s">
        <v>1016</v>
      </c>
      <c r="E5483" s="1">
        <v>19499</v>
      </c>
      <c r="F5483" s="2"/>
      <c r="G5483" s="1">
        <v>13601.43</v>
      </c>
      <c r="H5483" s="3"/>
      <c r="I5483" s="14" t="s">
        <v>4689</v>
      </c>
    </row>
    <row r="5484" spans="1:9" ht="18.75" customHeight="1" x14ac:dyDescent="0.4">
      <c r="A5484" s="14" t="s">
        <v>2616</v>
      </c>
      <c r="B5484" s="16" t="str">
        <f>TRIM("　花園公園")</f>
        <v>花園公園</v>
      </c>
      <c r="C5484" s="14" t="s">
        <v>1521</v>
      </c>
      <c r="D5484" s="14" t="s">
        <v>1016</v>
      </c>
      <c r="E5484" s="1">
        <v>3406</v>
      </c>
      <c r="F5484" s="2"/>
      <c r="G5484" s="1"/>
      <c r="H5484" s="3"/>
      <c r="I5484" s="14" t="s">
        <v>2177</v>
      </c>
    </row>
    <row r="5485" spans="1:9" ht="18.75" customHeight="1" x14ac:dyDescent="0.4">
      <c r="A5485" s="14" t="s">
        <v>4686</v>
      </c>
      <c r="B5485" s="16" t="str">
        <f>TRIM("西成区安全対策拠点施設")</f>
        <v>西成区安全対策拠点施設</v>
      </c>
      <c r="C5485" s="14" t="s">
        <v>1521</v>
      </c>
      <c r="D5485" s="14" t="s">
        <v>1016</v>
      </c>
      <c r="E5485" s="1"/>
      <c r="F5485" s="2"/>
      <c r="G5485" s="1">
        <v>45.36</v>
      </c>
      <c r="H5485" s="3"/>
      <c r="I5485" s="14" t="s">
        <v>1687</v>
      </c>
    </row>
    <row r="5486" spans="1:9" ht="18.75" customHeight="1" x14ac:dyDescent="0.4">
      <c r="A5486" s="14" t="s">
        <v>5994</v>
      </c>
      <c r="B5486" s="16" t="str">
        <f>TRIM("大気汚染常時監視測定局（今宮中学校）")</f>
        <v>大気汚染常時監視測定局（今宮中学校）</v>
      </c>
      <c r="C5486" s="14" t="s">
        <v>1521</v>
      </c>
      <c r="D5486" s="14" t="s">
        <v>1016</v>
      </c>
      <c r="E5486" s="1"/>
      <c r="F5486" s="2"/>
      <c r="G5486" s="1">
        <v>20.399999999999999</v>
      </c>
      <c r="H5486" s="3"/>
      <c r="I5486" s="14" t="s">
        <v>5977</v>
      </c>
    </row>
    <row r="5487" spans="1:9" ht="18.75" customHeight="1" x14ac:dyDescent="0.4">
      <c r="A5487" s="18"/>
      <c r="B5487" s="14" t="s">
        <v>7185</v>
      </c>
      <c r="C5487" s="14" t="s">
        <v>1521</v>
      </c>
      <c r="D5487" s="1" t="s">
        <v>1016</v>
      </c>
      <c r="E5487" s="2"/>
      <c r="F5487" s="2"/>
      <c r="G5487" s="1">
        <v>79.37</v>
      </c>
      <c r="H5487" s="1"/>
      <c r="I5487" s="1" t="s">
        <v>2177</v>
      </c>
    </row>
    <row r="5488" spans="1:9" ht="18.75" customHeight="1" x14ac:dyDescent="0.4">
      <c r="A5488" s="14" t="s">
        <v>4799</v>
      </c>
      <c r="B5488" s="16" t="str">
        <f>TRIM("もと弘治小学校")</f>
        <v>もと弘治小学校</v>
      </c>
      <c r="C5488" s="14" t="s">
        <v>1521</v>
      </c>
      <c r="D5488" s="14" t="s">
        <v>294</v>
      </c>
      <c r="E5488" s="1">
        <v>5340.38</v>
      </c>
      <c r="F5488" s="2">
        <v>1637</v>
      </c>
      <c r="G5488" s="1">
        <v>4981.7</v>
      </c>
      <c r="H5488" s="3" t="s">
        <v>7353</v>
      </c>
      <c r="I5488" s="14" t="s">
        <v>4689</v>
      </c>
    </row>
    <row r="5489" spans="1:9" ht="18.75" customHeight="1" x14ac:dyDescent="0.4">
      <c r="A5489" s="14" t="s">
        <v>3783</v>
      </c>
      <c r="B5489" s="16" t="str">
        <f>TRIM("花園町駅自転車駐車場")</f>
        <v>花園町駅自転車駐車場</v>
      </c>
      <c r="C5489" s="14" t="s">
        <v>1521</v>
      </c>
      <c r="D5489" s="14" t="s">
        <v>294</v>
      </c>
      <c r="E5489" s="1"/>
      <c r="F5489" s="2"/>
      <c r="G5489" s="1">
        <v>1346.42</v>
      </c>
      <c r="H5489" s="3"/>
      <c r="I5489" s="14" t="s">
        <v>2177</v>
      </c>
    </row>
    <row r="5490" spans="1:9" ht="18.75" customHeight="1" x14ac:dyDescent="0.4">
      <c r="A5490" s="14" t="s">
        <v>5589</v>
      </c>
      <c r="B5490" s="16" t="str">
        <f>TRIM("花園町隧道用地")</f>
        <v>花園町隧道用地</v>
      </c>
      <c r="C5490" s="14" t="s">
        <v>1521</v>
      </c>
      <c r="D5490" s="14" t="s">
        <v>294</v>
      </c>
      <c r="E5490" s="1">
        <v>186.12</v>
      </c>
      <c r="F5490" s="2"/>
      <c r="G5490" s="1"/>
      <c r="H5490" s="3"/>
      <c r="I5490" s="14" t="s">
        <v>5349</v>
      </c>
    </row>
    <row r="5491" spans="1:9" ht="18.75" customHeight="1" x14ac:dyDescent="0.4">
      <c r="A5491" s="14" t="s">
        <v>3908</v>
      </c>
      <c r="B5491" s="16" t="str">
        <f>TRIM("天下茶屋駅自転車駐車場")</f>
        <v>天下茶屋駅自転車駐車場</v>
      </c>
      <c r="C5491" s="14" t="s">
        <v>1521</v>
      </c>
      <c r="D5491" s="14" t="s">
        <v>120</v>
      </c>
      <c r="E5491" s="1"/>
      <c r="F5491" s="2"/>
      <c r="G5491" s="1">
        <v>2780.22</v>
      </c>
      <c r="H5491" s="3"/>
      <c r="I5491" s="14" t="s">
        <v>2177</v>
      </c>
    </row>
    <row r="5492" spans="1:9" ht="18.75" customHeight="1" x14ac:dyDescent="0.4">
      <c r="A5492" s="14" t="s">
        <v>5355</v>
      </c>
      <c r="B5492" s="16" t="str">
        <f>TRIM("その他の土地（西成・児童遊園）")</f>
        <v>その他の土地（西成・児童遊園）</v>
      </c>
      <c r="C5492" s="14" t="s">
        <v>1521</v>
      </c>
      <c r="D5492" s="14" t="s">
        <v>120</v>
      </c>
      <c r="E5492" s="1">
        <v>344.79</v>
      </c>
      <c r="F5492" s="2"/>
      <c r="G5492" s="1"/>
      <c r="H5492" s="3"/>
      <c r="I5492" s="14" t="s">
        <v>5349</v>
      </c>
    </row>
    <row r="5493" spans="1:9" ht="18.75" customHeight="1" x14ac:dyDescent="0.4">
      <c r="A5493" s="14" t="s">
        <v>5581</v>
      </c>
      <c r="B5493" s="16" t="str">
        <f>TRIM("もと西成署柳通派出所（コミュニティ用地等）")</f>
        <v>もと西成署柳通派出所（コミュニティ用地等）</v>
      </c>
      <c r="C5493" s="14" t="s">
        <v>1521</v>
      </c>
      <c r="D5493" s="14" t="s">
        <v>120</v>
      </c>
      <c r="E5493" s="1">
        <v>31.86</v>
      </c>
      <c r="F5493" s="2"/>
      <c r="G5493" s="1"/>
      <c r="H5493" s="3"/>
      <c r="I5493" s="14" t="s">
        <v>5349</v>
      </c>
    </row>
    <row r="5494" spans="1:9" ht="18.75" customHeight="1" x14ac:dyDescent="0.4">
      <c r="A5494" s="14" t="s">
        <v>7088</v>
      </c>
      <c r="B5494" s="16" t="str">
        <f>TRIM("もと梅南公設市場荷捌場")</f>
        <v>もと梅南公設市場荷捌場</v>
      </c>
      <c r="C5494" s="14" t="s">
        <v>1521</v>
      </c>
      <c r="D5494" s="14" t="s">
        <v>33</v>
      </c>
      <c r="E5494" s="1">
        <v>178.87</v>
      </c>
      <c r="F5494" s="2">
        <v>823</v>
      </c>
      <c r="G5494" s="1"/>
      <c r="H5494" s="3"/>
      <c r="I5494" s="14" t="s">
        <v>4115</v>
      </c>
    </row>
    <row r="5495" spans="1:9" ht="18.75" customHeight="1" x14ac:dyDescent="0.4">
      <c r="A5495" s="14" t="s">
        <v>6969</v>
      </c>
      <c r="B5495" s="16" t="str">
        <f>TRIM("もと母子センター公舎")</f>
        <v>もと母子センター公舎</v>
      </c>
      <c r="C5495" s="14" t="s">
        <v>1521</v>
      </c>
      <c r="D5495" s="14" t="s">
        <v>33</v>
      </c>
      <c r="E5495" s="1">
        <v>319.51</v>
      </c>
      <c r="F5495" s="2" t="s">
        <v>7279</v>
      </c>
      <c r="G5495" s="1"/>
      <c r="H5495" s="3"/>
      <c r="I5495" s="14" t="s">
        <v>2402</v>
      </c>
    </row>
    <row r="5496" spans="1:9" ht="18.75" customHeight="1" x14ac:dyDescent="0.4">
      <c r="A5496" s="14" t="s">
        <v>6732</v>
      </c>
      <c r="B5496" s="16" t="str">
        <f>TRIM("松住宅")</f>
        <v>松住宅</v>
      </c>
      <c r="C5496" s="14" t="s">
        <v>1521</v>
      </c>
      <c r="D5496" s="14" t="s">
        <v>33</v>
      </c>
      <c r="E5496" s="1">
        <v>3542.68</v>
      </c>
      <c r="F5496" s="2"/>
      <c r="G5496" s="1">
        <v>4193</v>
      </c>
      <c r="H5496" s="3"/>
      <c r="I5496" s="14" t="s">
        <v>6177</v>
      </c>
    </row>
    <row r="5497" spans="1:9" ht="18.75" customHeight="1" x14ac:dyDescent="0.4">
      <c r="A5497" s="14" t="s">
        <v>1982</v>
      </c>
      <c r="B5497" s="16" t="str">
        <f>TRIM("橘コミュニティセンター")</f>
        <v>橘コミュニティセンター</v>
      </c>
      <c r="C5497" s="14" t="s">
        <v>1521</v>
      </c>
      <c r="D5497" s="14" t="s">
        <v>33</v>
      </c>
      <c r="E5497" s="1">
        <v>209.35</v>
      </c>
      <c r="F5497" s="2"/>
      <c r="G5497" s="1"/>
      <c r="H5497" s="3"/>
      <c r="I5497" s="14" t="s">
        <v>1687</v>
      </c>
    </row>
    <row r="5498" spans="1:9" ht="18.75" customHeight="1" x14ac:dyDescent="0.4">
      <c r="A5498" s="14" t="s">
        <v>2811</v>
      </c>
      <c r="B5498" s="16" t="str">
        <f>TRIM("　松通東公園")</f>
        <v>松通東公園</v>
      </c>
      <c r="C5498" s="14" t="s">
        <v>1521</v>
      </c>
      <c r="D5498" s="14" t="s">
        <v>33</v>
      </c>
      <c r="E5498" s="1">
        <v>1380.11</v>
      </c>
      <c r="F5498" s="2"/>
      <c r="G5498" s="1"/>
      <c r="H5498" s="3"/>
      <c r="I5498" s="14" t="s">
        <v>2177</v>
      </c>
    </row>
    <row r="5499" spans="1:9" ht="18.75" customHeight="1" x14ac:dyDescent="0.4">
      <c r="A5499" s="14" t="s">
        <v>5964</v>
      </c>
      <c r="B5499" s="16" t="str">
        <f>TRIM("松通東保育園")</f>
        <v>松通東保育園</v>
      </c>
      <c r="C5499" s="14" t="s">
        <v>1521</v>
      </c>
      <c r="D5499" s="14" t="s">
        <v>33</v>
      </c>
      <c r="E5499" s="1">
        <v>1000</v>
      </c>
      <c r="F5499" s="2"/>
      <c r="G5499" s="1"/>
      <c r="H5499" s="3"/>
      <c r="I5499" s="14" t="s">
        <v>5617</v>
      </c>
    </row>
    <row r="5500" spans="1:9" ht="18.75" customHeight="1" x14ac:dyDescent="0.4">
      <c r="A5500" s="14" t="s">
        <v>7047</v>
      </c>
      <c r="B5500" s="16" t="str">
        <f>TRIM("過小地（もと梅南公設市場）")</f>
        <v>過小地（もと梅南公設市場）</v>
      </c>
      <c r="C5500" s="14" t="s">
        <v>1521</v>
      </c>
      <c r="D5500" s="14" t="s">
        <v>33</v>
      </c>
      <c r="E5500" s="1">
        <v>56.19</v>
      </c>
      <c r="F5500" s="2"/>
      <c r="G5500" s="1"/>
      <c r="H5500" s="3"/>
      <c r="I5500" s="14" t="s">
        <v>4115</v>
      </c>
    </row>
    <row r="5501" spans="1:9" ht="18.75" customHeight="1" x14ac:dyDescent="0.4">
      <c r="A5501" s="14" t="s">
        <v>2810</v>
      </c>
      <c r="B5501" s="16" t="str">
        <f>TRIM("　松通中公園")</f>
        <v>松通中公園</v>
      </c>
      <c r="C5501" s="14" t="s">
        <v>1521</v>
      </c>
      <c r="D5501" s="14" t="s">
        <v>893</v>
      </c>
      <c r="E5501" s="1">
        <v>491.8</v>
      </c>
      <c r="F5501" s="2"/>
      <c r="G5501" s="1"/>
      <c r="H5501" s="3"/>
      <c r="I5501" s="14" t="s">
        <v>2177</v>
      </c>
    </row>
    <row r="5502" spans="1:9" ht="18.75" customHeight="1" x14ac:dyDescent="0.4">
      <c r="A5502" s="14" t="s">
        <v>6880</v>
      </c>
      <c r="B5502" s="16" t="str">
        <f>TRIM("松住宅")</f>
        <v>松住宅</v>
      </c>
      <c r="C5502" s="14" t="s">
        <v>1521</v>
      </c>
      <c r="D5502" s="14" t="s">
        <v>893</v>
      </c>
      <c r="E5502" s="1">
        <v>105.12</v>
      </c>
      <c r="F5502" s="2"/>
      <c r="G5502" s="1"/>
      <c r="H5502" s="3"/>
      <c r="I5502" s="14" t="s">
        <v>6177</v>
      </c>
    </row>
    <row r="5503" spans="1:9" ht="18.75" customHeight="1" x14ac:dyDescent="0.4">
      <c r="A5503" s="14" t="s">
        <v>5868</v>
      </c>
      <c r="B5503" s="16" t="str">
        <f>TRIM("もと松通東保育所")</f>
        <v>もと松通東保育所</v>
      </c>
      <c r="C5503" s="14" t="s">
        <v>1521</v>
      </c>
      <c r="D5503" s="14" t="s">
        <v>90</v>
      </c>
      <c r="E5503" s="1">
        <v>2350.35</v>
      </c>
      <c r="F5503" s="2"/>
      <c r="G5503" s="1">
        <v>537.35</v>
      </c>
      <c r="H5503" s="3"/>
      <c r="I5503" s="14" t="s">
        <v>5617</v>
      </c>
    </row>
    <row r="5504" spans="1:9" ht="18.75" customHeight="1" x14ac:dyDescent="0.4">
      <c r="A5504" s="14" t="s">
        <v>1891</v>
      </c>
      <c r="B5504" s="16" t="str">
        <f>TRIM("西成区在宅サービスセンター")</f>
        <v>西成区在宅サービスセンター</v>
      </c>
      <c r="C5504" s="14" t="s">
        <v>1521</v>
      </c>
      <c r="D5504" s="14" t="s">
        <v>90</v>
      </c>
      <c r="E5504" s="1">
        <v>992.17</v>
      </c>
      <c r="F5504" s="2"/>
      <c r="G5504" s="1"/>
      <c r="H5504" s="3"/>
      <c r="I5504" s="14" t="s">
        <v>1654</v>
      </c>
    </row>
    <row r="5505" spans="1:9" ht="18.75" customHeight="1" x14ac:dyDescent="0.4">
      <c r="A5505" s="14" t="s">
        <v>2124</v>
      </c>
      <c r="B5505" s="16" t="str">
        <f>TRIM("梅南老人憩の家")</f>
        <v>梅南老人憩の家</v>
      </c>
      <c r="C5505" s="14" t="s">
        <v>1521</v>
      </c>
      <c r="D5505" s="14" t="s">
        <v>90</v>
      </c>
      <c r="E5505" s="1"/>
      <c r="F5505" s="2"/>
      <c r="G5505" s="1">
        <v>155.78</v>
      </c>
      <c r="H5505" s="3"/>
      <c r="I5505" s="14" t="s">
        <v>1687</v>
      </c>
    </row>
    <row r="5506" spans="1:9" ht="18.75" customHeight="1" x14ac:dyDescent="0.4">
      <c r="A5506" s="14" t="s">
        <v>2809</v>
      </c>
      <c r="B5506" s="16" t="str">
        <f>TRIM("　松通公園")</f>
        <v>松通公園</v>
      </c>
      <c r="C5506" s="14" t="s">
        <v>1521</v>
      </c>
      <c r="D5506" s="14" t="s">
        <v>90</v>
      </c>
      <c r="E5506" s="1">
        <v>2858.35</v>
      </c>
      <c r="F5506" s="2"/>
      <c r="G5506" s="1"/>
      <c r="H5506" s="3"/>
      <c r="I5506" s="14" t="s">
        <v>2177</v>
      </c>
    </row>
    <row r="5507" spans="1:9" ht="18.75" customHeight="1" x14ac:dyDescent="0.4">
      <c r="A5507" s="14" t="s">
        <v>4683</v>
      </c>
      <c r="B5507" s="16" t="str">
        <f>TRIM("梅南集会所")</f>
        <v>梅南集会所</v>
      </c>
      <c r="C5507" s="14" t="s">
        <v>1521</v>
      </c>
      <c r="D5507" s="14" t="s">
        <v>90</v>
      </c>
      <c r="E5507" s="1"/>
      <c r="F5507" s="2"/>
      <c r="G5507" s="1">
        <v>619.03</v>
      </c>
      <c r="H5507" s="3"/>
      <c r="I5507" s="14" t="s">
        <v>1687</v>
      </c>
    </row>
    <row r="5508" spans="1:9" ht="18.75" customHeight="1" x14ac:dyDescent="0.4">
      <c r="A5508" s="14" t="s">
        <v>5673</v>
      </c>
      <c r="B5508" s="16" t="str">
        <f>TRIM("もと西成児童館")</f>
        <v>もと西成児童館</v>
      </c>
      <c r="C5508" s="14" t="s">
        <v>1521</v>
      </c>
      <c r="D5508" s="14" t="s">
        <v>90</v>
      </c>
      <c r="E5508" s="1"/>
      <c r="F5508" s="2"/>
      <c r="G5508" s="1">
        <v>256.52999999999997</v>
      </c>
      <c r="H5508" s="3" t="s">
        <v>7353</v>
      </c>
      <c r="I5508" s="14" t="s">
        <v>5617</v>
      </c>
    </row>
    <row r="5509" spans="1:9" ht="18.75" customHeight="1" x14ac:dyDescent="0.4">
      <c r="A5509" s="14" t="s">
        <v>7158</v>
      </c>
      <c r="B5509" s="16" t="str">
        <f>TRIM("もと西成区総合施設")</f>
        <v>もと西成区総合施設</v>
      </c>
      <c r="C5509" s="14" t="s">
        <v>1521</v>
      </c>
      <c r="D5509" s="14" t="s">
        <v>90</v>
      </c>
      <c r="E5509" s="1">
        <v>2380.16</v>
      </c>
      <c r="F5509" s="2"/>
      <c r="G5509" s="1"/>
      <c r="H5509" s="3"/>
      <c r="I5509" s="14" t="s">
        <v>7159</v>
      </c>
    </row>
    <row r="5510" spans="1:9" ht="18.75" customHeight="1" x14ac:dyDescent="0.4">
      <c r="A5510" s="14" t="s">
        <v>1647</v>
      </c>
      <c r="B5510" s="16" t="str">
        <f>TRIM("南津守公共施設")</f>
        <v>南津守公共施設</v>
      </c>
      <c r="C5510" s="14" t="s">
        <v>1521</v>
      </c>
      <c r="D5510" s="14" t="s">
        <v>305</v>
      </c>
      <c r="E5510" s="1">
        <v>3585.28</v>
      </c>
      <c r="F5510" s="2" t="s">
        <v>7327</v>
      </c>
      <c r="G5510" s="1"/>
      <c r="H5510" s="3"/>
      <c r="I5510" s="14" t="s">
        <v>1633</v>
      </c>
    </row>
    <row r="5511" spans="1:9" ht="18.75" customHeight="1" x14ac:dyDescent="0.4">
      <c r="A5511" s="14" t="s">
        <v>6219</v>
      </c>
      <c r="B5511" s="16" t="str">
        <f>TRIM("南津守公共施設")</f>
        <v>南津守公共施設</v>
      </c>
      <c r="C5511" s="14" t="s">
        <v>1521</v>
      </c>
      <c r="D5511" s="14" t="s">
        <v>305</v>
      </c>
      <c r="E5511" s="1">
        <v>5000</v>
      </c>
      <c r="F5511" s="2" t="s">
        <v>7327</v>
      </c>
      <c r="G5511" s="1"/>
      <c r="H5511" s="3"/>
      <c r="I5511" s="14" t="s">
        <v>6177</v>
      </c>
    </row>
    <row r="5512" spans="1:9" ht="18.75" customHeight="1" x14ac:dyDescent="0.4">
      <c r="A5512" s="14" t="s">
        <v>6606</v>
      </c>
      <c r="B5512" s="16" t="str">
        <f>TRIM("南津守第3住宅")</f>
        <v>南津守第3住宅</v>
      </c>
      <c r="C5512" s="14" t="s">
        <v>1521</v>
      </c>
      <c r="D5512" s="14" t="s">
        <v>305</v>
      </c>
      <c r="E5512" s="1">
        <v>4509.9399999999996</v>
      </c>
      <c r="F5512" s="2"/>
      <c r="G5512" s="1">
        <v>7993.99</v>
      </c>
      <c r="H5512" s="3"/>
      <c r="I5512" s="14" t="s">
        <v>6177</v>
      </c>
    </row>
    <row r="5513" spans="1:9" ht="18.75" customHeight="1" x14ac:dyDescent="0.4">
      <c r="A5513" s="14" t="s">
        <v>1736</v>
      </c>
      <c r="B5513" s="16" t="str">
        <f>TRIM("精神障がい者社会復帰施設ふれあいの里")</f>
        <v>精神障がい者社会復帰施設ふれあいの里</v>
      </c>
      <c r="C5513" s="14" t="s">
        <v>1521</v>
      </c>
      <c r="D5513" s="14" t="s">
        <v>305</v>
      </c>
      <c r="E5513" s="1">
        <v>1000.06</v>
      </c>
      <c r="F5513" s="2"/>
      <c r="G5513" s="1"/>
      <c r="H5513" s="3"/>
      <c r="I5513" s="14" t="s">
        <v>1654</v>
      </c>
    </row>
    <row r="5514" spans="1:9" ht="18.75" customHeight="1" x14ac:dyDescent="0.4">
      <c r="A5514" s="14" t="s">
        <v>1950</v>
      </c>
      <c r="B5514" s="16" t="str">
        <f>TRIM("特別養護老人ホーム山愛・南津守地域在宅サービスステーション・知的障がい者更生施設第一・第二博愛")</f>
        <v>特別養護老人ホーム山愛・南津守地域在宅サービスステーション・知的障がい者更生施設第一・第二博愛</v>
      </c>
      <c r="C5514" s="14" t="s">
        <v>1521</v>
      </c>
      <c r="D5514" s="14" t="s">
        <v>305</v>
      </c>
      <c r="E5514" s="1">
        <v>867.93</v>
      </c>
      <c r="F5514" s="2"/>
      <c r="G5514" s="1"/>
      <c r="H5514" s="3"/>
      <c r="I5514" s="14" t="s">
        <v>1654</v>
      </c>
    </row>
    <row r="5515" spans="1:9" ht="18.75" customHeight="1" x14ac:dyDescent="0.4">
      <c r="A5515" s="14" t="s">
        <v>1977</v>
      </c>
      <c r="B5515" s="16" t="str">
        <f>TRIM("　特別養護老人ホーム山愛・南津守地域在宅サービスステーション・知的障がい者更生施設第一・第二博愛")</f>
        <v>特別養護老人ホーム山愛・南津守地域在宅サービスステーション・知的障がい者更生施設第一・第二博愛</v>
      </c>
      <c r="C5515" s="14" t="s">
        <v>1521</v>
      </c>
      <c r="D5515" s="14" t="s">
        <v>305</v>
      </c>
      <c r="E5515" s="1">
        <v>7013.02</v>
      </c>
      <c r="F5515" s="2"/>
      <c r="G5515" s="1"/>
      <c r="H5515" s="3"/>
      <c r="I5515" s="14" t="s">
        <v>1654</v>
      </c>
    </row>
    <row r="5516" spans="1:9" ht="18.75" customHeight="1" x14ac:dyDescent="0.4">
      <c r="A5516" s="14" t="s">
        <v>2277</v>
      </c>
      <c r="B5516" s="16" t="str">
        <f>TRIM("大阪臨海線（西成）（管財課）")</f>
        <v>大阪臨海線（西成）（管財課）</v>
      </c>
      <c r="C5516" s="14" t="s">
        <v>1521</v>
      </c>
      <c r="D5516" s="14" t="s">
        <v>305</v>
      </c>
      <c r="E5516" s="1">
        <v>1664.83</v>
      </c>
      <c r="F5516" s="2"/>
      <c r="G5516" s="1"/>
      <c r="H5516" s="3"/>
      <c r="I5516" s="14" t="s">
        <v>2177</v>
      </c>
    </row>
    <row r="5517" spans="1:9" ht="18.75" customHeight="1" x14ac:dyDescent="0.4">
      <c r="A5517" s="14" t="s">
        <v>2372</v>
      </c>
      <c r="B5517" s="16" t="str">
        <f>TRIM("もと軌道敷(阪堺線)")</f>
        <v>もと軌道敷(阪堺線)</v>
      </c>
      <c r="C5517" s="14" t="s">
        <v>1521</v>
      </c>
      <c r="D5517" s="14" t="s">
        <v>305</v>
      </c>
      <c r="E5517" s="1">
        <v>87874.61</v>
      </c>
      <c r="F5517" s="2"/>
      <c r="G5517" s="1"/>
      <c r="H5517" s="3"/>
      <c r="I5517" s="14" t="s">
        <v>2177</v>
      </c>
    </row>
    <row r="5518" spans="1:9" ht="18.75" customHeight="1" x14ac:dyDescent="0.4">
      <c r="A5518" s="14" t="s">
        <v>3197</v>
      </c>
      <c r="B5518" s="16" t="str">
        <f>TRIM("　南津守2公園")</f>
        <v>南津守2公園</v>
      </c>
      <c r="C5518" s="14" t="s">
        <v>1521</v>
      </c>
      <c r="D5518" s="14" t="s">
        <v>305</v>
      </c>
      <c r="E5518" s="1">
        <v>2500</v>
      </c>
      <c r="F5518" s="2"/>
      <c r="G5518" s="1"/>
      <c r="H5518" s="3"/>
      <c r="I5518" s="14" t="s">
        <v>2177</v>
      </c>
    </row>
    <row r="5519" spans="1:9" ht="18.75" customHeight="1" x14ac:dyDescent="0.4">
      <c r="A5519" s="14" t="s">
        <v>3486</v>
      </c>
      <c r="B5519" s="16" t="str">
        <f>TRIM("南津守さくら公園")</f>
        <v>南津守さくら公園</v>
      </c>
      <c r="C5519" s="14" t="s">
        <v>1521</v>
      </c>
      <c r="D5519" s="14" t="s">
        <v>305</v>
      </c>
      <c r="E5519" s="1">
        <v>37517.18</v>
      </c>
      <c r="F5519" s="2"/>
      <c r="G5519" s="1"/>
      <c r="H5519" s="3"/>
      <c r="I5519" s="14" t="s">
        <v>2177</v>
      </c>
    </row>
    <row r="5520" spans="1:9" ht="18.75" customHeight="1" x14ac:dyDescent="0.4">
      <c r="A5520" s="14" t="s">
        <v>3627</v>
      </c>
      <c r="B5520" s="16" t="str">
        <f>TRIM("　津守中央公園")</f>
        <v>津守中央公園</v>
      </c>
      <c r="C5520" s="14" t="s">
        <v>1521</v>
      </c>
      <c r="D5520" s="14" t="s">
        <v>305</v>
      </c>
      <c r="E5520" s="1"/>
      <c r="F5520" s="2"/>
      <c r="G5520" s="1">
        <v>1991.6</v>
      </c>
      <c r="H5520" s="3"/>
      <c r="I5520" s="14" t="s">
        <v>2177</v>
      </c>
    </row>
    <row r="5521" spans="1:9" ht="18.75" customHeight="1" x14ac:dyDescent="0.4">
      <c r="A5521" s="14" t="s">
        <v>3995</v>
      </c>
      <c r="B5521" s="16" t="str">
        <f>TRIM("もと下水道用地（西成）")</f>
        <v>もと下水道用地（西成）</v>
      </c>
      <c r="C5521" s="14" t="s">
        <v>1521</v>
      </c>
      <c r="D5521" s="14" t="s">
        <v>305</v>
      </c>
      <c r="E5521" s="1">
        <v>25.59</v>
      </c>
      <c r="F5521" s="2"/>
      <c r="G5521" s="1"/>
      <c r="H5521" s="3"/>
      <c r="I5521" s="14" t="s">
        <v>2177</v>
      </c>
    </row>
    <row r="5522" spans="1:9" ht="18.75" customHeight="1" x14ac:dyDescent="0.4">
      <c r="A5522" s="14" t="s">
        <v>5605</v>
      </c>
      <c r="B5522" s="16" t="str">
        <f>TRIM("もと軌道敷（阪堺線）")</f>
        <v>もと軌道敷（阪堺線）</v>
      </c>
      <c r="C5522" s="14" t="s">
        <v>1521</v>
      </c>
      <c r="D5522" s="14" t="s">
        <v>305</v>
      </c>
      <c r="E5522" s="1">
        <v>60746.58</v>
      </c>
      <c r="F5522" s="2"/>
      <c r="G5522" s="1"/>
      <c r="H5522" s="3"/>
      <c r="I5522" s="14" t="s">
        <v>5349</v>
      </c>
    </row>
    <row r="5523" spans="1:9" ht="18.75" customHeight="1" x14ac:dyDescent="0.4">
      <c r="A5523" s="14" t="s">
        <v>6563</v>
      </c>
      <c r="B5523" s="16" t="str">
        <f>TRIM("天津橋住宅")</f>
        <v>天津橋住宅</v>
      </c>
      <c r="C5523" s="14" t="s">
        <v>1521</v>
      </c>
      <c r="D5523" s="14" t="s">
        <v>612</v>
      </c>
      <c r="E5523" s="1">
        <v>7224.51</v>
      </c>
      <c r="F5523" s="2">
        <v>1835</v>
      </c>
      <c r="G5523" s="1">
        <v>3559.83</v>
      </c>
      <c r="H5523" s="3"/>
      <c r="I5523" s="14" t="s">
        <v>6177</v>
      </c>
    </row>
    <row r="5524" spans="1:9" ht="18.75" customHeight="1" x14ac:dyDescent="0.4">
      <c r="A5524" s="14" t="s">
        <v>6604</v>
      </c>
      <c r="B5524" s="16" t="str">
        <f>TRIM("南津守第1住宅")</f>
        <v>南津守第1住宅</v>
      </c>
      <c r="C5524" s="14" t="s">
        <v>1521</v>
      </c>
      <c r="D5524" s="14" t="s">
        <v>612</v>
      </c>
      <c r="E5524" s="1">
        <v>7169.14</v>
      </c>
      <c r="F5524" s="2"/>
      <c r="G5524" s="1">
        <v>11045.95</v>
      </c>
      <c r="H5524" s="3"/>
      <c r="I5524" s="14" t="s">
        <v>6177</v>
      </c>
    </row>
    <row r="5525" spans="1:9" ht="18.75" customHeight="1" x14ac:dyDescent="0.4">
      <c r="A5525" s="14" t="s">
        <v>6607</v>
      </c>
      <c r="B5525" s="16" t="str">
        <f>TRIM("南津守第4住宅")</f>
        <v>南津守第4住宅</v>
      </c>
      <c r="C5525" s="14" t="s">
        <v>1521</v>
      </c>
      <c r="D5525" s="14" t="s">
        <v>612</v>
      </c>
      <c r="E5525" s="1">
        <v>9752.0300000000007</v>
      </c>
      <c r="F5525" s="2"/>
      <c r="G5525" s="1">
        <v>16354.88</v>
      </c>
      <c r="H5525" s="3"/>
      <c r="I5525" s="14" t="s">
        <v>6177</v>
      </c>
    </row>
    <row r="5526" spans="1:9" ht="18.75" customHeight="1" x14ac:dyDescent="0.4">
      <c r="A5526" s="14" t="s">
        <v>2507</v>
      </c>
      <c r="B5526" s="16" t="str">
        <f>TRIM("千本松渡船場左岸待合所")</f>
        <v>千本松渡船場左岸待合所</v>
      </c>
      <c r="C5526" s="14" t="s">
        <v>1521</v>
      </c>
      <c r="D5526" s="14" t="s">
        <v>612</v>
      </c>
      <c r="E5526" s="1"/>
      <c r="F5526" s="2"/>
      <c r="G5526" s="1">
        <v>16.559999999999999</v>
      </c>
      <c r="H5526" s="3"/>
      <c r="I5526" s="14" t="s">
        <v>2177</v>
      </c>
    </row>
    <row r="5527" spans="1:9" ht="18.75" customHeight="1" x14ac:dyDescent="0.4">
      <c r="A5527" s="14" t="s">
        <v>3729</v>
      </c>
      <c r="B5527" s="16" t="str">
        <f>TRIM(" 千本松大橋自転車保管所管理事務所")</f>
        <v>千本松大橋自転車保管所管理事務所</v>
      </c>
      <c r="C5527" s="14" t="s">
        <v>1521</v>
      </c>
      <c r="D5527" s="14" t="s">
        <v>612</v>
      </c>
      <c r="E5527" s="1"/>
      <c r="F5527" s="2"/>
      <c r="G5527" s="1">
        <v>25.65</v>
      </c>
      <c r="H5527" s="3"/>
      <c r="I5527" s="14" t="s">
        <v>2177</v>
      </c>
    </row>
    <row r="5528" spans="1:9" ht="18.75" customHeight="1" x14ac:dyDescent="0.4">
      <c r="A5528" s="14" t="s">
        <v>4085</v>
      </c>
      <c r="B5528" s="16" t="str">
        <f>TRIM("天津橋抽水所")</f>
        <v>天津橋抽水所</v>
      </c>
      <c r="C5528" s="14" t="s">
        <v>1521</v>
      </c>
      <c r="D5528" s="14" t="s">
        <v>612</v>
      </c>
      <c r="E5528" s="1">
        <v>2933</v>
      </c>
      <c r="F5528" s="2"/>
      <c r="G5528" s="1"/>
      <c r="H5528" s="3"/>
      <c r="I5528" s="14" t="s">
        <v>2177</v>
      </c>
    </row>
    <row r="5529" spans="1:9" ht="18.75" customHeight="1" x14ac:dyDescent="0.4">
      <c r="A5529" s="14" t="s">
        <v>5955</v>
      </c>
      <c r="B5529" s="16" t="str">
        <f>TRIM("南津守保育所")</f>
        <v>南津守保育所</v>
      </c>
      <c r="C5529" s="14" t="s">
        <v>1521</v>
      </c>
      <c r="D5529" s="14" t="s">
        <v>612</v>
      </c>
      <c r="E5529" s="1">
        <v>482.02</v>
      </c>
      <c r="F5529" s="2"/>
      <c r="G5529" s="1"/>
      <c r="H5529" s="3"/>
      <c r="I5529" s="14" t="s">
        <v>5617</v>
      </c>
    </row>
    <row r="5530" spans="1:9" ht="18.75" customHeight="1" x14ac:dyDescent="0.4">
      <c r="A5530" s="14" t="s">
        <v>4020</v>
      </c>
      <c r="B5530" s="16" t="str">
        <f>TRIM("下水道用地（西成）")</f>
        <v>下水道用地（西成）</v>
      </c>
      <c r="C5530" s="14" t="s">
        <v>1521</v>
      </c>
      <c r="D5530" s="14" t="s">
        <v>1317</v>
      </c>
      <c r="E5530" s="1">
        <v>20810.02</v>
      </c>
      <c r="F5530" s="2"/>
      <c r="G5530" s="1"/>
      <c r="H5530" s="3"/>
      <c r="I5530" s="14" t="s">
        <v>2177</v>
      </c>
    </row>
    <row r="5531" spans="1:9" x14ac:dyDescent="0.4">
      <c r="A5531" s="14" t="s">
        <v>3203</v>
      </c>
      <c r="B5531" s="16" t="str">
        <f>TRIM("　南津守北公園")</f>
        <v>南津守北公園</v>
      </c>
      <c r="C5531" s="14" t="s">
        <v>1521</v>
      </c>
      <c r="D5531" s="14" t="s">
        <v>1208</v>
      </c>
      <c r="E5531" s="1">
        <v>2928.42</v>
      </c>
      <c r="F5531" s="2"/>
      <c r="G5531" s="1"/>
      <c r="H5531" s="3"/>
      <c r="I5531" s="14" t="s">
        <v>2177</v>
      </c>
    </row>
    <row r="5532" spans="1:9" x14ac:dyDescent="0.4">
      <c r="A5532" s="14" t="s">
        <v>4682</v>
      </c>
      <c r="B5532" s="16" t="str">
        <f>TRIM("南津守集会所")</f>
        <v>南津守集会所</v>
      </c>
      <c r="C5532" s="14" t="s">
        <v>1521</v>
      </c>
      <c r="D5532" s="14" t="s">
        <v>1208</v>
      </c>
      <c r="E5532" s="1">
        <v>42</v>
      </c>
      <c r="F5532" s="2"/>
      <c r="G5532" s="1"/>
      <c r="H5532" s="3"/>
      <c r="I5532" s="14" t="s">
        <v>1687</v>
      </c>
    </row>
    <row r="5533" spans="1:9" x14ac:dyDescent="0.4">
      <c r="A5533" s="14" t="s">
        <v>5308</v>
      </c>
      <c r="B5533" s="16" t="str">
        <f>TRIM("防火水槽用地（西成）")</f>
        <v>防火水槽用地（西成）</v>
      </c>
      <c r="C5533" s="14" t="s">
        <v>1521</v>
      </c>
      <c r="D5533" s="14" t="s">
        <v>1208</v>
      </c>
      <c r="E5533" s="1">
        <v>35.43</v>
      </c>
      <c r="F5533" s="2"/>
      <c r="G5533" s="1"/>
      <c r="H5533" s="3"/>
      <c r="I5533" s="14" t="s">
        <v>5219</v>
      </c>
    </row>
    <row r="5534" spans="1:9" x14ac:dyDescent="0.4">
      <c r="A5534" s="14" t="s">
        <v>6046</v>
      </c>
      <c r="B5534" s="16" t="str">
        <f>TRIM("南部環境事業センター")</f>
        <v>南部環境事業センター</v>
      </c>
      <c r="C5534" s="14" t="s">
        <v>1521</v>
      </c>
      <c r="D5534" s="14" t="s">
        <v>674</v>
      </c>
      <c r="E5534" s="1">
        <v>15553.98</v>
      </c>
      <c r="F5534" s="2"/>
      <c r="G5534" s="1">
        <v>10397.6</v>
      </c>
      <c r="H5534" s="3"/>
      <c r="I5534" s="14" t="s">
        <v>5977</v>
      </c>
    </row>
    <row r="5535" spans="1:9" x14ac:dyDescent="0.4">
      <c r="A5535" s="14" t="s">
        <v>3199</v>
      </c>
      <c r="B5535" s="16" t="str">
        <f>TRIM("　南津守西公園")</f>
        <v>南津守西公園</v>
      </c>
      <c r="C5535" s="14" t="s">
        <v>1521</v>
      </c>
      <c r="D5535" s="14" t="s">
        <v>674</v>
      </c>
      <c r="E5535" s="1">
        <v>2304.39</v>
      </c>
      <c r="F5535" s="2"/>
      <c r="G5535" s="1"/>
      <c r="H5535" s="3"/>
      <c r="I5535" s="14" t="s">
        <v>2177</v>
      </c>
    </row>
    <row r="5536" spans="1:9" x14ac:dyDescent="0.4">
      <c r="A5536" s="14" t="s">
        <v>2119</v>
      </c>
      <c r="B5536" s="16" t="str">
        <f>TRIM("南津守会館老人憩の家")</f>
        <v>南津守会館老人憩の家</v>
      </c>
      <c r="C5536" s="14" t="s">
        <v>1521</v>
      </c>
      <c r="D5536" s="14" t="s">
        <v>821</v>
      </c>
      <c r="E5536" s="1">
        <v>143.15</v>
      </c>
      <c r="F5536" s="2"/>
      <c r="G5536" s="1">
        <v>106.59</v>
      </c>
      <c r="H5536" s="3"/>
      <c r="I5536" s="14" t="s">
        <v>1687</v>
      </c>
    </row>
    <row r="5537" spans="1:9" x14ac:dyDescent="0.4">
      <c r="A5537" s="14" t="s">
        <v>5051</v>
      </c>
      <c r="B5537" s="16" t="str">
        <f>TRIM("南津守小学校")</f>
        <v>南津守小学校</v>
      </c>
      <c r="C5537" s="14" t="s">
        <v>1521</v>
      </c>
      <c r="D5537" s="14" t="s">
        <v>821</v>
      </c>
      <c r="E5537" s="1">
        <v>9271.5</v>
      </c>
      <c r="F5537" s="2"/>
      <c r="G5537" s="1">
        <v>7292.57</v>
      </c>
      <c r="H5537" s="3"/>
      <c r="I5537" s="14" t="s">
        <v>4689</v>
      </c>
    </row>
    <row r="5538" spans="1:9" x14ac:dyDescent="0.4">
      <c r="A5538" s="14" t="s">
        <v>6603</v>
      </c>
      <c r="B5538" s="16" t="str">
        <f>TRIM("南津守住宅")</f>
        <v>南津守住宅</v>
      </c>
      <c r="C5538" s="14" t="s">
        <v>1521</v>
      </c>
      <c r="D5538" s="14" t="s">
        <v>821</v>
      </c>
      <c r="E5538" s="1">
        <v>4492.08</v>
      </c>
      <c r="F5538" s="2"/>
      <c r="G5538" s="1">
        <v>2743.89</v>
      </c>
      <c r="H5538" s="3"/>
      <c r="I5538" s="14" t="s">
        <v>6177</v>
      </c>
    </row>
    <row r="5539" spans="1:9" x14ac:dyDescent="0.4">
      <c r="A5539" s="14" t="s">
        <v>6605</v>
      </c>
      <c r="B5539" s="16" t="str">
        <f>TRIM("南津守第2住宅")</f>
        <v>南津守第2住宅</v>
      </c>
      <c r="C5539" s="14" t="s">
        <v>1521</v>
      </c>
      <c r="D5539" s="14" t="s">
        <v>821</v>
      </c>
      <c r="E5539" s="1">
        <v>9902.77</v>
      </c>
      <c r="F5539" s="2"/>
      <c r="G5539" s="1">
        <v>17575.400000000001</v>
      </c>
      <c r="H5539" s="3"/>
      <c r="I5539" s="14" t="s">
        <v>6177</v>
      </c>
    </row>
    <row r="5540" spans="1:9" x14ac:dyDescent="0.4">
      <c r="A5540" s="14" t="s">
        <v>3201</v>
      </c>
      <c r="B5540" s="16" t="str">
        <f>TRIM("　南津守中公園")</f>
        <v>南津守中公園</v>
      </c>
      <c r="C5540" s="14" t="s">
        <v>1521</v>
      </c>
      <c r="D5540" s="14" t="s">
        <v>821</v>
      </c>
      <c r="E5540" s="1">
        <v>1325.41</v>
      </c>
      <c r="F5540" s="2"/>
      <c r="G5540" s="1"/>
      <c r="H5540" s="3"/>
      <c r="I5540" s="14" t="s">
        <v>2177</v>
      </c>
    </row>
    <row r="5541" spans="1:9" x14ac:dyDescent="0.4">
      <c r="A5541" s="14" t="s">
        <v>3202</v>
      </c>
      <c r="B5541" s="16" t="str">
        <f>TRIM("　南津守東公園")</f>
        <v>南津守東公園</v>
      </c>
      <c r="C5541" s="14" t="s">
        <v>1521</v>
      </c>
      <c r="D5541" s="14" t="s">
        <v>821</v>
      </c>
      <c r="E5541" s="1">
        <v>947.94</v>
      </c>
      <c r="F5541" s="2"/>
      <c r="G5541" s="1"/>
      <c r="H5541" s="3"/>
      <c r="I5541" s="14" t="s">
        <v>2177</v>
      </c>
    </row>
    <row r="5542" spans="1:9" x14ac:dyDescent="0.4">
      <c r="A5542" s="14" t="s">
        <v>4681</v>
      </c>
      <c r="B5542" s="16" t="str">
        <f>TRIM("南津守会館")</f>
        <v>南津守会館</v>
      </c>
      <c r="C5542" s="14" t="s">
        <v>1521</v>
      </c>
      <c r="D5542" s="14" t="s">
        <v>821</v>
      </c>
      <c r="E5542" s="1"/>
      <c r="F5542" s="2"/>
      <c r="G5542" s="1">
        <v>90.91</v>
      </c>
      <c r="H5542" s="3"/>
      <c r="I5542" s="14" t="s">
        <v>1687</v>
      </c>
    </row>
    <row r="5543" spans="1:9" x14ac:dyDescent="0.4">
      <c r="A5543" s="14" t="s">
        <v>2257</v>
      </c>
      <c r="B5543" s="16" t="str">
        <f>TRIM("大阪港八尾線（西成）（管財課）")</f>
        <v>大阪港八尾線（西成）（管財課）</v>
      </c>
      <c r="C5543" s="14" t="s">
        <v>1521</v>
      </c>
      <c r="D5543" s="14" t="s">
        <v>934</v>
      </c>
      <c r="E5543" s="1">
        <v>2.25</v>
      </c>
      <c r="F5543" s="2"/>
      <c r="G5543" s="1"/>
      <c r="H5543" s="3"/>
      <c r="I5543" s="14" t="s">
        <v>2177</v>
      </c>
    </row>
    <row r="5544" spans="1:9" x14ac:dyDescent="0.4">
      <c r="A5544" s="14" t="s">
        <v>3198</v>
      </c>
      <c r="B5544" s="16" t="str">
        <f>TRIM("　南津守公園")</f>
        <v>南津守公園</v>
      </c>
      <c r="C5544" s="14" t="s">
        <v>1521</v>
      </c>
      <c r="D5544" s="14" t="s">
        <v>934</v>
      </c>
      <c r="E5544" s="1">
        <v>1639.11</v>
      </c>
      <c r="F5544" s="2"/>
      <c r="G5544" s="1"/>
      <c r="H5544" s="3"/>
      <c r="I5544" s="14" t="s">
        <v>2177</v>
      </c>
    </row>
    <row r="5545" spans="1:9" x14ac:dyDescent="0.4">
      <c r="A5545" s="14" t="s">
        <v>3200</v>
      </c>
      <c r="B5545" s="16" t="str">
        <f>TRIM("　南津守中央公園")</f>
        <v>南津守中央公園</v>
      </c>
      <c r="C5545" s="14" t="s">
        <v>1521</v>
      </c>
      <c r="D5545" s="14" t="s">
        <v>934</v>
      </c>
      <c r="E5545" s="1">
        <v>27722.560000000001</v>
      </c>
      <c r="F5545" s="2"/>
      <c r="G5545" s="1"/>
      <c r="H5545" s="3"/>
      <c r="I5545" s="14" t="s">
        <v>2177</v>
      </c>
    </row>
    <row r="5546" spans="1:9" x14ac:dyDescent="0.4">
      <c r="A5546" s="14" t="s">
        <v>3655</v>
      </c>
      <c r="B5546" s="16" t="str">
        <f>TRIM("　南津守中央公園")</f>
        <v>南津守中央公園</v>
      </c>
      <c r="C5546" s="14" t="s">
        <v>1521</v>
      </c>
      <c r="D5546" s="14" t="s">
        <v>934</v>
      </c>
      <c r="E5546" s="1"/>
      <c r="F5546" s="2"/>
      <c r="G5546" s="1">
        <v>28.92</v>
      </c>
      <c r="H5546" s="3"/>
      <c r="I5546" s="14" t="s">
        <v>2177</v>
      </c>
    </row>
    <row r="5547" spans="1:9" x14ac:dyDescent="0.4">
      <c r="A5547" s="14" t="s">
        <v>5900</v>
      </c>
      <c r="B5547" s="16" t="str">
        <f>TRIM("長橋第2保育所")</f>
        <v>長橋第2保育所</v>
      </c>
      <c r="C5547" s="14" t="s">
        <v>1521</v>
      </c>
      <c r="D5547" s="14" t="s">
        <v>587</v>
      </c>
      <c r="E5547" s="1">
        <v>1360.55</v>
      </c>
      <c r="F5547" s="2"/>
      <c r="G5547" s="1">
        <v>1272.26</v>
      </c>
      <c r="H5547" s="3"/>
      <c r="I5547" s="14" t="s">
        <v>5617</v>
      </c>
    </row>
    <row r="5548" spans="1:9" x14ac:dyDescent="0.4">
      <c r="A5548" s="14" t="s">
        <v>3180</v>
      </c>
      <c r="B5548" s="16" t="str">
        <f>TRIM("　南開公園")</f>
        <v>南開公園</v>
      </c>
      <c r="C5548" s="14" t="s">
        <v>1521</v>
      </c>
      <c r="D5548" s="14" t="s">
        <v>587</v>
      </c>
      <c r="E5548" s="1">
        <v>3286.09</v>
      </c>
      <c r="F5548" s="2"/>
      <c r="G5548" s="1"/>
      <c r="H5548" s="3"/>
      <c r="I5548" s="14" t="s">
        <v>2177</v>
      </c>
    </row>
    <row r="5549" spans="1:9" x14ac:dyDescent="0.4">
      <c r="A5549" s="14" t="s">
        <v>6195</v>
      </c>
      <c r="B5549" s="16" t="str">
        <f>TRIM("出城通第3住宅")</f>
        <v>出城通第3住宅</v>
      </c>
      <c r="C5549" s="14" t="s">
        <v>1521</v>
      </c>
      <c r="D5549" s="14" t="s">
        <v>328</v>
      </c>
      <c r="E5549" s="1">
        <v>330.57</v>
      </c>
      <c r="F5549" s="2">
        <v>835</v>
      </c>
      <c r="G5549" s="1"/>
      <c r="H5549" s="3"/>
      <c r="I5549" s="14" t="s">
        <v>6177</v>
      </c>
    </row>
    <row r="5550" spans="1:9" x14ac:dyDescent="0.4">
      <c r="A5550" s="14" t="s">
        <v>1670</v>
      </c>
      <c r="B5550" s="16" t="str">
        <f>TRIM("もと文化温泉")</f>
        <v>もと文化温泉</v>
      </c>
      <c r="C5550" s="14" t="s">
        <v>1521</v>
      </c>
      <c r="D5550" s="14" t="s">
        <v>328</v>
      </c>
      <c r="E5550" s="1">
        <v>1203.71</v>
      </c>
      <c r="F5550" s="2">
        <v>1915</v>
      </c>
      <c r="G5550" s="1"/>
      <c r="H5550" s="3"/>
      <c r="I5550" s="14" t="s">
        <v>1654</v>
      </c>
    </row>
    <row r="5551" spans="1:9" x14ac:dyDescent="0.4">
      <c r="A5551" s="14" t="s">
        <v>5899</v>
      </c>
      <c r="B5551" s="16" t="str">
        <f>TRIM("もと長橋第1保育所")</f>
        <v>もと長橋第1保育所</v>
      </c>
      <c r="C5551" s="14" t="s">
        <v>1521</v>
      </c>
      <c r="D5551" s="14" t="s">
        <v>328</v>
      </c>
      <c r="E5551" s="1">
        <v>2996.1</v>
      </c>
      <c r="F5551" s="2">
        <v>1916</v>
      </c>
      <c r="G5551" s="1">
        <v>1313.4</v>
      </c>
      <c r="H5551" s="3" t="s">
        <v>7353</v>
      </c>
      <c r="I5551" s="14" t="s">
        <v>5617</v>
      </c>
    </row>
    <row r="5552" spans="1:9" x14ac:dyDescent="0.4">
      <c r="A5552" s="14" t="s">
        <v>6259</v>
      </c>
      <c r="B5552" s="16" t="str">
        <f>TRIM("もと西成地区住宅関連施設")</f>
        <v>もと西成地区住宅関連施設</v>
      </c>
      <c r="C5552" s="14" t="s">
        <v>1521</v>
      </c>
      <c r="D5552" s="14" t="s">
        <v>328</v>
      </c>
      <c r="E5552" s="1">
        <v>255.54</v>
      </c>
      <c r="F5552" s="2" t="s">
        <v>7278</v>
      </c>
      <c r="G5552" s="1"/>
      <c r="H5552" s="3"/>
      <c r="I5552" s="14" t="s">
        <v>6177</v>
      </c>
    </row>
    <row r="5553" spans="1:9" x14ac:dyDescent="0.4">
      <c r="A5553" s="14" t="s">
        <v>2097</v>
      </c>
      <c r="B5553" s="16" t="str">
        <f>TRIM("長橋老人憩の家")</f>
        <v>長橋老人憩の家</v>
      </c>
      <c r="C5553" s="14" t="s">
        <v>1521</v>
      </c>
      <c r="D5553" s="14" t="s">
        <v>328</v>
      </c>
      <c r="E5553" s="1">
        <v>680.71</v>
      </c>
      <c r="F5553" s="2"/>
      <c r="G5553" s="1">
        <v>257.77</v>
      </c>
      <c r="H5553" s="3"/>
      <c r="I5553" s="14" t="s">
        <v>1687</v>
      </c>
    </row>
    <row r="5554" spans="1:9" x14ac:dyDescent="0.4">
      <c r="A5554" s="14" t="s">
        <v>6399</v>
      </c>
      <c r="B5554" s="16" t="str">
        <f>TRIM("出城西住宅")</f>
        <v>出城西住宅</v>
      </c>
      <c r="C5554" s="14" t="s">
        <v>1521</v>
      </c>
      <c r="D5554" s="14" t="s">
        <v>328</v>
      </c>
      <c r="E5554" s="1">
        <v>1159.22</v>
      </c>
      <c r="F5554" s="2"/>
      <c r="G5554" s="1">
        <v>9402.5</v>
      </c>
      <c r="H5554" s="3"/>
      <c r="I5554" s="14" t="s">
        <v>6177</v>
      </c>
    </row>
    <row r="5555" spans="1:9" x14ac:dyDescent="0.4">
      <c r="A5555" s="14" t="s">
        <v>6402</v>
      </c>
      <c r="B5555" s="16" t="str">
        <f>TRIM("出城第3住宅")</f>
        <v>出城第3住宅</v>
      </c>
      <c r="C5555" s="14" t="s">
        <v>1521</v>
      </c>
      <c r="D5555" s="14" t="s">
        <v>328</v>
      </c>
      <c r="E5555" s="1">
        <v>1557</v>
      </c>
      <c r="F5555" s="2"/>
      <c r="G5555" s="1">
        <v>1062.79</v>
      </c>
      <c r="H5555" s="3"/>
      <c r="I5555" s="14" t="s">
        <v>6177</v>
      </c>
    </row>
    <row r="5556" spans="1:9" x14ac:dyDescent="0.4">
      <c r="A5556" s="14" t="s">
        <v>6589</v>
      </c>
      <c r="B5556" s="16" t="str">
        <f>TRIM("南開第1住宅")</f>
        <v>南開第1住宅</v>
      </c>
      <c r="C5556" s="14" t="s">
        <v>1521</v>
      </c>
      <c r="D5556" s="14" t="s">
        <v>328</v>
      </c>
      <c r="E5556" s="1">
        <v>2475.41</v>
      </c>
      <c r="F5556" s="2"/>
      <c r="G5556" s="1">
        <v>1317.73</v>
      </c>
      <c r="H5556" s="3"/>
      <c r="I5556" s="14" t="s">
        <v>6177</v>
      </c>
    </row>
    <row r="5557" spans="1:9" x14ac:dyDescent="0.4">
      <c r="A5557" s="14" t="s">
        <v>6238</v>
      </c>
      <c r="B5557" s="16" t="str">
        <f>TRIM("南開第1住宅")</f>
        <v>南開第1住宅</v>
      </c>
      <c r="C5557" s="14" t="s">
        <v>1521</v>
      </c>
      <c r="D5557" s="14" t="s">
        <v>328</v>
      </c>
      <c r="E5557" s="1">
        <v>72.67</v>
      </c>
      <c r="F5557" s="2"/>
      <c r="G5557" s="1"/>
      <c r="H5557" s="3"/>
      <c r="I5557" s="14" t="s">
        <v>6177</v>
      </c>
    </row>
    <row r="5558" spans="1:9" x14ac:dyDescent="0.4">
      <c r="A5558" s="14" t="s">
        <v>6457</v>
      </c>
      <c r="B5558" s="16" t="str">
        <f>TRIM("西成住宅地区改良事業用地")</f>
        <v>西成住宅地区改良事業用地</v>
      </c>
      <c r="C5558" s="14" t="s">
        <v>1521</v>
      </c>
      <c r="D5558" s="14" t="s">
        <v>328</v>
      </c>
      <c r="E5558" s="1">
        <v>11022.46</v>
      </c>
      <c r="F5558" s="2"/>
      <c r="G5558" s="1"/>
      <c r="H5558" s="3"/>
      <c r="I5558" s="14" t="s">
        <v>6177</v>
      </c>
    </row>
    <row r="5559" spans="1:9" x14ac:dyDescent="0.4">
      <c r="A5559" s="14" t="s">
        <v>6890</v>
      </c>
      <c r="B5559" s="16" t="str">
        <f>TRIM("西成住宅地区改良事業用地")</f>
        <v>西成住宅地区改良事業用地</v>
      </c>
      <c r="C5559" s="14" t="s">
        <v>1521</v>
      </c>
      <c r="D5559" s="14" t="s">
        <v>328</v>
      </c>
      <c r="E5559" s="1">
        <v>130.11000000000001</v>
      </c>
      <c r="F5559" s="2"/>
      <c r="G5559" s="1"/>
      <c r="H5559" s="3"/>
      <c r="I5559" s="14" t="s">
        <v>6177</v>
      </c>
    </row>
    <row r="5560" spans="1:9" x14ac:dyDescent="0.4">
      <c r="A5560" s="14" t="s">
        <v>6895</v>
      </c>
      <c r="B5560" s="16" t="str">
        <f>TRIM("南開第1住宅")</f>
        <v>南開第1住宅</v>
      </c>
      <c r="C5560" s="14" t="s">
        <v>1521</v>
      </c>
      <c r="D5560" s="14" t="s">
        <v>328</v>
      </c>
      <c r="E5560" s="1">
        <v>7.88</v>
      </c>
      <c r="F5560" s="2"/>
      <c r="G5560" s="1"/>
      <c r="H5560" s="3"/>
      <c r="I5560" s="14" t="s">
        <v>6177</v>
      </c>
    </row>
    <row r="5561" spans="1:9" x14ac:dyDescent="0.4">
      <c r="A5561" s="14" t="s">
        <v>1848</v>
      </c>
      <c r="B5561" s="16" t="str">
        <f>TRIM("もと信太山老人ホーム")</f>
        <v>もと信太山老人ホーム</v>
      </c>
      <c r="C5561" s="14" t="s">
        <v>1551</v>
      </c>
      <c r="D5561" s="14" t="s">
        <v>1552</v>
      </c>
      <c r="E5561" s="1">
        <v>32267.75</v>
      </c>
      <c r="F5561" s="2">
        <v>1171</v>
      </c>
      <c r="G5561" s="1">
        <v>2999.24</v>
      </c>
      <c r="H5561" s="3" t="s">
        <v>7353</v>
      </c>
      <c r="I5561" s="14" t="s">
        <v>1654</v>
      </c>
    </row>
    <row r="5562" spans="1:9" x14ac:dyDescent="0.4">
      <c r="A5562" s="14" t="s">
        <v>5633</v>
      </c>
      <c r="B5562" s="16" t="str">
        <f>TRIM("もと青少年憩の家藤沢会館")</f>
        <v>もと青少年憩の家藤沢会館</v>
      </c>
      <c r="C5562" s="14" t="s">
        <v>1551</v>
      </c>
      <c r="D5562" s="14" t="s">
        <v>1552</v>
      </c>
      <c r="E5562" s="1">
        <v>35270.5</v>
      </c>
      <c r="F5562" s="2" t="s">
        <v>7277</v>
      </c>
      <c r="G5562" s="1"/>
      <c r="H5562" s="3"/>
      <c r="I5562" s="14" t="s">
        <v>5617</v>
      </c>
    </row>
    <row r="5563" spans="1:9" x14ac:dyDescent="0.4">
      <c r="A5563" s="14" t="s">
        <v>5623</v>
      </c>
      <c r="B5563" s="16" t="str">
        <f>TRIM("信太山青少年野外活動センター")</f>
        <v>信太山青少年野外活動センター</v>
      </c>
      <c r="C5563" s="14" t="s">
        <v>1551</v>
      </c>
      <c r="D5563" s="14" t="s">
        <v>1552</v>
      </c>
      <c r="E5563" s="1">
        <v>165169.18</v>
      </c>
      <c r="F5563" s="2"/>
      <c r="G5563" s="1">
        <v>3663.19</v>
      </c>
      <c r="H5563" s="3"/>
      <c r="I5563" s="14" t="s">
        <v>5617</v>
      </c>
    </row>
    <row r="5564" spans="1:9" x14ac:dyDescent="0.4">
      <c r="A5564" s="14" t="s">
        <v>1746</v>
      </c>
      <c r="B5564" s="16" t="str">
        <f>TRIM("知的障がい者更生施設太平学園")</f>
        <v>知的障がい者更生施設太平学園</v>
      </c>
      <c r="C5564" s="14" t="s">
        <v>1551</v>
      </c>
      <c r="D5564" s="14" t="s">
        <v>1552</v>
      </c>
      <c r="E5564" s="1">
        <v>16376.76</v>
      </c>
      <c r="F5564" s="2"/>
      <c r="G5564" s="1"/>
      <c r="H5564" s="3"/>
      <c r="I5564" s="14" t="s">
        <v>1654</v>
      </c>
    </row>
    <row r="5565" spans="1:9" x14ac:dyDescent="0.4">
      <c r="A5565" s="14" t="s">
        <v>1747</v>
      </c>
      <c r="B5565" s="16" t="str">
        <f>TRIM("知的障がい者更生施設伯太学園")</f>
        <v>知的障がい者更生施設伯太学園</v>
      </c>
      <c r="C5565" s="14" t="s">
        <v>1551</v>
      </c>
      <c r="D5565" s="14" t="s">
        <v>1552</v>
      </c>
      <c r="E5565" s="1">
        <v>3499.22</v>
      </c>
      <c r="F5565" s="2"/>
      <c r="G5565" s="1"/>
      <c r="H5565" s="3"/>
      <c r="I5565" s="14" t="s">
        <v>1654</v>
      </c>
    </row>
    <row r="5566" spans="1:9" x14ac:dyDescent="0.4">
      <c r="A5566" s="14" t="s">
        <v>1849</v>
      </c>
      <c r="B5566" s="16" t="str">
        <f>TRIM("もと美濃部会館")</f>
        <v>もと美濃部会館</v>
      </c>
      <c r="C5566" s="14" t="s">
        <v>1551</v>
      </c>
      <c r="D5566" s="14" t="s">
        <v>1552</v>
      </c>
      <c r="E5566" s="1"/>
      <c r="F5566" s="2"/>
      <c r="G5566" s="1">
        <v>340.36</v>
      </c>
      <c r="H5566" s="3" t="s">
        <v>7353</v>
      </c>
      <c r="I5566" s="14" t="s">
        <v>1654</v>
      </c>
    </row>
    <row r="5567" spans="1:9" x14ac:dyDescent="0.4">
      <c r="A5567" s="14" t="s">
        <v>5399</v>
      </c>
      <c r="B5567" s="16" t="str">
        <f>TRIM("もと信太山健民修練所")</f>
        <v>もと信太山健民修練所</v>
      </c>
      <c r="C5567" s="14" t="s">
        <v>1551</v>
      </c>
      <c r="D5567" s="14" t="s">
        <v>1553</v>
      </c>
      <c r="E5567" s="1">
        <v>13.22</v>
      </c>
      <c r="F5567" s="2"/>
      <c r="G5567" s="1"/>
      <c r="H5567" s="3"/>
      <c r="I5567" s="14" t="s">
        <v>5349</v>
      </c>
    </row>
    <row r="5568" spans="1:9" x14ac:dyDescent="0.4">
      <c r="A5568" s="14" t="s">
        <v>5698</v>
      </c>
      <c r="B5568" s="16" t="str">
        <f>TRIM("児童養護施設助松寮")</f>
        <v>児童養護施設助松寮</v>
      </c>
      <c r="C5568" s="14" t="s">
        <v>1555</v>
      </c>
      <c r="D5568" s="14" t="s">
        <v>1554</v>
      </c>
      <c r="E5568" s="1">
        <v>2264.4299999999998</v>
      </c>
      <c r="F5568" s="2"/>
      <c r="G5568" s="1">
        <v>1062.0899999999999</v>
      </c>
      <c r="H5568" s="3"/>
      <c r="I5568" s="14" t="s">
        <v>5617</v>
      </c>
    </row>
    <row r="5569" spans="1:9" x14ac:dyDescent="0.4">
      <c r="A5569" s="14" t="s">
        <v>4985</v>
      </c>
      <c r="B5569" s="16" t="str">
        <f>TRIM("長谷川小学校・長谷川中学校")</f>
        <v>長谷川小学校・長谷川中学校</v>
      </c>
      <c r="C5569" s="14" t="s">
        <v>1557</v>
      </c>
      <c r="D5569" s="14" t="s">
        <v>1556</v>
      </c>
      <c r="E5569" s="1">
        <v>5804.66</v>
      </c>
      <c r="F5569" s="2"/>
      <c r="G5569" s="1">
        <v>5042.3599999999997</v>
      </c>
      <c r="H5569" s="3"/>
      <c r="I5569" s="14" t="s">
        <v>4689</v>
      </c>
    </row>
    <row r="5570" spans="1:9" x14ac:dyDescent="0.4">
      <c r="A5570" s="14" t="s">
        <v>5704</v>
      </c>
      <c r="B5570" s="16" t="str">
        <f>TRIM("長谷川羽曳野学園")</f>
        <v>長谷川羽曳野学園</v>
      </c>
      <c r="C5570" s="14" t="s">
        <v>1557</v>
      </c>
      <c r="D5570" s="14" t="s">
        <v>1556</v>
      </c>
      <c r="E5570" s="1">
        <v>27024.73</v>
      </c>
      <c r="F5570" s="2"/>
      <c r="G5570" s="1">
        <v>2821.97</v>
      </c>
      <c r="H5570" s="3"/>
      <c r="I5570" s="14" t="s">
        <v>5617</v>
      </c>
    </row>
    <row r="5571" spans="1:9" x14ac:dyDescent="0.4">
      <c r="A5571" s="14" t="s">
        <v>7007</v>
      </c>
      <c r="B5571" s="16" t="str">
        <f>TRIM("大学附属植物園")</f>
        <v>大学附属植物園</v>
      </c>
      <c r="C5571" s="14" t="s">
        <v>1559</v>
      </c>
      <c r="D5571" s="14" t="s">
        <v>1558</v>
      </c>
      <c r="E5571" s="1">
        <v>95412.43</v>
      </c>
      <c r="F5571" s="2"/>
      <c r="G5571" s="1">
        <v>3302.58</v>
      </c>
      <c r="H5571" s="3"/>
      <c r="I5571" s="14" t="s">
        <v>7008</v>
      </c>
    </row>
    <row r="5572" spans="1:9" x14ac:dyDescent="0.4">
      <c r="A5572" s="14" t="s">
        <v>5699</v>
      </c>
      <c r="B5572" s="16" t="str">
        <f>TRIM("児童養護施設清心寮")</f>
        <v>児童養護施設清心寮</v>
      </c>
      <c r="C5572" s="14" t="s">
        <v>1561</v>
      </c>
      <c r="D5572" s="14" t="s">
        <v>1560</v>
      </c>
      <c r="E5572" s="1">
        <v>1309.3699999999999</v>
      </c>
      <c r="F5572" s="2"/>
      <c r="G5572" s="1"/>
      <c r="H5572" s="3"/>
      <c r="I5572" s="14" t="s">
        <v>5617</v>
      </c>
    </row>
    <row r="5573" spans="1:9" x14ac:dyDescent="0.4">
      <c r="A5573" s="14" t="s">
        <v>4017</v>
      </c>
      <c r="B5573" s="16" t="str">
        <f>TRIM("下水道用地（吹田市）")</f>
        <v>下水道用地（吹田市）</v>
      </c>
      <c r="C5573" s="14" t="s">
        <v>1563</v>
      </c>
      <c r="D5573" s="14" t="s">
        <v>1562</v>
      </c>
      <c r="E5573" s="1">
        <v>92.7</v>
      </c>
      <c r="F5573" s="2"/>
      <c r="G5573" s="1"/>
      <c r="H5573" s="3"/>
      <c r="I5573" s="14" t="s">
        <v>2177</v>
      </c>
    </row>
    <row r="5574" spans="1:9" x14ac:dyDescent="0.4">
      <c r="A5574" s="14" t="s">
        <v>1737</v>
      </c>
      <c r="B5574" s="16" t="str">
        <f>TRIM("千里作業指導所")</f>
        <v>千里作業指導所</v>
      </c>
      <c r="C5574" s="14" t="s">
        <v>1563</v>
      </c>
      <c r="D5574" s="14" t="s">
        <v>1564</v>
      </c>
      <c r="E5574" s="1">
        <v>2553.36</v>
      </c>
      <c r="F5574" s="2"/>
      <c r="G5574" s="1">
        <v>685.46</v>
      </c>
      <c r="H5574" s="3"/>
      <c r="I5574" s="14" t="s">
        <v>1654</v>
      </c>
    </row>
    <row r="5575" spans="1:9" x14ac:dyDescent="0.4">
      <c r="A5575" s="14" t="s">
        <v>2169</v>
      </c>
      <c r="B5575" s="16" t="str">
        <f>TRIM("弘済院")</f>
        <v>弘済院</v>
      </c>
      <c r="C5575" s="14" t="s">
        <v>1563</v>
      </c>
      <c r="D5575" s="14" t="s">
        <v>1564</v>
      </c>
      <c r="E5575" s="1">
        <v>114992.42</v>
      </c>
      <c r="F5575" s="2"/>
      <c r="G5575" s="1">
        <v>22401.68</v>
      </c>
      <c r="H5575" s="3" t="s">
        <v>7353</v>
      </c>
      <c r="I5575" s="14" t="s">
        <v>1654</v>
      </c>
    </row>
    <row r="5576" spans="1:9" x14ac:dyDescent="0.4">
      <c r="A5576" s="14" t="s">
        <v>5696</v>
      </c>
      <c r="B5576" s="16" t="str">
        <f>TRIM("弘済みらい園・弘済のぞみ園")</f>
        <v>弘済みらい園・弘済のぞみ園</v>
      </c>
      <c r="C5576" s="14" t="s">
        <v>1563</v>
      </c>
      <c r="D5576" s="14" t="s">
        <v>1564</v>
      </c>
      <c r="E5576" s="1"/>
      <c r="F5576" s="2"/>
      <c r="G5576" s="1">
        <v>2168.73</v>
      </c>
      <c r="H5576" s="3"/>
      <c r="I5576" s="14" t="s">
        <v>5617</v>
      </c>
    </row>
    <row r="5577" spans="1:9" x14ac:dyDescent="0.4">
      <c r="A5577" s="14" t="s">
        <v>1683</v>
      </c>
      <c r="B5577" s="16" t="str">
        <f>TRIM("救護施設　千里寮")</f>
        <v>救護施設　千里寮</v>
      </c>
      <c r="C5577" s="14" t="s">
        <v>1563</v>
      </c>
      <c r="D5577" s="14" t="s">
        <v>1565</v>
      </c>
      <c r="E5577" s="1">
        <v>8000.37</v>
      </c>
      <c r="F5577" s="2"/>
      <c r="G5577" s="1"/>
      <c r="H5577" s="3"/>
      <c r="I5577" s="14" t="s">
        <v>1654</v>
      </c>
    </row>
    <row r="5578" spans="1:9" x14ac:dyDescent="0.4">
      <c r="A5578" s="14" t="s">
        <v>2170</v>
      </c>
      <c r="B5578" s="16" t="str">
        <f>TRIM("知的障がい者更生施設かしのみ寮・身体障がい者療護施設くりのみ寮")</f>
        <v>知的障がい者更生施設かしのみ寮・身体障がい者療護施設くりのみ寮</v>
      </c>
      <c r="C5578" s="14" t="s">
        <v>1563</v>
      </c>
      <c r="D5578" s="14" t="s">
        <v>1565</v>
      </c>
      <c r="E5578" s="1">
        <v>3157.96</v>
      </c>
      <c r="F5578" s="2"/>
      <c r="G5578" s="1"/>
      <c r="H5578" s="3"/>
      <c r="I5578" s="14" t="s">
        <v>1654</v>
      </c>
    </row>
    <row r="5579" spans="1:9" x14ac:dyDescent="0.4">
      <c r="A5579" s="14" t="s">
        <v>2171</v>
      </c>
      <c r="B5579" s="16" t="str">
        <f>TRIM("もと弘済院")</f>
        <v>もと弘済院</v>
      </c>
      <c r="C5579" s="14" t="s">
        <v>1563</v>
      </c>
      <c r="D5579" s="14" t="s">
        <v>1565</v>
      </c>
      <c r="E5579" s="1"/>
      <c r="F5579" s="2"/>
      <c r="G5579" s="1">
        <v>6613.47</v>
      </c>
      <c r="H5579" s="3"/>
      <c r="I5579" s="14" t="s">
        <v>1654</v>
      </c>
    </row>
    <row r="5580" spans="1:9" x14ac:dyDescent="0.4">
      <c r="A5580" s="14" t="s">
        <v>2172</v>
      </c>
      <c r="B5580" s="16" t="str">
        <f>TRIM("特別養護老人ホームみなと弘済園")</f>
        <v>特別養護老人ホームみなと弘済園</v>
      </c>
      <c r="C5580" s="14" t="s">
        <v>1563</v>
      </c>
      <c r="D5580" s="14" t="s">
        <v>1565</v>
      </c>
      <c r="E5580" s="1">
        <v>11317.12</v>
      </c>
      <c r="F5580" s="2"/>
      <c r="G5580" s="1"/>
      <c r="H5580" s="3"/>
      <c r="I5580" s="14" t="s">
        <v>1654</v>
      </c>
    </row>
    <row r="5581" spans="1:9" x14ac:dyDescent="0.4">
      <c r="A5581" s="14" t="s">
        <v>4798</v>
      </c>
      <c r="B5581" s="16" t="str">
        <f>TRIM("弘済小・中学校")</f>
        <v>弘済小・中学校</v>
      </c>
      <c r="C5581" s="14" t="s">
        <v>1563</v>
      </c>
      <c r="D5581" s="14" t="s">
        <v>1565</v>
      </c>
      <c r="E5581" s="1"/>
      <c r="F5581" s="2"/>
      <c r="G5581" s="1">
        <v>3524.31</v>
      </c>
      <c r="H5581" s="3"/>
      <c r="I5581" s="14" t="s">
        <v>4689</v>
      </c>
    </row>
    <row r="5582" spans="1:9" x14ac:dyDescent="0.4">
      <c r="A5582" s="14" t="s">
        <v>5706</v>
      </c>
      <c r="B5582" s="16" t="str">
        <f>TRIM("児童自立支援施設阿武山学園")</f>
        <v>児童自立支援施設阿武山学園</v>
      </c>
      <c r="C5582" s="14" t="s">
        <v>1567</v>
      </c>
      <c r="D5582" s="14" t="s">
        <v>1566</v>
      </c>
      <c r="E5582" s="1">
        <v>99375.09</v>
      </c>
      <c r="F5582" s="2"/>
      <c r="G5582" s="1">
        <v>5282.67</v>
      </c>
      <c r="H5582" s="3"/>
      <c r="I5582" s="14" t="s">
        <v>5617</v>
      </c>
    </row>
    <row r="5583" spans="1:9" x14ac:dyDescent="0.4">
      <c r="A5583" s="14" t="s">
        <v>5429</v>
      </c>
      <c r="B5583" s="16" t="str">
        <f>TRIM("もと服部霊園")</f>
        <v>もと服部霊園</v>
      </c>
      <c r="C5583" s="14" t="s">
        <v>1569</v>
      </c>
      <c r="D5583" s="14" t="s">
        <v>1568</v>
      </c>
      <c r="E5583" s="1">
        <v>466.63</v>
      </c>
      <c r="F5583" s="2"/>
      <c r="G5583" s="1"/>
      <c r="H5583" s="3"/>
      <c r="I5583" s="14" t="s">
        <v>5349</v>
      </c>
    </row>
    <row r="5584" spans="1:9" x14ac:dyDescent="0.4">
      <c r="A5584" s="14" t="s">
        <v>6158</v>
      </c>
      <c r="B5584" s="16" t="str">
        <f>TRIM("服部霊園")</f>
        <v>服部霊園</v>
      </c>
      <c r="C5584" s="14" t="s">
        <v>1569</v>
      </c>
      <c r="D5584" s="14" t="s">
        <v>1570</v>
      </c>
      <c r="E5584" s="1">
        <v>192448.15</v>
      </c>
      <c r="F5584" s="2"/>
      <c r="G5584" s="1">
        <v>796.62</v>
      </c>
      <c r="H5584" s="3"/>
      <c r="I5584" s="14" t="s">
        <v>5977</v>
      </c>
    </row>
    <row r="5585" spans="1:9" x14ac:dyDescent="0.4">
      <c r="A5585" s="14" t="s">
        <v>6138</v>
      </c>
      <c r="B5585" s="16" t="str">
        <f>TRIM("泉南メモリアルパーク")</f>
        <v>泉南メモリアルパーク</v>
      </c>
      <c r="C5585" s="14" t="s">
        <v>1572</v>
      </c>
      <c r="D5585" s="14" t="s">
        <v>1571</v>
      </c>
      <c r="E5585" s="1">
        <v>337530.2</v>
      </c>
      <c r="F5585" s="2"/>
      <c r="G5585" s="1">
        <v>1389.55</v>
      </c>
      <c r="H5585" s="3"/>
      <c r="I5585" s="14" t="s">
        <v>5977</v>
      </c>
    </row>
    <row r="5586" spans="1:9" x14ac:dyDescent="0.4">
      <c r="A5586" s="14" t="s">
        <v>4029</v>
      </c>
      <c r="B5586" s="16" t="str">
        <f>TRIM("下水道用地（東大阪市）")</f>
        <v>下水道用地（東大阪市）</v>
      </c>
      <c r="C5586" s="14" t="s">
        <v>1574</v>
      </c>
      <c r="D5586" s="14" t="s">
        <v>1573</v>
      </c>
      <c r="E5586" s="1">
        <v>2.7</v>
      </c>
      <c r="F5586" s="2"/>
      <c r="G5586" s="1"/>
      <c r="H5586" s="3"/>
      <c r="I5586" s="14" t="s">
        <v>2177</v>
      </c>
    </row>
    <row r="5587" spans="1:9" x14ac:dyDescent="0.4">
      <c r="A5587" s="14" t="s">
        <v>5441</v>
      </c>
      <c r="B5587" s="16" t="str">
        <f>TRIM("もと枚岡健康学園")</f>
        <v>もと枚岡健康学園</v>
      </c>
      <c r="C5587" s="14" t="s">
        <v>1574</v>
      </c>
      <c r="D5587" s="14" t="s">
        <v>1575</v>
      </c>
      <c r="E5587" s="1">
        <v>17549.14</v>
      </c>
      <c r="F5587" s="2">
        <v>847</v>
      </c>
      <c r="G5587" s="1"/>
      <c r="H5587" s="3"/>
      <c r="I5587" s="14" t="s">
        <v>5349</v>
      </c>
    </row>
    <row r="5588" spans="1:9" x14ac:dyDescent="0.4">
      <c r="A5588" s="14" t="s">
        <v>5243</v>
      </c>
      <c r="B5588" s="16" t="str">
        <f>TRIM("高度専門教育訓練センター")</f>
        <v>高度専門教育訓練センター</v>
      </c>
      <c r="C5588" s="14" t="s">
        <v>1574</v>
      </c>
      <c r="D5588" s="14" t="s">
        <v>1576</v>
      </c>
      <c r="E5588" s="1">
        <v>41276.71</v>
      </c>
      <c r="F5588" s="2"/>
      <c r="G5588" s="1">
        <v>11286.83</v>
      </c>
      <c r="H5588" s="3"/>
      <c r="I5588" s="14" t="s">
        <v>5219</v>
      </c>
    </row>
    <row r="5589" spans="1:9" x14ac:dyDescent="0.4">
      <c r="A5589" s="14" t="s">
        <v>4840</v>
      </c>
      <c r="B5589" s="16" t="str">
        <f>TRIM("もと市立高等学校")</f>
        <v>もと市立高等学校</v>
      </c>
      <c r="C5589" s="14" t="s">
        <v>1577</v>
      </c>
      <c r="D5589" s="14" t="s">
        <v>1578</v>
      </c>
      <c r="E5589" s="1">
        <v>354.86</v>
      </c>
      <c r="F5589" s="2"/>
      <c r="G5589" s="1"/>
      <c r="H5589" s="3"/>
      <c r="I5589" s="14" t="s">
        <v>4689</v>
      </c>
    </row>
    <row r="5590" spans="1:9" x14ac:dyDescent="0.4">
      <c r="A5590" s="14" t="s">
        <v>3093</v>
      </c>
      <c r="B5590" s="16" t="str">
        <f>TRIM("　鶴見緑地整備事業")</f>
        <v>鶴見緑地整備事業</v>
      </c>
      <c r="C5590" s="14" t="s">
        <v>1579</v>
      </c>
      <c r="D5590" s="14" t="s">
        <v>1580</v>
      </c>
      <c r="E5590" s="1">
        <v>6558.59</v>
      </c>
      <c r="F5590" s="2"/>
      <c r="G5590" s="1"/>
      <c r="H5590" s="3"/>
      <c r="I5590" s="14" t="s">
        <v>2177</v>
      </c>
    </row>
    <row r="5591" spans="1:9" x14ac:dyDescent="0.4">
      <c r="A5591" s="14" t="s">
        <v>2297</v>
      </c>
      <c r="B5591" s="16" t="str">
        <f>TRIM("道路（市外）")</f>
        <v>道路（市外）</v>
      </c>
      <c r="C5591" s="14" t="s">
        <v>1579</v>
      </c>
      <c r="D5591" s="14" t="s">
        <v>1581</v>
      </c>
      <c r="E5591" s="1">
        <v>28407.14</v>
      </c>
      <c r="F5591" s="2"/>
      <c r="G5591" s="1"/>
      <c r="H5591" s="3"/>
      <c r="I5591" s="14" t="s">
        <v>2177</v>
      </c>
    </row>
    <row r="5592" spans="1:9" x14ac:dyDescent="0.4">
      <c r="A5592" s="14" t="s">
        <v>3091</v>
      </c>
      <c r="B5592" s="16" t="str">
        <f>TRIM("　鶴見緑地（市外）")</f>
        <v>鶴見緑地（市外）</v>
      </c>
      <c r="C5592" s="14" t="s">
        <v>1579</v>
      </c>
      <c r="D5592" s="14" t="s">
        <v>1582</v>
      </c>
      <c r="E5592" s="1">
        <v>479435.26</v>
      </c>
      <c r="F5592" s="2"/>
      <c r="G5592" s="1"/>
      <c r="H5592" s="3"/>
      <c r="I5592" s="14" t="s">
        <v>2177</v>
      </c>
    </row>
    <row r="5593" spans="1:9" x14ac:dyDescent="0.4">
      <c r="A5593" s="14" t="s">
        <v>5632</v>
      </c>
      <c r="B5593" s="16" t="str">
        <f>TRIM("もと青少年憩の家大畑山会館")</f>
        <v>もと青少年憩の家大畑山会館</v>
      </c>
      <c r="C5593" s="14" t="s">
        <v>1584</v>
      </c>
      <c r="D5593" s="14" t="s">
        <v>1583</v>
      </c>
      <c r="E5593" s="1">
        <v>21848.37</v>
      </c>
      <c r="F5593" s="2"/>
      <c r="G5593" s="1"/>
      <c r="H5593" s="3"/>
      <c r="I5593" s="14" t="s">
        <v>5617</v>
      </c>
    </row>
    <row r="5594" spans="1:9" x14ac:dyDescent="0.4">
      <c r="A5594" s="14" t="s">
        <v>1955</v>
      </c>
      <c r="B5594" s="16" t="str">
        <f>TRIM("特別養護老人ホーム大畑山苑")</f>
        <v>特別養護老人ホーム大畑山苑</v>
      </c>
      <c r="C5594" s="14" t="s">
        <v>1584</v>
      </c>
      <c r="D5594" s="14" t="s">
        <v>1585</v>
      </c>
      <c r="E5594" s="1">
        <v>10362.370000000001</v>
      </c>
      <c r="F5594" s="2"/>
      <c r="G5594" s="1"/>
      <c r="H5594" s="3"/>
      <c r="I5594" s="14" t="s">
        <v>1654</v>
      </c>
    </row>
    <row r="5595" spans="1:9" x14ac:dyDescent="0.4">
      <c r="A5595" s="14" t="s">
        <v>6072</v>
      </c>
      <c r="B5595" s="16" t="str">
        <f>TRIM("八尾工場")</f>
        <v>八尾工場</v>
      </c>
      <c r="C5595" s="14" t="s">
        <v>1584</v>
      </c>
      <c r="D5595" s="14" t="s">
        <v>1586</v>
      </c>
      <c r="E5595" s="1">
        <v>40018.15</v>
      </c>
      <c r="F5595" s="2"/>
      <c r="G5595" s="1"/>
      <c r="H5595" s="3"/>
      <c r="I5595" s="14" t="s">
        <v>5977</v>
      </c>
    </row>
    <row r="5596" spans="1:9" x14ac:dyDescent="0.4">
      <c r="A5596" s="14" t="s">
        <v>5246</v>
      </c>
      <c r="B5596" s="16" t="str">
        <f>TRIM("消防航空隊基地（八尾市）")</f>
        <v>消防航空隊基地（八尾市）</v>
      </c>
      <c r="C5596" s="14" t="s">
        <v>1584</v>
      </c>
      <c r="D5596" s="14" t="s">
        <v>1587</v>
      </c>
      <c r="E5596" s="1"/>
      <c r="F5596" s="2"/>
      <c r="G5596" s="1">
        <v>708.93</v>
      </c>
      <c r="H5596" s="3"/>
      <c r="I5596" s="14" t="s">
        <v>5219</v>
      </c>
    </row>
    <row r="5597" spans="1:9" x14ac:dyDescent="0.4">
      <c r="A5597" s="14" t="s">
        <v>1619</v>
      </c>
      <c r="B5597" s="16" t="str">
        <f>TRIM("もと婦人研修所")</f>
        <v>もと婦人研修所</v>
      </c>
      <c r="C5597" s="14" t="s">
        <v>1589</v>
      </c>
      <c r="D5597" s="14" t="s">
        <v>1588</v>
      </c>
      <c r="E5597" s="1">
        <v>99.42</v>
      </c>
      <c r="F5597" s="2"/>
      <c r="G5597" s="1">
        <v>69.959999999999994</v>
      </c>
      <c r="H5597" s="3" t="s">
        <v>7353</v>
      </c>
      <c r="I5597" s="14" t="s">
        <v>1598</v>
      </c>
    </row>
    <row r="5598" spans="1:9" x14ac:dyDescent="0.4">
      <c r="A5598" s="14" t="s">
        <v>5622</v>
      </c>
      <c r="B5598" s="16" t="str">
        <f>TRIM("もと伊賀青少年の家")</f>
        <v>もと伊賀青少年の家</v>
      </c>
      <c r="C5598" s="14" t="s">
        <v>7263</v>
      </c>
      <c r="D5598" s="14" t="s">
        <v>7262</v>
      </c>
      <c r="E5598" s="1">
        <v>534606.21</v>
      </c>
      <c r="F5598" s="2">
        <v>1516</v>
      </c>
      <c r="G5598" s="1">
        <v>2432.6799999999998</v>
      </c>
      <c r="H5598" s="3" t="s">
        <v>7353</v>
      </c>
      <c r="I5598" s="14" t="s">
        <v>5617</v>
      </c>
    </row>
    <row r="5599" spans="1:9" x14ac:dyDescent="0.4">
      <c r="A5599" s="14" t="s">
        <v>5621</v>
      </c>
      <c r="B5599" s="16" t="str">
        <f>TRIM("もと伊賀青少年キャンプ場")</f>
        <v>もと伊賀青少年キャンプ場</v>
      </c>
      <c r="C5599" s="14" t="s">
        <v>7263</v>
      </c>
      <c r="D5599" s="14" t="s">
        <v>7262</v>
      </c>
      <c r="E5599" s="1"/>
      <c r="F5599" s="2"/>
      <c r="G5599" s="1">
        <v>1186.69</v>
      </c>
      <c r="H5599" s="3" t="s">
        <v>7353</v>
      </c>
      <c r="I5599" s="14" t="s">
        <v>5617</v>
      </c>
    </row>
  </sheetData>
  <autoFilter ref="A4:I5599" xr:uid="{5F2CD0C7-DD86-4738-AA4E-750E50EF224B}"/>
  <mergeCells count="8">
    <mergeCell ref="A1:I1"/>
    <mergeCell ref="A3:A4"/>
    <mergeCell ref="B3:B4"/>
    <mergeCell ref="C3:C4"/>
    <mergeCell ref="D3:D4"/>
    <mergeCell ref="E3:F3"/>
    <mergeCell ref="G3:H3"/>
    <mergeCell ref="I3:I4"/>
  </mergeCells>
  <phoneticPr fontId="5"/>
  <pageMargins left="0.70866141732283472" right="0.70866141732283472" top="0.74803149606299213" bottom="0.74803149606299213" header="0.31496062992125984" footer="0.31496062992125984"/>
  <pageSetup paperSize="9" scale="44"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vt:lpstr>
      <vt:lpstr>一覧!Print_Area</vt:lpstr>
      <vt:lpstr>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2025-11-14T02:20:17Z</dcterms:modified>
</cp:coreProperties>
</file>