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0230" yWindow="-15" windowWidth="10275" windowHeight="7680"/>
  </bookViews>
  <sheets>
    <sheet name="01全国シェア比較" sheetId="24" r:id="rId1"/>
    <sheet name="02人口と面積" sheetId="25" r:id="rId2"/>
    <sheet name="03主要国GDP" sheetId="33" r:id="rId3"/>
    <sheet name="04経済活動別市内GRP" sheetId="31" r:id="rId4"/>
    <sheet name="05区別市税" sheetId="26" r:id="rId5"/>
    <sheet name="06事業所数" sheetId="35" r:id="rId6"/>
    <sheet name="06従業者数" sheetId="36" r:id="rId7"/>
    <sheet name="07開廃業率" sheetId="8" r:id="rId8"/>
    <sheet name="08事業所数" sheetId="37" r:id="rId9"/>
    <sheet name="08従業者数" sheetId="38" r:id="rId10"/>
    <sheet name="09区別事業所数" sheetId="40" r:id="rId11"/>
    <sheet name="09区別従業者数" sheetId="39" r:id="rId12"/>
    <sheet name="10製造業・事業所、従業者数" sheetId="43" r:id="rId13"/>
    <sheet name="10製造品出荷額等" sheetId="44" r:id="rId14"/>
    <sheet name="11製造業・従業者規模別" sheetId="12" r:id="rId15"/>
    <sheet name="12製造業・区別事業所.従業者数" sheetId="45" r:id="rId16"/>
    <sheet name="12製造業・区別製造品出荷額等" sheetId="13" r:id="rId17"/>
    <sheet name="13卸売業・事業所、従業者数" sheetId="46" r:id="rId18"/>
    <sheet name="13卸売業・年間販売額" sheetId="14" r:id="rId19"/>
    <sheet name="14卸売業・区別状況" sheetId="47" r:id="rId20"/>
    <sheet name="15卸売業・従業者規模別" sheetId="16" r:id="rId21"/>
    <sheet name="16小売業・事業所、従業者数" sheetId="49" r:id="rId22"/>
    <sheet name="16小売業・年間商品販売額" sheetId="17" r:id="rId23"/>
    <sheet name="17小売業・区別状況" sheetId="18" r:id="rId24"/>
    <sheet name="18小売業・従業者規模別" sheetId="19" r:id="rId25"/>
    <sheet name="19小売業・業種別" sheetId="20" r:id="rId26"/>
    <sheet name="20サービス業業種別" sheetId="28" r:id="rId27"/>
    <sheet name="21サービス業区別" sheetId="22" r:id="rId28"/>
    <sheet name="22飲食店" sheetId="23" r:id="rId29"/>
  </sheets>
  <externalReferences>
    <externalReference r:id="rId30"/>
    <externalReference r:id="rId31"/>
  </externalReferences>
  <definedNames>
    <definedName name="__123Graph_AGraph1" localSheetId="0" hidden="1">#REF!</definedName>
    <definedName name="__123Graph_AGraph1" localSheetId="2" hidden="1">#REF!</definedName>
    <definedName name="__123Graph_AGraph1" localSheetId="6" hidden="1">#REF!</definedName>
    <definedName name="__123Graph_AGraph1" localSheetId="7" hidden="1">#REF!</definedName>
    <definedName name="__123Graph_AGraph1" localSheetId="8" hidden="1">#REF!</definedName>
    <definedName name="__123Graph_AGraph1" localSheetId="9" hidden="1">#REF!</definedName>
    <definedName name="__123Graph_AGraph1" localSheetId="10" hidden="1">#REF!</definedName>
    <definedName name="__123Graph_AGraph1" localSheetId="11" hidden="1">#REF!</definedName>
    <definedName name="__123Graph_AGraph1" localSheetId="13" hidden="1">#REF!</definedName>
    <definedName name="__123Graph_AGraph1" localSheetId="15" hidden="1">#REF!</definedName>
    <definedName name="__123Graph_AGraph1" localSheetId="17" hidden="1">#REF!</definedName>
    <definedName name="__123Graph_AGraph1" localSheetId="21" hidden="1">#REF!</definedName>
    <definedName name="__123Graph_AGraph1" hidden="1">#REF!</definedName>
    <definedName name="__123Graph_XGraph1" localSheetId="0" hidden="1">#REF!</definedName>
    <definedName name="__123Graph_XGraph1" localSheetId="2" hidden="1">#REF!</definedName>
    <definedName name="__123Graph_XGraph1" localSheetId="6" hidden="1">#REF!</definedName>
    <definedName name="__123Graph_XGraph1" localSheetId="7" hidden="1">#REF!</definedName>
    <definedName name="__123Graph_XGraph1" localSheetId="8" hidden="1">#REF!</definedName>
    <definedName name="__123Graph_XGraph1" localSheetId="9" hidden="1">#REF!</definedName>
    <definedName name="__123Graph_XGraph1" localSheetId="10" hidden="1">#REF!</definedName>
    <definedName name="__123Graph_XGraph1" localSheetId="11" hidden="1">#REF!</definedName>
    <definedName name="__123Graph_XGraph1" localSheetId="13" hidden="1">#REF!</definedName>
    <definedName name="__123Graph_XGraph1" localSheetId="15" hidden="1">#REF!</definedName>
    <definedName name="__123Graph_XGraph1" localSheetId="17" hidden="1">#REF!</definedName>
    <definedName name="__123Graph_XGraph1" localSheetId="21" hidden="1">#REF!</definedName>
    <definedName name="__123Graph_XGraph1" hidden="1">#REF!</definedName>
    <definedName name="_xlnm._FilterDatabase" localSheetId="7" hidden="1">'07開廃業率'!#REF!</definedName>
    <definedName name="back_no" localSheetId="0">#REF!</definedName>
    <definedName name="back_no" localSheetId="2">#REF!</definedName>
    <definedName name="back_no" localSheetId="6">#REF!</definedName>
    <definedName name="back_no" localSheetId="8">#REF!</definedName>
    <definedName name="back_no" localSheetId="9">#REF!</definedName>
    <definedName name="back_no" localSheetId="10">#REF!</definedName>
    <definedName name="back_no" localSheetId="11">#REF!</definedName>
    <definedName name="back_no" localSheetId="13">#REF!</definedName>
    <definedName name="back_no" localSheetId="15">#REF!</definedName>
    <definedName name="back_no" localSheetId="17">#REF!</definedName>
    <definedName name="back_no" localSheetId="21">#REF!</definedName>
    <definedName name="back_no">#REF!</definedName>
    <definedName name="_xlnm.Print_Area" localSheetId="1">'02人口と面積'!$A$1:$K$37</definedName>
    <definedName name="_xlnm.Print_Area" localSheetId="3">'04経済活動別市内GRP'!$A$1:$N$28</definedName>
    <definedName name="_xlnm.Print_Area" localSheetId="7">'07開廃業率'!$A$1:$H$52</definedName>
    <definedName name="_xlnm.Print_Area" localSheetId="11">#REF!</definedName>
    <definedName name="_xlnm.Print_Area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3">#REF!</definedName>
    <definedName name="PRINT_AREA_MI" localSheetId="15">#REF!</definedName>
    <definedName name="PRINT_AREA_MI" localSheetId="17">#REF!</definedName>
    <definedName name="PRINT_AREA_MI" localSheetId="21">#REF!</definedName>
    <definedName name="PRINT_AREA_MI">#REF!</definedName>
    <definedName name="_xlnm.Print_Titles" localSheetId="11">#REF!</definedName>
    <definedName name="_xlnm.Print_Titles" localSheetId="15">#REF!</definedName>
    <definedName name="_xlnm.Print_Titles">#REF!</definedName>
    <definedName name="PRINT_TITLES_MI" localSheetId="1">#REF!</definedName>
    <definedName name="PRINT_TITLES_MI" localSheetId="2">#REF!</definedName>
    <definedName name="PRINT_TITLES_MI" localSheetId="6">#REF!</definedName>
    <definedName name="PRINT_TITLES_MI" localSheetId="8">#REF!</definedName>
    <definedName name="PRINT_TITLES_MI" localSheetId="9">#REF!</definedName>
    <definedName name="PRINT_TITLES_MI" localSheetId="10">#REF!</definedName>
    <definedName name="PRINT_TITLES_MI" localSheetId="11">#REF!</definedName>
    <definedName name="PRINT_TITLES_MI" localSheetId="13">#REF!</definedName>
    <definedName name="PRINT_TITLES_MI" localSheetId="15">#REF!</definedName>
    <definedName name="PRINT_TITLES_MI" localSheetId="17">#REF!</definedName>
    <definedName name="PRINT_TITLES_MI" localSheetId="21">#REF!</definedName>
    <definedName name="PRINT_TITLES_MI">#REF!</definedName>
    <definedName name="冊子名" localSheetId="0">[1]H20!#REF!</definedName>
    <definedName name="冊子名" localSheetId="2">[2]H20!#REF!</definedName>
    <definedName name="冊子名" localSheetId="6">[2]H20!#REF!</definedName>
    <definedName name="冊子名" localSheetId="8">[2]H20!#REF!</definedName>
    <definedName name="冊子名" localSheetId="9">[2]H20!#REF!</definedName>
    <definedName name="冊子名" localSheetId="10">[2]H20!#REF!</definedName>
    <definedName name="冊子名" localSheetId="11">[2]H20!#REF!</definedName>
    <definedName name="冊子名" localSheetId="13">[2]H20!#REF!</definedName>
    <definedName name="冊子名" localSheetId="15">[2]H20!#REF!</definedName>
    <definedName name="冊子名" localSheetId="17">[2]H20!#REF!</definedName>
    <definedName name="冊子名" localSheetId="21">[2]H20!#REF!</definedName>
    <definedName name="冊子名">[2]H20!#REF!</definedName>
    <definedName name="注" localSheetId="0">[1]H20!#REF!</definedName>
    <definedName name="注" localSheetId="2">[2]H20!#REF!</definedName>
    <definedName name="注" localSheetId="6">[2]H20!#REF!</definedName>
    <definedName name="注" localSheetId="8">[2]H20!#REF!</definedName>
    <definedName name="注" localSheetId="9">[2]H20!#REF!</definedName>
    <definedName name="注" localSheetId="10">[2]H20!#REF!</definedName>
    <definedName name="注" localSheetId="11">[2]H20!#REF!</definedName>
    <definedName name="注" localSheetId="13">[2]H20!#REF!</definedName>
    <definedName name="注" localSheetId="15">[2]H20!#REF!</definedName>
    <definedName name="注" localSheetId="17">[2]H20!#REF!</definedName>
    <definedName name="注" localSheetId="21">[2]H20!#REF!</definedName>
    <definedName name="注">[2]H20!#REF!</definedName>
    <definedName name="年" localSheetId="0">#REF!</definedName>
    <definedName name="年" localSheetId="2">#REF!</definedName>
    <definedName name="年" localSheetId="6">#REF!</definedName>
    <definedName name="年" localSheetId="8">#REF!</definedName>
    <definedName name="年" localSheetId="9">#REF!</definedName>
    <definedName name="年" localSheetId="10">#REF!</definedName>
    <definedName name="年" localSheetId="11">#REF!</definedName>
    <definedName name="年" localSheetId="13">#REF!</definedName>
    <definedName name="年" localSheetId="15">#REF!</definedName>
    <definedName name="年" localSheetId="17">#REF!</definedName>
    <definedName name="年" localSheetId="21">#REF!</definedName>
    <definedName name="年">#REF!</definedName>
    <definedName name="容量" localSheetId="0">#REF!</definedName>
    <definedName name="容量" localSheetId="2">#REF!</definedName>
    <definedName name="容量" localSheetId="6">#REF!</definedName>
    <definedName name="容量" localSheetId="8">#REF!</definedName>
    <definedName name="容量" localSheetId="9">#REF!</definedName>
    <definedName name="容量" localSheetId="10">#REF!</definedName>
    <definedName name="容量" localSheetId="11">#REF!</definedName>
    <definedName name="容量" localSheetId="13">#REF!</definedName>
    <definedName name="容量" localSheetId="15">#REF!</definedName>
    <definedName name="容量" localSheetId="17">#REF!</definedName>
    <definedName name="容量" localSheetId="21">#REF!</definedName>
    <definedName name="容量">#REF!</definedName>
  </definedNames>
  <calcPr calcId="162913"/>
</workbook>
</file>

<file path=xl/calcChain.xml><?xml version="1.0" encoding="utf-8"?>
<calcChain xmlns="http://schemas.openxmlformats.org/spreadsheetml/2006/main">
  <c r="L41" i="33" l="1"/>
  <c r="K41" i="33"/>
  <c r="J41" i="33"/>
  <c r="L40" i="33"/>
  <c r="K40" i="33"/>
  <c r="J40" i="33"/>
  <c r="L38" i="33"/>
  <c r="K38" i="33"/>
  <c r="J38" i="33"/>
  <c r="L37" i="33"/>
  <c r="K37" i="33"/>
  <c r="J37" i="33"/>
  <c r="L36" i="33"/>
  <c r="K36" i="33"/>
  <c r="J36" i="33"/>
  <c r="L35" i="33"/>
  <c r="K35" i="33"/>
  <c r="J35" i="33"/>
  <c r="F34" i="33"/>
  <c r="D34" i="33"/>
  <c r="L33" i="33"/>
  <c r="K33" i="33"/>
  <c r="J33" i="33"/>
  <c r="L32" i="33"/>
  <c r="K32" i="33"/>
  <c r="J32" i="33"/>
  <c r="L31" i="33"/>
  <c r="K31" i="33"/>
  <c r="J31" i="33"/>
  <c r="L30" i="33"/>
  <c r="K30" i="33"/>
  <c r="J30" i="33"/>
  <c r="F30" i="33"/>
  <c r="E30" i="33"/>
  <c r="D30" i="33"/>
  <c r="L29" i="33"/>
  <c r="K29" i="33"/>
  <c r="J29" i="33"/>
  <c r="F29" i="33"/>
  <c r="E29" i="33"/>
  <c r="D29" i="33"/>
  <c r="L28" i="33"/>
  <c r="K28" i="33"/>
  <c r="J28" i="33"/>
  <c r="F28" i="33"/>
  <c r="E28" i="33"/>
  <c r="D28" i="33"/>
  <c r="L27" i="33"/>
  <c r="K27" i="33"/>
  <c r="J27" i="33"/>
  <c r="F27" i="33"/>
  <c r="E27" i="33"/>
  <c r="D27" i="33"/>
  <c r="F26" i="33"/>
  <c r="E26" i="33"/>
  <c r="D26" i="33"/>
  <c r="L25" i="33"/>
  <c r="K25" i="33"/>
  <c r="J25" i="33"/>
  <c r="F25" i="33"/>
  <c r="E25" i="33"/>
  <c r="D25" i="33"/>
  <c r="L24" i="33"/>
  <c r="K24" i="33"/>
  <c r="J24" i="33"/>
  <c r="F24" i="33"/>
  <c r="E24" i="33"/>
  <c r="D24" i="33"/>
  <c r="L23" i="33"/>
  <c r="K23" i="33"/>
  <c r="J23" i="33"/>
  <c r="F23" i="33"/>
  <c r="E23" i="33"/>
  <c r="D23" i="33"/>
  <c r="L22" i="33"/>
  <c r="K22" i="33"/>
  <c r="J22" i="33"/>
  <c r="F22" i="33"/>
  <c r="E22" i="33"/>
  <c r="D22" i="33"/>
  <c r="L21" i="33"/>
  <c r="K21" i="33"/>
  <c r="J21" i="33"/>
  <c r="F21" i="33"/>
  <c r="E21" i="33"/>
  <c r="D21" i="33"/>
  <c r="L20" i="33"/>
  <c r="K20" i="33"/>
  <c r="J20" i="33"/>
  <c r="F20" i="33"/>
  <c r="E20" i="33"/>
  <c r="D20" i="33"/>
  <c r="L19" i="33"/>
  <c r="K19" i="33"/>
  <c r="J19" i="33"/>
  <c r="F19" i="33"/>
  <c r="E19" i="33"/>
  <c r="D19" i="33"/>
  <c r="L18" i="33"/>
  <c r="K18" i="33"/>
  <c r="J18" i="33"/>
  <c r="F18" i="33"/>
  <c r="E18" i="33"/>
  <c r="D18" i="33"/>
  <c r="L17" i="33"/>
  <c r="K17" i="33"/>
  <c r="J17" i="33"/>
  <c r="F17" i="33"/>
  <c r="E17" i="33"/>
  <c r="D17" i="33"/>
  <c r="L16" i="33"/>
  <c r="K16" i="33"/>
  <c r="J16" i="33"/>
  <c r="L15" i="33"/>
  <c r="K15" i="33"/>
  <c r="J15" i="33"/>
  <c r="F15" i="33"/>
  <c r="E15" i="33"/>
  <c r="D15" i="33"/>
  <c r="L14" i="33"/>
  <c r="K14" i="33"/>
  <c r="J14" i="33"/>
  <c r="F14" i="33"/>
  <c r="E14" i="33"/>
  <c r="D14" i="33"/>
  <c r="L13" i="33"/>
  <c r="K13" i="33"/>
  <c r="J13" i="33"/>
  <c r="F13" i="33"/>
  <c r="E13" i="33"/>
  <c r="D13" i="33"/>
  <c r="L12" i="33"/>
  <c r="K12" i="33"/>
  <c r="J12" i="33"/>
  <c r="F12" i="33"/>
  <c r="E12" i="33"/>
  <c r="D12" i="33"/>
  <c r="L11" i="33"/>
  <c r="K11" i="33"/>
  <c r="J11" i="33"/>
  <c r="F11" i="33"/>
  <c r="E11" i="33"/>
  <c r="D11" i="33"/>
  <c r="L10" i="33"/>
  <c r="K10" i="33"/>
  <c r="J10" i="33"/>
  <c r="F10" i="33"/>
  <c r="E10" i="33"/>
  <c r="D10" i="33"/>
  <c r="L9" i="33"/>
  <c r="K9" i="33"/>
  <c r="J9" i="33"/>
  <c r="F9" i="33"/>
  <c r="E9" i="33"/>
  <c r="D9" i="33"/>
  <c r="L8" i="33"/>
  <c r="K8" i="33"/>
  <c r="J8" i="33"/>
  <c r="L7" i="33"/>
  <c r="K7" i="33"/>
  <c r="J7" i="33"/>
  <c r="F7" i="33"/>
  <c r="E7" i="33"/>
  <c r="D7" i="33"/>
  <c r="L6" i="33"/>
  <c r="K6" i="33"/>
  <c r="J6" i="33"/>
  <c r="F6" i="33"/>
  <c r="E6" i="33"/>
  <c r="D6" i="33"/>
  <c r="K45" i="28" l="1"/>
  <c r="J45" i="28"/>
  <c r="K44" i="28"/>
  <c r="J44" i="28"/>
  <c r="K43" i="28"/>
  <c r="J43" i="28"/>
  <c r="K42" i="28"/>
  <c r="J42" i="28"/>
  <c r="K41" i="28"/>
  <c r="J41" i="28"/>
  <c r="K40" i="28"/>
  <c r="J40" i="28"/>
  <c r="K39" i="28"/>
  <c r="J39" i="28"/>
  <c r="K38" i="28"/>
  <c r="J38" i="28"/>
  <c r="K37" i="28"/>
  <c r="J37" i="28"/>
  <c r="K36" i="28"/>
  <c r="J36" i="28"/>
  <c r="K35" i="28"/>
  <c r="J35" i="28"/>
  <c r="K34" i="28"/>
  <c r="J34" i="28"/>
  <c r="K33" i="28"/>
  <c r="J33" i="28"/>
  <c r="K32" i="28"/>
  <c r="J32" i="28"/>
  <c r="K31" i="28"/>
  <c r="J31" i="28"/>
  <c r="K30" i="28"/>
  <c r="J30" i="28"/>
  <c r="K29" i="28"/>
  <c r="J29" i="28"/>
  <c r="K28" i="28"/>
  <c r="J28" i="28"/>
  <c r="K27" i="28"/>
  <c r="J27" i="28"/>
  <c r="K26" i="28"/>
  <c r="J26" i="28"/>
  <c r="K25" i="28"/>
  <c r="J25" i="28"/>
  <c r="K24" i="28"/>
  <c r="J24" i="28"/>
  <c r="K23" i="28"/>
  <c r="J23" i="28"/>
  <c r="K22" i="28"/>
  <c r="J22" i="28"/>
  <c r="K21" i="28"/>
  <c r="J21" i="28"/>
  <c r="K20" i="28"/>
  <c r="J20" i="28"/>
  <c r="K19" i="28"/>
  <c r="J19" i="28"/>
  <c r="K18" i="28"/>
  <c r="J18" i="28"/>
  <c r="K17" i="28"/>
  <c r="J17" i="28"/>
  <c r="K16" i="28"/>
  <c r="J16" i="28"/>
  <c r="K15" i="28"/>
  <c r="J15" i="28"/>
  <c r="K14" i="28"/>
  <c r="J14" i="28"/>
  <c r="K13" i="28"/>
  <c r="J13" i="28"/>
  <c r="K12" i="28"/>
  <c r="J12" i="28"/>
  <c r="K11" i="28"/>
  <c r="J11" i="28"/>
  <c r="K10" i="28"/>
  <c r="J10" i="28"/>
  <c r="K9" i="28"/>
  <c r="J9" i="28"/>
  <c r="K8" i="28"/>
  <c r="J8" i="28"/>
  <c r="K7" i="28"/>
  <c r="J7" i="28"/>
</calcChain>
</file>

<file path=xl/sharedStrings.xml><?xml version="1.0" encoding="utf-8"?>
<sst xmlns="http://schemas.openxmlformats.org/spreadsheetml/2006/main" count="1528" uniqueCount="734">
  <si>
    <t xml:space="preserve">  大阪市の数値</t>
    <rPh sb="6" eb="8">
      <t>スウチ</t>
    </rPh>
    <phoneticPr fontId="8"/>
  </si>
  <si>
    <t>年次</t>
  </si>
  <si>
    <t>各都市の全国シェア（％）</t>
    <rPh sb="0" eb="3">
      <t>カクトシ</t>
    </rPh>
    <phoneticPr fontId="8"/>
  </si>
  <si>
    <t>資料</t>
    <rPh sb="0" eb="2">
      <t>シリョウ</t>
    </rPh>
    <phoneticPr fontId="5"/>
  </si>
  <si>
    <t>大阪市</t>
  </si>
  <si>
    <t>横浜市</t>
  </si>
  <si>
    <t>京都市</t>
    <rPh sb="0" eb="3">
      <t>キョウトシ</t>
    </rPh>
    <phoneticPr fontId="5"/>
  </si>
  <si>
    <t>神戸市</t>
    <rPh sb="0" eb="3">
      <t>コウベシ</t>
    </rPh>
    <phoneticPr fontId="5"/>
  </si>
  <si>
    <t>福岡市</t>
    <rPh sb="0" eb="3">
      <t>フクオカシ</t>
    </rPh>
    <phoneticPr fontId="5"/>
  </si>
  <si>
    <t>面積</t>
  </si>
  <si>
    <t>ｋ㎡</t>
  </si>
  <si>
    <t>常住人口</t>
  </si>
  <si>
    <t>人</t>
  </si>
  <si>
    <t>昼間人口</t>
  </si>
  <si>
    <t>2015年
10月1日</t>
  </si>
  <si>
    <t>世帯数</t>
  </si>
  <si>
    <t>世帯</t>
  </si>
  <si>
    <t>市内総生産
(名目)</t>
  </si>
  <si>
    <t>百万円</t>
  </si>
  <si>
    <t>市民所得</t>
  </si>
  <si>
    <t>ヵ所</t>
  </si>
  <si>
    <t>大企業数</t>
  </si>
  <si>
    <t>社</t>
  </si>
  <si>
    <t>輸出額</t>
  </si>
  <si>
    <t>輸入額</t>
  </si>
  <si>
    <t>億円</t>
  </si>
  <si>
    <t>　地域</t>
    <rPh sb="1" eb="3">
      <t>チイキ</t>
    </rPh>
    <phoneticPr fontId="8"/>
  </si>
  <si>
    <t>2005年</t>
    <rPh sb="4" eb="5">
      <t>ネン</t>
    </rPh>
    <phoneticPr fontId="8"/>
  </si>
  <si>
    <t>2010年</t>
    <rPh sb="4" eb="5">
      <t>ネン</t>
    </rPh>
    <phoneticPr fontId="8"/>
  </si>
  <si>
    <t>2015年</t>
    <rPh sb="4" eb="5">
      <t>ネン</t>
    </rPh>
    <phoneticPr fontId="8"/>
  </si>
  <si>
    <t>2016年</t>
    <rPh sb="4" eb="5">
      <t>ネン</t>
    </rPh>
    <phoneticPr fontId="8"/>
  </si>
  <si>
    <t>2017年</t>
    <rPh sb="4" eb="5">
      <t>ネン</t>
    </rPh>
    <phoneticPr fontId="8"/>
  </si>
  <si>
    <t>2018年</t>
    <rPh sb="4" eb="5">
      <t>ネン</t>
    </rPh>
    <phoneticPr fontId="8"/>
  </si>
  <si>
    <t>全国</t>
    <rPh sb="0" eb="2">
      <t>ゼンコク</t>
    </rPh>
    <phoneticPr fontId="8"/>
  </si>
  <si>
    <t>近畿</t>
    <rPh sb="0" eb="2">
      <t>キンキ</t>
    </rPh>
    <phoneticPr fontId="8"/>
  </si>
  <si>
    <t>同（福井、
三重を除く）</t>
    <rPh sb="0" eb="1">
      <t>ドウ</t>
    </rPh>
    <rPh sb="2" eb="4">
      <t>フクイ</t>
    </rPh>
    <rPh sb="6" eb="8">
      <t>ミエ</t>
    </rPh>
    <rPh sb="9" eb="10">
      <t>ノゾ</t>
    </rPh>
    <phoneticPr fontId="8"/>
  </si>
  <si>
    <t>大阪圏</t>
    <rPh sb="0" eb="3">
      <t>オオサカケン</t>
    </rPh>
    <phoneticPr fontId="8"/>
  </si>
  <si>
    <t>大阪府</t>
    <rPh sb="0" eb="3">
      <t>オオサカフ</t>
    </rPh>
    <phoneticPr fontId="8"/>
  </si>
  <si>
    <t>大阪市</t>
    <rPh sb="0" eb="3">
      <t>オオサカシ</t>
    </rPh>
    <phoneticPr fontId="8"/>
  </si>
  <si>
    <t>東京圏</t>
    <rPh sb="0" eb="3">
      <t>トウキョウケン</t>
    </rPh>
    <phoneticPr fontId="8"/>
  </si>
  <si>
    <t>東京都</t>
    <rPh sb="0" eb="3">
      <t>トウキョウト</t>
    </rPh>
    <phoneticPr fontId="8"/>
  </si>
  <si>
    <t>東京都区部</t>
    <rPh sb="0" eb="3">
      <t>トウキョウト</t>
    </rPh>
    <rPh sb="3" eb="5">
      <t>クブ</t>
    </rPh>
    <phoneticPr fontId="8"/>
  </si>
  <si>
    <t>名古屋圏</t>
    <rPh sb="0" eb="3">
      <t>ナゴヤ</t>
    </rPh>
    <rPh sb="3" eb="4">
      <t>ケンナイ</t>
    </rPh>
    <phoneticPr fontId="8"/>
  </si>
  <si>
    <t>その他の地域</t>
    <rPh sb="2" eb="3">
      <t>タ</t>
    </rPh>
    <rPh sb="4" eb="6">
      <t>チイキ</t>
    </rPh>
    <phoneticPr fontId="8"/>
  </si>
  <si>
    <t>2014年</t>
    <rPh sb="4" eb="5">
      <t>ネン</t>
    </rPh>
    <phoneticPr fontId="5"/>
  </si>
  <si>
    <t>2015年</t>
    <rPh sb="4" eb="5">
      <t>ネン</t>
    </rPh>
    <phoneticPr fontId="5"/>
  </si>
  <si>
    <t>2016年</t>
    <rPh sb="4" eb="5">
      <t>ネン</t>
    </rPh>
    <phoneticPr fontId="5"/>
  </si>
  <si>
    <t>－</t>
  </si>
  <si>
    <t>鉱業</t>
  </si>
  <si>
    <t>金融・保険業</t>
  </si>
  <si>
    <t>市税決算額</t>
    <rPh sb="0" eb="1">
      <t>シ</t>
    </rPh>
    <rPh sb="1" eb="2">
      <t>ゼイ</t>
    </rPh>
    <rPh sb="2" eb="4">
      <t>ケッサン</t>
    </rPh>
    <rPh sb="4" eb="5">
      <t>ガク</t>
    </rPh>
    <phoneticPr fontId="32"/>
  </si>
  <si>
    <t>法人分</t>
    <rPh sb="0" eb="2">
      <t>ホウジン</t>
    </rPh>
    <rPh sb="2" eb="3">
      <t>フン</t>
    </rPh>
    <phoneticPr fontId="32"/>
  </si>
  <si>
    <t>構成比</t>
    <rPh sb="0" eb="3">
      <t>コウセイヒ</t>
    </rPh>
    <phoneticPr fontId="32"/>
  </si>
  <si>
    <t>(億円)</t>
    <rPh sb="1" eb="2">
      <t>オク</t>
    </rPh>
    <phoneticPr fontId="32"/>
  </si>
  <si>
    <t>北区</t>
    <rPh sb="0" eb="2">
      <t>キタク</t>
    </rPh>
    <phoneticPr fontId="32"/>
  </si>
  <si>
    <t>東淀川区</t>
    <rPh sb="0" eb="4">
      <t>ヒガシヨドガワク</t>
    </rPh>
    <phoneticPr fontId="32"/>
  </si>
  <si>
    <t>都島区</t>
    <rPh sb="0" eb="3">
      <t>ミヤコジマク</t>
    </rPh>
    <phoneticPr fontId="32"/>
  </si>
  <si>
    <t>東成区</t>
    <rPh sb="0" eb="3">
      <t>ヒガシナリク</t>
    </rPh>
    <phoneticPr fontId="32"/>
  </si>
  <si>
    <t>福島区</t>
    <rPh sb="0" eb="3">
      <t>フクシマク</t>
    </rPh>
    <phoneticPr fontId="32"/>
  </si>
  <si>
    <t>生野区</t>
    <rPh sb="0" eb="3">
      <t>イクノク</t>
    </rPh>
    <phoneticPr fontId="32"/>
  </si>
  <si>
    <t>此花区</t>
    <rPh sb="0" eb="3">
      <t>コノハナク</t>
    </rPh>
    <phoneticPr fontId="32"/>
  </si>
  <si>
    <t>旭区</t>
    <rPh sb="0" eb="2">
      <t>アサヒク</t>
    </rPh>
    <phoneticPr fontId="32"/>
  </si>
  <si>
    <t>中央区</t>
    <rPh sb="0" eb="3">
      <t>チュウオウク</t>
    </rPh>
    <phoneticPr fontId="32"/>
  </si>
  <si>
    <t>城東区</t>
    <rPh sb="0" eb="3">
      <t>ジョウトウク</t>
    </rPh>
    <phoneticPr fontId="32"/>
  </si>
  <si>
    <t>西区</t>
    <rPh sb="0" eb="2">
      <t>ニシク</t>
    </rPh>
    <phoneticPr fontId="32"/>
  </si>
  <si>
    <t>鶴見区</t>
    <rPh sb="0" eb="3">
      <t>ツルミク</t>
    </rPh>
    <phoneticPr fontId="32"/>
  </si>
  <si>
    <t>港区</t>
    <rPh sb="0" eb="2">
      <t>ミナトク</t>
    </rPh>
    <phoneticPr fontId="32"/>
  </si>
  <si>
    <t>阿倍野区</t>
    <rPh sb="0" eb="4">
      <t>アベノク</t>
    </rPh>
    <phoneticPr fontId="32"/>
  </si>
  <si>
    <t>大正区</t>
    <rPh sb="0" eb="3">
      <t>タイショウク</t>
    </rPh>
    <phoneticPr fontId="32"/>
  </si>
  <si>
    <t>住之江区</t>
    <rPh sb="0" eb="4">
      <t>スミノエク</t>
    </rPh>
    <phoneticPr fontId="32"/>
  </si>
  <si>
    <t>天王寺区</t>
    <rPh sb="0" eb="4">
      <t>テンノウジク</t>
    </rPh>
    <phoneticPr fontId="32"/>
  </si>
  <si>
    <t>住吉区</t>
    <rPh sb="0" eb="3">
      <t>スミヨシク</t>
    </rPh>
    <phoneticPr fontId="32"/>
  </si>
  <si>
    <t>浪速区</t>
    <rPh sb="0" eb="3">
      <t>ナニワク</t>
    </rPh>
    <phoneticPr fontId="32"/>
  </si>
  <si>
    <t>東住吉区</t>
    <rPh sb="0" eb="4">
      <t>ヒガシスミヨシク</t>
    </rPh>
    <phoneticPr fontId="32"/>
  </si>
  <si>
    <t>西淀川区</t>
    <rPh sb="0" eb="4">
      <t>ニシヨドガワク</t>
    </rPh>
    <phoneticPr fontId="32"/>
  </si>
  <si>
    <t>平野区</t>
    <rPh sb="0" eb="3">
      <t>ヒラノク</t>
    </rPh>
    <phoneticPr fontId="32"/>
  </si>
  <si>
    <t>淀川区</t>
    <rPh sb="0" eb="3">
      <t>ヨドガワク</t>
    </rPh>
    <phoneticPr fontId="32"/>
  </si>
  <si>
    <t>西成区</t>
    <rPh sb="0" eb="3">
      <t>ニシナリク</t>
    </rPh>
    <phoneticPr fontId="32"/>
  </si>
  <si>
    <t>総数</t>
    <rPh sb="0" eb="2">
      <t>ソウスウ</t>
    </rPh>
    <phoneticPr fontId="32"/>
  </si>
  <si>
    <t>05.区別市税決算額【大阪市】</t>
    <rPh sb="3" eb="5">
      <t>クベツ</t>
    </rPh>
    <rPh sb="5" eb="6">
      <t>シ</t>
    </rPh>
    <rPh sb="6" eb="7">
      <t>ゼイ</t>
    </rPh>
    <rPh sb="7" eb="9">
      <t>ケッサン</t>
    </rPh>
    <rPh sb="9" eb="10">
      <t>ガク</t>
    </rPh>
    <rPh sb="11" eb="14">
      <t>オオサカシ</t>
    </rPh>
    <phoneticPr fontId="32"/>
  </si>
  <si>
    <t>事業所数</t>
    <rPh sb="0" eb="3">
      <t>ジギョウショ</t>
    </rPh>
    <rPh sb="3" eb="4">
      <t>スウ</t>
    </rPh>
    <phoneticPr fontId="8"/>
  </si>
  <si>
    <t>（単位：ヵ所、％）</t>
    <rPh sb="1" eb="3">
      <t>タンイ</t>
    </rPh>
    <rPh sb="5" eb="6">
      <t>ショ</t>
    </rPh>
    <phoneticPr fontId="8"/>
  </si>
  <si>
    <t>従業者数</t>
    <rPh sb="0" eb="3">
      <t>ジュウギョウシャ</t>
    </rPh>
    <rPh sb="3" eb="4">
      <t>スウ</t>
    </rPh>
    <phoneticPr fontId="8"/>
  </si>
  <si>
    <t>（単位：人、％）</t>
    <rPh sb="1" eb="3">
      <t>タンイ</t>
    </rPh>
    <rPh sb="4" eb="5">
      <t>ニン</t>
    </rPh>
    <phoneticPr fontId="8"/>
  </si>
  <si>
    <t>2009年</t>
    <rPh sb="4" eb="5">
      <t>ネン</t>
    </rPh>
    <phoneticPr fontId="3"/>
  </si>
  <si>
    <t>2012年</t>
    <rPh sb="4" eb="5">
      <t>ネン</t>
    </rPh>
    <phoneticPr fontId="3"/>
  </si>
  <si>
    <t>実数</t>
  </si>
  <si>
    <t>対06年増減率</t>
    <rPh sb="0" eb="1">
      <t>タイ</t>
    </rPh>
    <rPh sb="3" eb="4">
      <t>ネン</t>
    </rPh>
    <rPh sb="4" eb="6">
      <t>ゾウゲン</t>
    </rPh>
    <rPh sb="6" eb="7">
      <t>リツ</t>
    </rPh>
    <phoneticPr fontId="8"/>
  </si>
  <si>
    <t>対09年増減率</t>
    <rPh sb="0" eb="1">
      <t>タイ</t>
    </rPh>
    <rPh sb="3" eb="4">
      <t>ネン</t>
    </rPh>
    <rPh sb="4" eb="6">
      <t>ゾウゲン</t>
    </rPh>
    <rPh sb="6" eb="7">
      <t>リツ</t>
    </rPh>
    <phoneticPr fontId="8"/>
  </si>
  <si>
    <t>全産業 計</t>
  </si>
  <si>
    <t>建設業</t>
  </si>
  <si>
    <t>製造業</t>
  </si>
  <si>
    <t>情報通信業</t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</si>
  <si>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</si>
  <si>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2" eb="3">
      <t>ギョウ</t>
    </rPh>
    <phoneticPr fontId="8"/>
  </si>
  <si>
    <t>卸売業</t>
  </si>
  <si>
    <t>小売業</t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</si>
  <si>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</si>
  <si>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宿泊業，飲食サービス業（飲食店）</t>
    <rPh sb="12" eb="14">
      <t>インショク</t>
    </rPh>
    <rPh sb="14" eb="15">
      <t>テン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</si>
  <si>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</si>
  <si>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</si>
  <si>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</si>
  <si>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ジ</t>
    </rPh>
    <rPh sb="7" eb="8">
      <t>ギョウ</t>
    </rPh>
    <phoneticPr fontId="3"/>
  </si>
  <si>
    <t>2014年</t>
    <rPh sb="4" eb="5">
      <t>ネン</t>
    </rPh>
    <phoneticPr fontId="3"/>
  </si>
  <si>
    <t>2016年</t>
    <rPh sb="4" eb="5">
      <t>ネン</t>
    </rPh>
    <phoneticPr fontId="3"/>
  </si>
  <si>
    <t>対12年増減率</t>
    <rPh sb="0" eb="1">
      <t>タイ</t>
    </rPh>
    <rPh sb="3" eb="4">
      <t>ネン</t>
    </rPh>
    <rPh sb="4" eb="6">
      <t>ゾウゲン</t>
    </rPh>
    <rPh sb="6" eb="7">
      <t>リツ</t>
    </rPh>
    <phoneticPr fontId="8"/>
  </si>
  <si>
    <t>対14年増減率</t>
    <rPh sb="0" eb="1">
      <t>タイ</t>
    </rPh>
    <rPh sb="3" eb="4">
      <t>ネン</t>
    </rPh>
    <rPh sb="4" eb="6">
      <t>ゾウゲン</t>
    </rPh>
    <rPh sb="6" eb="7">
      <t>リツ</t>
    </rPh>
    <phoneticPr fontId="8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</si>
  <si>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</si>
  <si>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　</t>
    <phoneticPr fontId="8"/>
  </si>
  <si>
    <t>06．事業所数、従業者数の推移 [ 大阪市 ]</t>
    <phoneticPr fontId="3"/>
  </si>
  <si>
    <t>（単位：ヵ所）</t>
    <rPh sb="1" eb="3">
      <t>タンイ</t>
    </rPh>
    <rPh sb="5" eb="6">
      <t>ショ</t>
    </rPh>
    <phoneticPr fontId="8"/>
  </si>
  <si>
    <t>開業率（％）</t>
    <rPh sb="0" eb="3">
      <t>カイギョウリツ</t>
    </rPh>
    <phoneticPr fontId="8"/>
  </si>
  <si>
    <t>廃業率（％）</t>
    <rPh sb="0" eb="2">
      <t>ハイギョウ</t>
    </rPh>
    <rPh sb="2" eb="3">
      <t>リツ</t>
    </rPh>
    <phoneticPr fontId="8"/>
  </si>
  <si>
    <t>存続
事業所</t>
    <phoneticPr fontId="8"/>
  </si>
  <si>
    <t>新設
事業所</t>
    <phoneticPr fontId="8"/>
  </si>
  <si>
    <t>横浜市</t>
    <rPh sb="0" eb="3">
      <t>ヨコハマシ</t>
    </rPh>
    <phoneticPr fontId="8"/>
  </si>
  <si>
    <t>名古屋市</t>
    <rPh sb="0" eb="3">
      <t>ナゴヤ</t>
    </rPh>
    <rPh sb="3" eb="4">
      <t>シ</t>
    </rPh>
    <phoneticPr fontId="8"/>
  </si>
  <si>
    <t>京都市</t>
    <rPh sb="0" eb="3">
      <t>キョウトシ</t>
    </rPh>
    <phoneticPr fontId="8"/>
  </si>
  <si>
    <t>神戸市</t>
    <rPh sb="0" eb="3">
      <t>コウベシ</t>
    </rPh>
    <phoneticPr fontId="8"/>
  </si>
  <si>
    <t>福岡市</t>
    <rPh sb="0" eb="3">
      <t>フクオカシ</t>
    </rPh>
    <phoneticPr fontId="8"/>
  </si>
  <si>
    <t>存続
事業所</t>
    <phoneticPr fontId="8"/>
  </si>
  <si>
    <t>新設
事業所</t>
    <phoneticPr fontId="8"/>
  </si>
  <si>
    <t>　北区</t>
  </si>
  <si>
    <t>　都島区</t>
  </si>
  <si>
    <t>　福島区</t>
  </si>
  <si>
    <t>　此花区</t>
  </si>
  <si>
    <t>　中央区</t>
  </si>
  <si>
    <t>　西区</t>
  </si>
  <si>
    <t>　港区</t>
  </si>
  <si>
    <t>　大正区</t>
  </si>
  <si>
    <t>　天王寺区</t>
  </si>
  <si>
    <t>　浪速区</t>
  </si>
  <si>
    <t>　西淀川区</t>
  </si>
  <si>
    <t>　淀川区</t>
  </si>
  <si>
    <t>　東淀川区</t>
  </si>
  <si>
    <t>　東成区</t>
  </si>
  <si>
    <t>　生野区</t>
  </si>
  <si>
    <t>　旭区</t>
  </si>
  <si>
    <t>　城東区</t>
  </si>
  <si>
    <t>　鶴見区</t>
  </si>
  <si>
    <t>　阿倍野区</t>
  </si>
  <si>
    <t>　住之江区</t>
  </si>
  <si>
    <t>　住吉区</t>
  </si>
  <si>
    <t>　東住吉区</t>
  </si>
  <si>
    <t>　平野区</t>
  </si>
  <si>
    <t>　西成区</t>
  </si>
  <si>
    <t>事業所数</t>
  </si>
  <si>
    <t>従業者数</t>
  </si>
  <si>
    <t>07．事業所の開業率、廃業率 [ 大阪市区別、他都市、全国 ]</t>
    <phoneticPr fontId="3"/>
  </si>
  <si>
    <t>総数(存続・新設)　〔2016年6月1日時点〕</t>
    <rPh sb="17" eb="18">
      <t>ガツ</t>
    </rPh>
    <rPh sb="19" eb="20">
      <t>ニチ</t>
    </rPh>
    <rPh sb="20" eb="22">
      <t>ジテン</t>
    </rPh>
    <phoneticPr fontId="8"/>
  </si>
  <si>
    <t>廃業事業所〔2014年7月～16年6月1日の間〕</t>
    <rPh sb="20" eb="21">
      <t>ニチ</t>
    </rPh>
    <phoneticPr fontId="8"/>
  </si>
  <si>
    <t>廃業事業所〔2014年7月～16年6月の間〕</t>
    <phoneticPr fontId="8"/>
  </si>
  <si>
    <t>（単位：ヵ所、％）</t>
    <phoneticPr fontId="3"/>
  </si>
  <si>
    <t>全企業（A)</t>
    <rPh sb="0" eb="3">
      <t>ゼンキギョウ</t>
    </rPh>
    <phoneticPr fontId="8"/>
  </si>
  <si>
    <t>中小企業（B)</t>
    <phoneticPr fontId="8"/>
  </si>
  <si>
    <t>小規模企業（C)</t>
    <rPh sb="1" eb="3">
      <t>キボ</t>
    </rPh>
    <phoneticPr fontId="8"/>
  </si>
  <si>
    <t>構成比</t>
    <phoneticPr fontId="3"/>
  </si>
  <si>
    <t>Ｂ／Ａ</t>
    <phoneticPr fontId="3"/>
  </si>
  <si>
    <t>Ｃ／Ａ</t>
    <phoneticPr fontId="3"/>
  </si>
  <si>
    <t>農林漁業</t>
  </si>
  <si>
    <t>電気・ガス・熱供給・水道業</t>
  </si>
  <si>
    <t>情報・通信業</t>
    <rPh sb="0" eb="2">
      <t>ジョウホウ</t>
    </rPh>
    <phoneticPr fontId="3"/>
  </si>
  <si>
    <t>通信業</t>
  </si>
  <si>
    <t>放送業</t>
  </si>
  <si>
    <t>情報サービス業</t>
  </si>
  <si>
    <t>インターネット附随サービス業</t>
  </si>
  <si>
    <t>映像・音声・文字情報制作業</t>
  </si>
  <si>
    <t>運輸業・郵便業</t>
    <rPh sb="0" eb="3">
      <t>ウンユギョウ</t>
    </rPh>
    <rPh sb="4" eb="6">
      <t>ユウビン</t>
    </rPh>
    <rPh sb="6" eb="7">
      <t>ギョウ</t>
    </rPh>
    <phoneticPr fontId="3"/>
  </si>
  <si>
    <t>卸売･小売業</t>
    <phoneticPr fontId="3"/>
  </si>
  <si>
    <t xml:space="preserve"> 卸売業</t>
    <phoneticPr fontId="8"/>
  </si>
  <si>
    <t xml:space="preserve"> 小売業</t>
    <phoneticPr fontId="8"/>
  </si>
  <si>
    <t>不動産業・物品賃貸業</t>
    <rPh sb="5" eb="7">
      <t>ブッピン</t>
    </rPh>
    <rPh sb="7" eb="10">
      <t>チンタイギョウ</t>
    </rPh>
    <phoneticPr fontId="8"/>
  </si>
  <si>
    <t>学術研究，専門・技術サービス業</t>
  </si>
  <si>
    <t>飲食店・宿泊業</t>
    <rPh sb="4" eb="6">
      <t>シュクハク</t>
    </rPh>
    <rPh sb="6" eb="7">
      <t>ギョウ</t>
    </rPh>
    <phoneticPr fontId="3"/>
  </si>
  <si>
    <t>宿泊業</t>
    <rPh sb="0" eb="2">
      <t>シュクハク</t>
    </rPh>
    <rPh sb="2" eb="3">
      <t>ギョウ</t>
    </rPh>
    <phoneticPr fontId="8"/>
  </si>
  <si>
    <t>飲食店</t>
    <rPh sb="0" eb="2">
      <t>インショク</t>
    </rPh>
    <rPh sb="2" eb="3">
      <t>テン</t>
    </rPh>
    <phoneticPr fontId="8"/>
  </si>
  <si>
    <t>持ち帰り・配達飲食サービス業</t>
  </si>
  <si>
    <t>生活関連サービス業，娯楽業</t>
  </si>
  <si>
    <t>教育・学習支援業</t>
  </si>
  <si>
    <t>医療・福祉</t>
  </si>
  <si>
    <t>複合サービス事業</t>
    <rPh sb="6" eb="8">
      <t>ジギョウ</t>
    </rPh>
    <phoneticPr fontId="3"/>
  </si>
  <si>
    <t>（単位：人、％）</t>
    <rPh sb="4" eb="5">
      <t>ヒト</t>
    </rPh>
    <phoneticPr fontId="3"/>
  </si>
  <si>
    <t>業種</t>
    <rPh sb="0" eb="2">
      <t>ギョウシュ</t>
    </rPh>
    <phoneticPr fontId="3"/>
  </si>
  <si>
    <t>従業者数</t>
    <rPh sb="0" eb="1">
      <t>ジュウ</t>
    </rPh>
    <rPh sb="1" eb="4">
      <t>ギョウシャスウ</t>
    </rPh>
    <phoneticPr fontId="3"/>
  </si>
  <si>
    <t>中小企業</t>
    <rPh sb="0" eb="2">
      <t>チュウショウ</t>
    </rPh>
    <rPh sb="2" eb="4">
      <t>キギョウ</t>
    </rPh>
    <phoneticPr fontId="3"/>
  </si>
  <si>
    <t>「小売業」「飲食店」「持ち帰り・配達飲食サービス業」</t>
    <rPh sb="1" eb="4">
      <t>コウリギョウ</t>
    </rPh>
    <rPh sb="6" eb="8">
      <t>インショク</t>
    </rPh>
    <rPh sb="8" eb="9">
      <t>テン</t>
    </rPh>
    <rPh sb="11" eb="12">
      <t>モ</t>
    </rPh>
    <rPh sb="13" eb="14">
      <t>カエ</t>
    </rPh>
    <rPh sb="16" eb="18">
      <t>ハイタツ</t>
    </rPh>
    <rPh sb="18" eb="20">
      <t>インショク</t>
    </rPh>
    <rPh sb="24" eb="25">
      <t>ギョウ</t>
    </rPh>
    <phoneticPr fontId="3"/>
  </si>
  <si>
    <t>49人以下</t>
    <rPh sb="2" eb="5">
      <t>ニンイカ</t>
    </rPh>
    <phoneticPr fontId="3"/>
  </si>
  <si>
    <t xml:space="preserve"> ｢放送業」「情報サービス業」「映像・音声・文字情報制作業」「インターネット付随サービス業」 ｢卸売業｣「宿泊業」「医療・福祉」「教育・学習支援業」「学術研究，専門・技術サービス業」　「複合サービス事業」「生活関連サービス業、娯楽業」「サービス業（他に分類されないもの）」</t>
    <rPh sb="38" eb="40">
      <t>フズイ</t>
    </rPh>
    <rPh sb="44" eb="45">
      <t>ギョウ</t>
    </rPh>
    <rPh sb="75" eb="77">
      <t>ガクジュツ</t>
    </rPh>
    <rPh sb="77" eb="79">
      <t>ケンキュウ</t>
    </rPh>
    <rPh sb="80" eb="82">
      <t>センモン</t>
    </rPh>
    <rPh sb="83" eb="85">
      <t>ギジュツ</t>
    </rPh>
    <rPh sb="89" eb="90">
      <t>ギョウ</t>
    </rPh>
    <rPh sb="99" eb="100">
      <t>ジ</t>
    </rPh>
    <rPh sb="103" eb="105">
      <t>セイカツ</t>
    </rPh>
    <rPh sb="105" eb="107">
      <t>カンレン</t>
    </rPh>
    <rPh sb="111" eb="112">
      <t>ギョウ</t>
    </rPh>
    <rPh sb="113" eb="116">
      <t>ゴラクギョウ</t>
    </rPh>
    <phoneticPr fontId="3"/>
  </si>
  <si>
    <t>99人以下</t>
    <rPh sb="2" eb="5">
      <t>ニンイカ</t>
    </rPh>
    <phoneticPr fontId="3"/>
  </si>
  <si>
    <t>その他の業種</t>
    <rPh sb="2" eb="3">
      <t>タ</t>
    </rPh>
    <rPh sb="4" eb="6">
      <t>ギョウシュ</t>
    </rPh>
    <phoneticPr fontId="3"/>
  </si>
  <si>
    <t>299人以下</t>
    <rPh sb="3" eb="4">
      <t>ニン</t>
    </rPh>
    <rPh sb="4" eb="6">
      <t>イカ</t>
    </rPh>
    <phoneticPr fontId="3"/>
  </si>
  <si>
    <t>小規模企業</t>
    <rPh sb="0" eb="3">
      <t>ショウキボ</t>
    </rPh>
    <rPh sb="3" eb="5">
      <t>キギョウ</t>
    </rPh>
    <phoneticPr fontId="3"/>
  </si>
  <si>
    <t xml:space="preserve"> ｢放送業」「情報サービス業」「映像・音声・文字情報制作業」「インターネット付随サービス業」 ｢卸売業｣「小売業」「飲食店」「持ち帰り・配達飲食サービス業」「宿泊業」「医療・福祉」「教育・学習支援業」「学術研究，専門・技術サービス業」　「複合サービス事業」「生活関連サービス業、娯楽業」「サービス業（他に分類されないもの）」</t>
    <rPh sb="38" eb="40">
      <t>フズイ</t>
    </rPh>
    <rPh sb="44" eb="45">
      <t>ギョウ</t>
    </rPh>
    <rPh sb="53" eb="56">
      <t>コウリギョウ</t>
    </rPh>
    <rPh sb="58" eb="60">
      <t>インショク</t>
    </rPh>
    <rPh sb="60" eb="61">
      <t>テン</t>
    </rPh>
    <rPh sb="101" eb="103">
      <t>ガクジュツ</t>
    </rPh>
    <rPh sb="103" eb="105">
      <t>ケンキュウ</t>
    </rPh>
    <rPh sb="106" eb="108">
      <t>センモン</t>
    </rPh>
    <rPh sb="109" eb="111">
      <t>ギジュツ</t>
    </rPh>
    <rPh sb="115" eb="116">
      <t>ギョウ</t>
    </rPh>
    <rPh sb="125" eb="126">
      <t>ジ</t>
    </rPh>
    <rPh sb="129" eb="131">
      <t>セイカツ</t>
    </rPh>
    <rPh sb="131" eb="133">
      <t>カンレン</t>
    </rPh>
    <rPh sb="137" eb="138">
      <t>ギョウ</t>
    </rPh>
    <rPh sb="139" eb="142">
      <t>ゴラクギョウ</t>
    </rPh>
    <phoneticPr fontId="3"/>
  </si>
  <si>
    <t>4人以下</t>
    <rPh sb="1" eb="4">
      <t>ニンイカ</t>
    </rPh>
    <phoneticPr fontId="3"/>
  </si>
  <si>
    <t>19人以下</t>
    <rPh sb="2" eb="5">
      <t>ニンイカ</t>
    </rPh>
    <phoneticPr fontId="3"/>
  </si>
  <si>
    <t>08．中小企業の事業所数、従業者数の比率 [ 大阪市 ]</t>
    <phoneticPr fontId="3"/>
  </si>
  <si>
    <r>
      <t>サービス業</t>
    </r>
    <r>
      <rPr>
        <sz val="9"/>
        <rFont val="ＭＳ Ｐゴシック"/>
        <family val="3"/>
        <charset val="128"/>
      </rPr>
      <t>（他に分類されないもの）</t>
    </r>
    <phoneticPr fontId="3"/>
  </si>
  <si>
    <t>資料：総務省「経済センサス－活動調査｣2016年</t>
    <rPh sb="14" eb="16">
      <t>カツドウ</t>
    </rPh>
    <phoneticPr fontId="8"/>
  </si>
  <si>
    <t>従業者数</t>
    <rPh sb="0" eb="1">
      <t>ジュウ</t>
    </rPh>
    <rPh sb="1" eb="4">
      <t>ギョウシャスウ</t>
    </rPh>
    <phoneticPr fontId="8"/>
  </si>
  <si>
    <t>（単位：人）</t>
    <rPh sb="1" eb="3">
      <t>タンイ</t>
    </rPh>
    <rPh sb="4" eb="5">
      <t>ヒト</t>
    </rPh>
    <phoneticPr fontId="8"/>
  </si>
  <si>
    <t>2001年</t>
    <rPh sb="4" eb="5">
      <t>ネン</t>
    </rPh>
    <phoneticPr fontId="8"/>
  </si>
  <si>
    <t>2004年</t>
    <rPh sb="4" eb="5">
      <t>ネン</t>
    </rPh>
    <phoneticPr fontId="8"/>
  </si>
  <si>
    <t>2006年</t>
    <rPh sb="4" eb="5">
      <t>ネン</t>
    </rPh>
    <phoneticPr fontId="8"/>
  </si>
  <si>
    <t>2009年</t>
    <rPh sb="4" eb="5">
      <t>ネン</t>
    </rPh>
    <phoneticPr fontId="8"/>
  </si>
  <si>
    <t>2012年</t>
    <rPh sb="4" eb="5">
      <t>ネン</t>
    </rPh>
    <phoneticPr fontId="8"/>
  </si>
  <si>
    <t>2014年</t>
    <rPh sb="4" eb="5">
      <t>ネン</t>
    </rPh>
    <phoneticPr fontId="8"/>
  </si>
  <si>
    <t>大阪市</t>
    <rPh sb="0" eb="2">
      <t>オオサカ</t>
    </rPh>
    <phoneticPr fontId="8"/>
  </si>
  <si>
    <t>都心部地域計</t>
    <rPh sb="2" eb="3">
      <t>ブ</t>
    </rPh>
    <rPh sb="3" eb="5">
      <t>チイキ</t>
    </rPh>
    <phoneticPr fontId="8"/>
  </si>
  <si>
    <t>西部臨海部地域計</t>
    <rPh sb="0" eb="2">
      <t>セイブ</t>
    </rPh>
    <rPh sb="2" eb="4">
      <t>リンカイ</t>
    </rPh>
    <rPh sb="4" eb="5">
      <t>ブ</t>
    </rPh>
    <rPh sb="5" eb="7">
      <t>チイキ</t>
    </rPh>
    <phoneticPr fontId="8"/>
  </si>
  <si>
    <t>北東部地域計</t>
    <rPh sb="2" eb="3">
      <t>ブ</t>
    </rPh>
    <rPh sb="3" eb="5">
      <t>チイキ</t>
    </rPh>
    <phoneticPr fontId="8"/>
  </si>
  <si>
    <t>東部地域計</t>
    <rPh sb="2" eb="4">
      <t>チイキ</t>
    </rPh>
    <phoneticPr fontId="8"/>
  </si>
  <si>
    <t>　城東区</t>
    <phoneticPr fontId="8"/>
  </si>
  <si>
    <t>南部地域計</t>
    <rPh sb="2" eb="4">
      <t>チイキ</t>
    </rPh>
    <phoneticPr fontId="8"/>
  </si>
  <si>
    <t>09．区別事業所数、従業者数の推移 [ 大阪市 ]</t>
    <phoneticPr fontId="3"/>
  </si>
  <si>
    <t>（単位：ヶ所、％）</t>
    <phoneticPr fontId="8"/>
  </si>
  <si>
    <t>製造品出荷額等　</t>
  </si>
  <si>
    <t>2011年</t>
    <rPh sb="4" eb="5">
      <t>ネン</t>
    </rPh>
    <phoneticPr fontId="8"/>
  </si>
  <si>
    <t>2013年（4人以上）</t>
    <rPh sb="4" eb="5">
      <t>ネン</t>
    </rPh>
    <rPh sb="7" eb="8">
      <t>ニン</t>
    </rPh>
    <rPh sb="8" eb="10">
      <t>イジョウ</t>
    </rPh>
    <phoneticPr fontId="8"/>
  </si>
  <si>
    <t>2015年（4人以上）</t>
    <rPh sb="4" eb="5">
      <t>ネン</t>
    </rPh>
    <rPh sb="7" eb="8">
      <t>ニン</t>
    </rPh>
    <rPh sb="8" eb="10">
      <t>イジョウ</t>
    </rPh>
    <phoneticPr fontId="8"/>
  </si>
  <si>
    <t>構成比</t>
  </si>
  <si>
    <t>製造業　計</t>
    <rPh sb="0" eb="3">
      <t>セイゾウギョウ</t>
    </rPh>
    <phoneticPr fontId="8"/>
  </si>
  <si>
    <t>基礎素材型</t>
  </si>
  <si>
    <t>木材・木製品</t>
  </si>
  <si>
    <t>パルプ・紙</t>
  </si>
  <si>
    <t>化学工業</t>
    <rPh sb="2" eb="4">
      <t>コウギョウ</t>
    </rPh>
    <phoneticPr fontId="8"/>
  </si>
  <si>
    <t>石油製品</t>
  </si>
  <si>
    <t>プラスチック製品</t>
  </si>
  <si>
    <t>ゴム製品</t>
  </si>
  <si>
    <t>窯業・土石</t>
  </si>
  <si>
    <t>鉄鋼</t>
  </si>
  <si>
    <t>非鉄金属</t>
  </si>
  <si>
    <t>金属製品</t>
  </si>
  <si>
    <t>加工組立型</t>
  </si>
  <si>
    <t>はん用機器</t>
    <rPh sb="2" eb="3">
      <t>ヨウ</t>
    </rPh>
    <rPh sb="3" eb="5">
      <t>キキ</t>
    </rPh>
    <phoneticPr fontId="8"/>
  </si>
  <si>
    <t>生産用機器</t>
    <rPh sb="0" eb="2">
      <t>セイサン</t>
    </rPh>
    <rPh sb="2" eb="5">
      <t>ヨウキキ</t>
    </rPh>
    <phoneticPr fontId="8"/>
  </si>
  <si>
    <t>業務用機器</t>
    <rPh sb="0" eb="3">
      <t>ギョウムヨウ</t>
    </rPh>
    <rPh sb="3" eb="5">
      <t>キキ</t>
    </rPh>
    <phoneticPr fontId="8"/>
  </si>
  <si>
    <t>電子部品・デバイス</t>
    <rPh sb="0" eb="2">
      <t>デンシ</t>
    </rPh>
    <rPh sb="2" eb="4">
      <t>ブヒン</t>
    </rPh>
    <phoneticPr fontId="8"/>
  </si>
  <si>
    <t>電気機器</t>
    <rPh sb="2" eb="4">
      <t>キキ</t>
    </rPh>
    <phoneticPr fontId="8"/>
  </si>
  <si>
    <t>情報通信機器</t>
    <rPh sb="0" eb="2">
      <t>ジョウホウ</t>
    </rPh>
    <rPh sb="2" eb="4">
      <t>ツウシン</t>
    </rPh>
    <rPh sb="4" eb="6">
      <t>キキ</t>
    </rPh>
    <phoneticPr fontId="8"/>
  </si>
  <si>
    <t>輸送用機器</t>
    <rPh sb="2" eb="3">
      <t>ヨウ</t>
    </rPh>
    <rPh sb="3" eb="5">
      <t>キキ</t>
    </rPh>
    <phoneticPr fontId="8"/>
  </si>
  <si>
    <t>生活関連型</t>
  </si>
  <si>
    <t>食料品</t>
  </si>
  <si>
    <t>飲料・飼料・たばこ</t>
  </si>
  <si>
    <t>繊維</t>
  </si>
  <si>
    <t>家具・装備品</t>
  </si>
  <si>
    <t>印刷・同関連</t>
    <rPh sb="0" eb="2">
      <t>インサツ</t>
    </rPh>
    <rPh sb="3" eb="4">
      <t>ドウ</t>
    </rPh>
    <rPh sb="4" eb="6">
      <t>カンレン</t>
    </rPh>
    <phoneticPr fontId="8"/>
  </si>
  <si>
    <t>なめし革・毛皮</t>
    <rPh sb="3" eb="4">
      <t>カワ</t>
    </rPh>
    <phoneticPr fontId="8"/>
  </si>
  <si>
    <t>その他</t>
  </si>
  <si>
    <t>付加価値額</t>
  </si>
  <si>
    <t>2011年(4人以上)</t>
    <rPh sb="4" eb="5">
      <t>ネン</t>
    </rPh>
    <rPh sb="7" eb="8">
      <t>ニン</t>
    </rPh>
    <rPh sb="8" eb="10">
      <t>イジョウ</t>
    </rPh>
    <phoneticPr fontId="8"/>
  </si>
  <si>
    <t>2013年(4人以上)</t>
    <rPh sb="4" eb="5">
      <t>ネン</t>
    </rPh>
    <rPh sb="7" eb="8">
      <t>ニン</t>
    </rPh>
    <rPh sb="8" eb="10">
      <t>イジョウ</t>
    </rPh>
    <phoneticPr fontId="8"/>
  </si>
  <si>
    <t>2015年(4人以上)</t>
    <rPh sb="4" eb="5">
      <t>ネン</t>
    </rPh>
    <rPh sb="7" eb="8">
      <t>ニン</t>
    </rPh>
    <rPh sb="8" eb="10">
      <t>イジョウ</t>
    </rPh>
    <phoneticPr fontId="8"/>
  </si>
  <si>
    <t>　　</t>
    <phoneticPr fontId="8"/>
  </si>
  <si>
    <t>10．製造業の業種別状況の推移 [ 大阪市、全規模事業所 ]</t>
    <phoneticPr fontId="3"/>
  </si>
  <si>
    <t>（単位：ヵ所、人、百万円、％）</t>
    <rPh sb="1" eb="3">
      <t>タンイ</t>
    </rPh>
    <rPh sb="5" eb="6">
      <t>ショ</t>
    </rPh>
    <rPh sb="7" eb="8">
      <t>ニン</t>
    </rPh>
    <rPh sb="9" eb="12">
      <t>ヒャクマンエン</t>
    </rPh>
    <phoneticPr fontId="8"/>
  </si>
  <si>
    <t>事業所数
(2016年)</t>
    <rPh sb="0" eb="3">
      <t>ジギョウショ</t>
    </rPh>
    <rPh sb="3" eb="4">
      <t>スウ</t>
    </rPh>
    <rPh sb="10" eb="11">
      <t>ネン</t>
    </rPh>
    <phoneticPr fontId="8"/>
  </si>
  <si>
    <t>従業者数
(2016年)</t>
    <phoneticPr fontId="8"/>
  </si>
  <si>
    <t>製造品出荷額等
(2015年)</t>
    <rPh sb="0" eb="3">
      <t>セイゾウヒン</t>
    </rPh>
    <phoneticPr fontId="8"/>
  </si>
  <si>
    <t>付加価値額
(2015年)</t>
    <rPh sb="0" eb="2">
      <t>フカ</t>
    </rPh>
    <rPh sb="2" eb="4">
      <t>カチ</t>
    </rPh>
    <rPh sb="4" eb="5">
      <t>ガク</t>
    </rPh>
    <phoneticPr fontId="8"/>
  </si>
  <si>
    <t>実    数</t>
    <phoneticPr fontId="8"/>
  </si>
  <si>
    <t>構成比</t>
    <phoneticPr fontId="8"/>
  </si>
  <si>
    <t>実    数　　</t>
    <phoneticPr fontId="8"/>
  </si>
  <si>
    <t>総数</t>
  </si>
  <si>
    <t>1～3人</t>
    <phoneticPr fontId="8"/>
  </si>
  <si>
    <t>-</t>
    <phoneticPr fontId="8"/>
  </si>
  <si>
    <t>-</t>
  </si>
  <si>
    <t>4～9人</t>
    <phoneticPr fontId="8"/>
  </si>
  <si>
    <t>10～１9人</t>
    <phoneticPr fontId="8"/>
  </si>
  <si>
    <t>20～29人</t>
    <phoneticPr fontId="8"/>
  </si>
  <si>
    <t>30～99人</t>
    <phoneticPr fontId="8"/>
  </si>
  <si>
    <t>100～299人</t>
    <phoneticPr fontId="8"/>
  </si>
  <si>
    <t>300人以上</t>
  </si>
  <si>
    <t>　　</t>
    <phoneticPr fontId="8"/>
  </si>
  <si>
    <t>11．製造業の従業者規模別状況 [ 大阪市、全規模事業所 ]</t>
    <phoneticPr fontId="3"/>
  </si>
  <si>
    <t>（単位：百万円、％）</t>
    <rPh sb="1" eb="3">
      <t>タンイ</t>
    </rPh>
    <rPh sb="4" eb="7">
      <t>ヒャクマンエン</t>
    </rPh>
    <phoneticPr fontId="8"/>
  </si>
  <si>
    <t>2013年</t>
    <rPh sb="4" eb="5">
      <t>ネン</t>
    </rPh>
    <phoneticPr fontId="8"/>
  </si>
  <si>
    <t>都心部地域計</t>
    <rPh sb="2" eb="3">
      <t>ブ</t>
    </rPh>
    <rPh sb="3" eb="5">
      <t>チイキ</t>
    </rPh>
    <phoneticPr fontId="5"/>
  </si>
  <si>
    <t>西部臨海部地域計</t>
    <rPh sb="0" eb="2">
      <t>セイブ</t>
    </rPh>
    <rPh sb="2" eb="4">
      <t>リンカイ</t>
    </rPh>
    <rPh sb="4" eb="5">
      <t>ブ</t>
    </rPh>
    <rPh sb="5" eb="7">
      <t>チイキ</t>
    </rPh>
    <phoneticPr fontId="5"/>
  </si>
  <si>
    <t>北東部地域計</t>
    <rPh sb="2" eb="3">
      <t>ブ</t>
    </rPh>
    <rPh sb="3" eb="5">
      <t>チイキ</t>
    </rPh>
    <phoneticPr fontId="5"/>
  </si>
  <si>
    <t>東部地域計</t>
    <rPh sb="2" eb="4">
      <t>チイキ</t>
    </rPh>
    <phoneticPr fontId="5"/>
  </si>
  <si>
    <t>南部地域計</t>
    <rPh sb="2" eb="4">
      <t>チイキ</t>
    </rPh>
    <phoneticPr fontId="5"/>
  </si>
  <si>
    <t>12．製造業の区別推移 [ 大阪市、全規模事業所 ]</t>
    <phoneticPr fontId="3"/>
  </si>
  <si>
    <t>単位：ヵ所、人、％</t>
    <rPh sb="0" eb="2">
      <t>タンイ</t>
    </rPh>
    <rPh sb="4" eb="5">
      <t>ショ</t>
    </rPh>
    <rPh sb="6" eb="7">
      <t>ニン</t>
    </rPh>
    <phoneticPr fontId="5"/>
  </si>
  <si>
    <t>（単位：百万円、％）</t>
    <rPh sb="1" eb="3">
      <t>タンイ</t>
    </rPh>
    <rPh sb="4" eb="7">
      <t>ヒャクマンエン</t>
    </rPh>
    <phoneticPr fontId="5"/>
  </si>
  <si>
    <t>2012年</t>
    <rPh sb="4" eb="5">
      <t>ネン</t>
    </rPh>
    <phoneticPr fontId="5"/>
  </si>
  <si>
    <t>2011年</t>
    <rPh sb="4" eb="5">
      <t>ネン</t>
    </rPh>
    <phoneticPr fontId="5"/>
  </si>
  <si>
    <t>2013年</t>
    <rPh sb="4" eb="5">
      <t>ネン</t>
    </rPh>
    <phoneticPr fontId="5"/>
  </si>
  <si>
    <t>合計</t>
  </si>
  <si>
    <t>各種商品</t>
    <phoneticPr fontId="5"/>
  </si>
  <si>
    <t>繊維・衣服等</t>
    <rPh sb="0" eb="2">
      <t>センイ</t>
    </rPh>
    <rPh sb="3" eb="5">
      <t>イフク</t>
    </rPh>
    <rPh sb="5" eb="6">
      <t>トウ</t>
    </rPh>
    <phoneticPr fontId="5"/>
  </si>
  <si>
    <t>生産財卸</t>
    <phoneticPr fontId="5"/>
  </si>
  <si>
    <t>管理、補助的経済活動</t>
    <rPh sb="0" eb="2">
      <t>カンリ</t>
    </rPh>
    <rPh sb="3" eb="6">
      <t>ホジョテキ</t>
    </rPh>
    <rPh sb="6" eb="8">
      <t>ケイザイ</t>
    </rPh>
    <rPh sb="8" eb="10">
      <t>カツドウ</t>
    </rPh>
    <phoneticPr fontId="5"/>
  </si>
  <si>
    <t>繊維品</t>
  </si>
  <si>
    <t>繊維品</t>
    <rPh sb="0" eb="3">
      <t>センイヒン</t>
    </rPh>
    <phoneticPr fontId="5"/>
  </si>
  <si>
    <t>建築材料</t>
  </si>
  <si>
    <t>衣服</t>
    <rPh sb="0" eb="2">
      <t>イフク</t>
    </rPh>
    <phoneticPr fontId="5"/>
  </si>
  <si>
    <t>化学製品</t>
  </si>
  <si>
    <t>身の回り品</t>
    <rPh sb="0" eb="1">
      <t>ミ</t>
    </rPh>
    <rPh sb="2" eb="3">
      <t>マワ</t>
    </rPh>
    <rPh sb="4" eb="5">
      <t>ヒン</t>
    </rPh>
    <phoneticPr fontId="5"/>
  </si>
  <si>
    <t>石油・鉱物</t>
  </si>
  <si>
    <t>飲食料品</t>
    <rPh sb="0" eb="3">
      <t>インショクリョウ</t>
    </rPh>
    <rPh sb="3" eb="4">
      <t>ヒン</t>
    </rPh>
    <phoneticPr fontId="5"/>
  </si>
  <si>
    <t>鉄鋼製品</t>
  </si>
  <si>
    <t>農畜産物・水産物</t>
    <rPh sb="0" eb="4">
      <t>ノウチクサンブツ</t>
    </rPh>
    <rPh sb="5" eb="8">
      <t>スイサンブツ</t>
    </rPh>
    <phoneticPr fontId="5"/>
  </si>
  <si>
    <t>再生資源</t>
  </si>
  <si>
    <t>食料・飲料</t>
    <rPh sb="0" eb="2">
      <t>ショクリョウ</t>
    </rPh>
    <rPh sb="3" eb="5">
      <t>インリョウ</t>
    </rPh>
    <phoneticPr fontId="5"/>
  </si>
  <si>
    <t>一般機械器具</t>
  </si>
  <si>
    <t>－</t>
    <phoneticPr fontId="8"/>
  </si>
  <si>
    <t>－</t>
    <phoneticPr fontId="44"/>
  </si>
  <si>
    <t>建築材料、鉱物・金属材料等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phoneticPr fontId="5"/>
  </si>
  <si>
    <t>産業機械器具</t>
    <rPh sb="0" eb="2">
      <t>サンギョウ</t>
    </rPh>
    <rPh sb="2" eb="4">
      <t>キカイ</t>
    </rPh>
    <rPh sb="4" eb="6">
      <t>キグ</t>
    </rPh>
    <phoneticPr fontId="8"/>
  </si>
  <si>
    <t>自動車</t>
  </si>
  <si>
    <t>建築材料</t>
    <rPh sb="0" eb="2">
      <t>ケンチク</t>
    </rPh>
    <rPh sb="2" eb="4">
      <t>ザイリョウ</t>
    </rPh>
    <phoneticPr fontId="5"/>
  </si>
  <si>
    <t>電気機械器具</t>
  </si>
  <si>
    <t>化学製品</t>
    <rPh sb="0" eb="2">
      <t>カガク</t>
    </rPh>
    <rPh sb="2" eb="4">
      <t>セイヒン</t>
    </rPh>
    <phoneticPr fontId="5"/>
  </si>
  <si>
    <t>その他の機械器具</t>
    <phoneticPr fontId="5"/>
  </si>
  <si>
    <t>石油・鉱物</t>
    <rPh sb="0" eb="2">
      <t>セキユ</t>
    </rPh>
    <rPh sb="3" eb="5">
      <t>コウブツ</t>
    </rPh>
    <phoneticPr fontId="5"/>
  </si>
  <si>
    <t>消費財卸</t>
    <phoneticPr fontId="5"/>
  </si>
  <si>
    <t>鉄鋼製品</t>
    <rPh sb="0" eb="2">
      <t>テッコウ</t>
    </rPh>
    <rPh sb="2" eb="4">
      <t>セイヒン</t>
    </rPh>
    <phoneticPr fontId="5"/>
  </si>
  <si>
    <t>衣服</t>
    <phoneticPr fontId="8"/>
  </si>
  <si>
    <t>非鉄金属</t>
    <rPh sb="0" eb="2">
      <t>ヒテツ</t>
    </rPh>
    <rPh sb="2" eb="4">
      <t>キンゾク</t>
    </rPh>
    <phoneticPr fontId="5"/>
  </si>
  <si>
    <t>身の回り品</t>
    <rPh sb="0" eb="1">
      <t>ミ</t>
    </rPh>
    <rPh sb="2" eb="3">
      <t>マワ</t>
    </rPh>
    <rPh sb="4" eb="5">
      <t>ヒン</t>
    </rPh>
    <phoneticPr fontId="8"/>
  </si>
  <si>
    <t>再生資源</t>
    <rPh sb="0" eb="2">
      <t>サイセイ</t>
    </rPh>
    <rPh sb="2" eb="4">
      <t>シゲン</t>
    </rPh>
    <phoneticPr fontId="5"/>
  </si>
  <si>
    <t>農畜産物・水産物</t>
  </si>
  <si>
    <t>機械器具</t>
    <rPh sb="0" eb="2">
      <t>キカイ</t>
    </rPh>
    <rPh sb="2" eb="4">
      <t>キグ</t>
    </rPh>
    <phoneticPr fontId="5"/>
  </si>
  <si>
    <t>食料・飲料</t>
  </si>
  <si>
    <t>家具・建具・じゅう器</t>
    <phoneticPr fontId="5"/>
  </si>
  <si>
    <t>産業機械器具</t>
    <rPh sb="0" eb="2">
      <t>サンギョウ</t>
    </rPh>
    <rPh sb="2" eb="4">
      <t>キカイ</t>
    </rPh>
    <rPh sb="4" eb="6">
      <t>キグ</t>
    </rPh>
    <phoneticPr fontId="5"/>
  </si>
  <si>
    <t>医薬品・化粧品等</t>
  </si>
  <si>
    <t>自動車</t>
    <rPh sb="0" eb="3">
      <t>ジドウシャ</t>
    </rPh>
    <phoneticPr fontId="5"/>
  </si>
  <si>
    <t>紙・紙製品</t>
    <rPh sb="0" eb="1">
      <t>カミ</t>
    </rPh>
    <rPh sb="2" eb="3">
      <t>カミ</t>
    </rPh>
    <rPh sb="3" eb="5">
      <t>セイヒン</t>
    </rPh>
    <phoneticPr fontId="8"/>
  </si>
  <si>
    <t>電気機械器具</t>
    <rPh sb="0" eb="2">
      <t>デンキ</t>
    </rPh>
    <rPh sb="2" eb="4">
      <t>キカイ</t>
    </rPh>
    <rPh sb="4" eb="6">
      <t>キグ</t>
    </rPh>
    <phoneticPr fontId="5"/>
  </si>
  <si>
    <t>他に分類されない卸売業</t>
    <rPh sb="8" eb="11">
      <t>オロシウリギョウ</t>
    </rPh>
    <phoneticPr fontId="8"/>
  </si>
  <si>
    <t>その他の機械器具</t>
    <rPh sb="2" eb="3">
      <t>タ</t>
    </rPh>
    <rPh sb="4" eb="6">
      <t>キカイ</t>
    </rPh>
    <rPh sb="6" eb="8">
      <t>キグ</t>
    </rPh>
    <phoneticPr fontId="5"/>
  </si>
  <si>
    <t>その他</t>
    <rPh sb="2" eb="3">
      <t>タ</t>
    </rPh>
    <phoneticPr fontId="5"/>
  </si>
  <si>
    <t>　　</t>
    <phoneticPr fontId="44"/>
  </si>
  <si>
    <t>家具・建具・じゅう器等</t>
    <rPh sb="0" eb="2">
      <t>カグ</t>
    </rPh>
    <rPh sb="3" eb="5">
      <t>タテグ</t>
    </rPh>
    <rPh sb="9" eb="10">
      <t>キ</t>
    </rPh>
    <rPh sb="10" eb="11">
      <t>トウ</t>
    </rPh>
    <phoneticPr fontId="5"/>
  </si>
  <si>
    <t>医薬品・化粧品</t>
    <rPh sb="0" eb="3">
      <t>イヤクヒン</t>
    </rPh>
    <rPh sb="4" eb="7">
      <t>ケショウヒン</t>
    </rPh>
    <phoneticPr fontId="5"/>
  </si>
  <si>
    <t>　　　</t>
    <phoneticPr fontId="44"/>
  </si>
  <si>
    <t>紙・紙製品</t>
    <rPh sb="0" eb="1">
      <t>カミ</t>
    </rPh>
    <rPh sb="2" eb="5">
      <t>カミセイヒン</t>
    </rPh>
    <phoneticPr fontId="5"/>
  </si>
  <si>
    <t>他に分類されない</t>
    <rPh sb="0" eb="1">
      <t>タ</t>
    </rPh>
    <rPh sb="2" eb="4">
      <t>ブンルイ</t>
    </rPh>
    <phoneticPr fontId="5"/>
  </si>
  <si>
    <t xml:space="preserve">       </t>
    <phoneticPr fontId="8"/>
  </si>
  <si>
    <t>13．卸売業の業種別推移 [ 大阪市 ]</t>
    <phoneticPr fontId="3"/>
  </si>
  <si>
    <t>事業所数
（2016年）</t>
    <rPh sb="0" eb="2">
      <t>ジギョウ</t>
    </rPh>
    <rPh sb="2" eb="3">
      <t>ショ</t>
    </rPh>
    <rPh sb="3" eb="4">
      <t>スウ</t>
    </rPh>
    <phoneticPr fontId="5"/>
  </si>
  <si>
    <t>従業者数
（2016年）</t>
    <rPh sb="0" eb="1">
      <t>ジュウ</t>
    </rPh>
    <rPh sb="1" eb="4">
      <t>ギョウシャスウ</t>
    </rPh>
    <phoneticPr fontId="5"/>
  </si>
  <si>
    <t>実数
（ヵ所）</t>
    <rPh sb="5" eb="6">
      <t>ショ</t>
    </rPh>
    <phoneticPr fontId="5"/>
  </si>
  <si>
    <t>構成比
（％）</t>
    <phoneticPr fontId="5"/>
  </si>
  <si>
    <t>実数
（人）</t>
    <rPh sb="4" eb="5">
      <t>ニン</t>
    </rPh>
    <phoneticPr fontId="5"/>
  </si>
  <si>
    <t>東部地域計</t>
    <rPh sb="2" eb="4">
      <t>チイキ</t>
    </rPh>
    <rPh sb="4" eb="5">
      <t>ケイ</t>
    </rPh>
    <phoneticPr fontId="5"/>
  </si>
  <si>
    <t>都心部地域計</t>
    <rPh sb="3" eb="5">
      <t>チイキ</t>
    </rPh>
    <rPh sb="5" eb="6">
      <t>ケイ</t>
    </rPh>
    <phoneticPr fontId="3"/>
  </si>
  <si>
    <t>都心部地域計</t>
    <rPh sb="3" eb="5">
      <t>チイキ</t>
    </rPh>
    <rPh sb="5" eb="6">
      <t>ケイ</t>
    </rPh>
    <phoneticPr fontId="5"/>
  </si>
  <si>
    <t>城東区</t>
  </si>
  <si>
    <t>北区</t>
  </si>
  <si>
    <t>東成区</t>
  </si>
  <si>
    <t>中央区</t>
  </si>
  <si>
    <t>生野区</t>
  </si>
  <si>
    <t>天王寺区</t>
  </si>
  <si>
    <t>平野区</t>
  </si>
  <si>
    <t>福島区</t>
  </si>
  <si>
    <t>南部地域計</t>
    <rPh sb="2" eb="4">
      <t>チイキ</t>
    </rPh>
    <rPh sb="4" eb="5">
      <t>ケイ</t>
    </rPh>
    <phoneticPr fontId="5"/>
  </si>
  <si>
    <t>西区</t>
  </si>
  <si>
    <t>阿倍野区</t>
  </si>
  <si>
    <t>浪速区</t>
  </si>
  <si>
    <t>住吉区</t>
  </si>
  <si>
    <t>北東部地域計</t>
    <rPh sb="3" eb="5">
      <t>チイキ</t>
    </rPh>
    <rPh sb="5" eb="6">
      <t>ケイ</t>
    </rPh>
    <phoneticPr fontId="5"/>
  </si>
  <si>
    <t>東住吉区</t>
  </si>
  <si>
    <t>都島区</t>
  </si>
  <si>
    <t>西成区</t>
  </si>
  <si>
    <t>淀川区</t>
  </si>
  <si>
    <t>西部臨海部地域計</t>
    <rPh sb="5" eb="7">
      <t>チイキ</t>
    </rPh>
    <rPh sb="7" eb="8">
      <t>ケイ</t>
    </rPh>
    <phoneticPr fontId="5"/>
  </si>
  <si>
    <t>東淀川区</t>
  </si>
  <si>
    <t>西淀川区</t>
  </si>
  <si>
    <t>旭区</t>
  </si>
  <si>
    <t>此花区</t>
  </si>
  <si>
    <t>鶴見区</t>
  </si>
  <si>
    <t>港区</t>
  </si>
  <si>
    <t>大正区</t>
  </si>
  <si>
    <t>住之江区</t>
  </si>
  <si>
    <t>14．卸売業の区別状況 [ 大阪市 ]</t>
    <phoneticPr fontId="3"/>
  </si>
  <si>
    <t>15．卸売業の従業者規模別状況 [ 大阪市 ]</t>
    <phoneticPr fontId="3"/>
  </si>
  <si>
    <t>（単位：ヵ所、人、％）</t>
    <rPh sb="1" eb="3">
      <t>タンイ</t>
    </rPh>
    <rPh sb="5" eb="6">
      <t>ショ</t>
    </rPh>
    <rPh sb="7" eb="8">
      <t>ニン</t>
    </rPh>
    <phoneticPr fontId="5"/>
  </si>
  <si>
    <t>2012年</t>
    <phoneticPr fontId="5"/>
  </si>
  <si>
    <t>2014年</t>
    <phoneticPr fontId="5"/>
  </si>
  <si>
    <t>2016年</t>
    <phoneticPr fontId="5"/>
  </si>
  <si>
    <t>事業所数</t>
    <rPh sb="0" eb="3">
      <t>ジギョウショ</t>
    </rPh>
    <rPh sb="3" eb="4">
      <t>スウ</t>
    </rPh>
    <phoneticPr fontId="5"/>
  </si>
  <si>
    <t>従業者数</t>
    <phoneticPr fontId="3"/>
  </si>
  <si>
    <t>卸売業 計</t>
    <rPh sb="0" eb="3">
      <t>オロシウリギョウ</t>
    </rPh>
    <rPh sb="4" eb="5">
      <t>ケイ</t>
    </rPh>
    <phoneticPr fontId="5"/>
  </si>
  <si>
    <t>1～4人</t>
  </si>
  <si>
    <t>1～2人</t>
  </si>
  <si>
    <t>3～4人</t>
  </si>
  <si>
    <t>5～9人</t>
  </si>
  <si>
    <t>10～19人</t>
  </si>
  <si>
    <t>20～29人</t>
  </si>
  <si>
    <t>30～49人</t>
  </si>
  <si>
    <t>50～99人</t>
  </si>
  <si>
    <t>100人以上</t>
  </si>
  <si>
    <t>出向・派遣従業者のみ</t>
  </si>
  <si>
    <t>-</t>
    <phoneticPr fontId="5"/>
  </si>
  <si>
    <t>（単位：ヵ所、％）</t>
    <rPh sb="5" eb="6">
      <t>ショ</t>
    </rPh>
    <phoneticPr fontId="28"/>
  </si>
  <si>
    <t>年間商品販売額</t>
  </si>
  <si>
    <t>（単位：百万円、％）</t>
    <rPh sb="4" eb="7">
      <t>ヒャクマンエン</t>
    </rPh>
    <phoneticPr fontId="28"/>
  </si>
  <si>
    <t>2012年</t>
    <rPh sb="4" eb="5">
      <t>ネン</t>
    </rPh>
    <phoneticPr fontId="28"/>
  </si>
  <si>
    <t>2016年</t>
    <rPh sb="4" eb="5">
      <t>ネン</t>
    </rPh>
    <phoneticPr fontId="28"/>
  </si>
  <si>
    <t>14～16年増減率</t>
    <rPh sb="5" eb="6">
      <t>ネン</t>
    </rPh>
    <rPh sb="6" eb="8">
      <t>ゾウゲン</t>
    </rPh>
    <rPh sb="8" eb="9">
      <t>リツ</t>
    </rPh>
    <phoneticPr fontId="8"/>
  </si>
  <si>
    <t>2007年</t>
    <rPh sb="4" eb="5">
      <t>ネン</t>
    </rPh>
    <phoneticPr fontId="28"/>
  </si>
  <si>
    <t>2011年</t>
    <rPh sb="4" eb="5">
      <t>ネン</t>
    </rPh>
    <phoneticPr fontId="28"/>
  </si>
  <si>
    <t>(20,121)</t>
    <phoneticPr fontId="3"/>
  </si>
  <si>
    <t>全国シェア</t>
    <phoneticPr fontId="28"/>
  </si>
  <si>
    <t>東京都
区部</t>
    <phoneticPr fontId="8"/>
  </si>
  <si>
    <t>(49,998)</t>
    <phoneticPr fontId="3"/>
  </si>
  <si>
    <t>名古屋
市</t>
    <rPh sb="0" eb="3">
      <t>ナゴヤ</t>
    </rPh>
    <rPh sb="4" eb="5">
      <t>シ</t>
    </rPh>
    <phoneticPr fontId="28"/>
  </si>
  <si>
    <t>(13,335)</t>
    <phoneticPr fontId="3"/>
  </si>
  <si>
    <t>横浜市</t>
    <rPh sb="0" eb="3">
      <t>ヨコハマシ</t>
    </rPh>
    <phoneticPr fontId="28"/>
  </si>
  <si>
    <t>(13,657)</t>
    <phoneticPr fontId="3"/>
  </si>
  <si>
    <t>福岡市</t>
    <rPh sb="0" eb="3">
      <t>フクオカシ</t>
    </rPh>
    <phoneticPr fontId="28"/>
  </si>
  <si>
    <t>(8,111)</t>
    <phoneticPr fontId="3"/>
  </si>
  <si>
    <t>全国</t>
    <phoneticPr fontId="8"/>
  </si>
  <si>
    <t>(782,862)</t>
    <phoneticPr fontId="3"/>
  </si>
  <si>
    <t>（単位：人、％）</t>
    <rPh sb="4" eb="5">
      <t>ニン</t>
    </rPh>
    <phoneticPr fontId="28"/>
  </si>
  <si>
    <t>売場面積</t>
    <rPh sb="0" eb="2">
      <t>ウリバ</t>
    </rPh>
    <rPh sb="2" eb="4">
      <t>メンセキ</t>
    </rPh>
    <phoneticPr fontId="8"/>
  </si>
  <si>
    <t>　　</t>
    <phoneticPr fontId="8"/>
  </si>
  <si>
    <t>16．小売業の推移 [ 大阪市、他都市、全国 ]</t>
    <phoneticPr fontId="3"/>
  </si>
  <si>
    <t>事業所数 
（2016年）</t>
    <rPh sb="0" eb="3">
      <t>ジギョウショ</t>
    </rPh>
    <rPh sb="3" eb="4">
      <t>スウ</t>
    </rPh>
    <phoneticPr fontId="5"/>
  </si>
  <si>
    <t>従業者数
 （2016年）</t>
    <rPh sb="0" eb="1">
      <t>ジュウ</t>
    </rPh>
    <rPh sb="1" eb="4">
      <t>ギョウシャスウ</t>
    </rPh>
    <phoneticPr fontId="5"/>
  </si>
  <si>
    <t>年間商品販売額
 （2015年）</t>
    <rPh sb="0" eb="2">
      <t>ネンカン</t>
    </rPh>
    <rPh sb="2" eb="4">
      <t>ショウヒン</t>
    </rPh>
    <rPh sb="4" eb="7">
      <t>ハンバイガク</t>
    </rPh>
    <phoneticPr fontId="8"/>
  </si>
  <si>
    <t>売場面積
 （2016年）</t>
    <rPh sb="0" eb="2">
      <t>ウリバ</t>
    </rPh>
    <rPh sb="2" eb="4">
      <t>メンセキ</t>
    </rPh>
    <phoneticPr fontId="8"/>
  </si>
  <si>
    <t>実数
(ヵ所）</t>
    <rPh sb="5" eb="6">
      <t>ショ</t>
    </rPh>
    <phoneticPr fontId="3"/>
  </si>
  <si>
    <t>構成比
(%)</t>
    <rPh sb="0" eb="3">
      <t>コウセイヒ</t>
    </rPh>
    <phoneticPr fontId="3"/>
  </si>
  <si>
    <t>実数
(人）</t>
    <rPh sb="4" eb="5">
      <t>ニン</t>
    </rPh>
    <phoneticPr fontId="3"/>
  </si>
  <si>
    <t>実数
(百万円）</t>
    <phoneticPr fontId="3"/>
  </si>
  <si>
    <t>実数
(㎡）</t>
    <phoneticPr fontId="3"/>
  </si>
  <si>
    <t>北東部地域計</t>
    <phoneticPr fontId="3"/>
  </si>
  <si>
    <t>南部地域計</t>
    <phoneticPr fontId="3"/>
  </si>
  <si>
    <t>西部臨海部地域計</t>
    <phoneticPr fontId="3"/>
  </si>
  <si>
    <t>17．小売業の区別状況 [ 大阪市 ]</t>
    <phoneticPr fontId="3"/>
  </si>
  <si>
    <t>（単位：ヵ所、％）</t>
    <rPh sb="5" eb="6">
      <t>ショ</t>
    </rPh>
    <phoneticPr fontId="8"/>
  </si>
  <si>
    <t>総   数</t>
    <phoneticPr fontId="8"/>
  </si>
  <si>
    <t>100人～</t>
    <phoneticPr fontId="8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</si>
  <si>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8"/>
  </si>
  <si>
    <t>（単位：人、％）</t>
    <rPh sb="4" eb="5">
      <t>ニン</t>
    </rPh>
    <phoneticPr fontId="8"/>
  </si>
  <si>
    <t>100人～</t>
    <phoneticPr fontId="8"/>
  </si>
  <si>
    <t>18．小売業の従業者規模別状況 [ 大阪市 ]</t>
    <phoneticPr fontId="3"/>
  </si>
  <si>
    <t>（単位：ヵ所、人、％）</t>
    <rPh sb="5" eb="6">
      <t>ショ</t>
    </rPh>
    <rPh sb="7" eb="8">
      <t>ヒト</t>
    </rPh>
    <phoneticPr fontId="8"/>
  </si>
  <si>
    <t>全国
シェア</t>
    <phoneticPr fontId="8"/>
  </si>
  <si>
    <t>合   計</t>
    <phoneticPr fontId="8"/>
  </si>
  <si>
    <t>各種商品</t>
    <phoneticPr fontId="8"/>
  </si>
  <si>
    <t>-</t>
    <phoneticPr fontId="8"/>
  </si>
  <si>
    <t>飲食料品</t>
  </si>
  <si>
    <t>機械器具</t>
    <rPh sb="0" eb="2">
      <t>キカイ</t>
    </rPh>
    <rPh sb="2" eb="4">
      <t>キグ</t>
    </rPh>
    <phoneticPr fontId="8"/>
  </si>
  <si>
    <t>その他</t>
    <rPh sb="2" eb="3">
      <t>タ</t>
    </rPh>
    <phoneticPr fontId="8"/>
  </si>
  <si>
    <t>無店舗</t>
    <rPh sb="0" eb="3">
      <t>ムテンポ</t>
    </rPh>
    <phoneticPr fontId="8"/>
  </si>
  <si>
    <t>小売業内
格付不能</t>
    <rPh sb="0" eb="3">
      <t>コウリギョウ</t>
    </rPh>
    <rPh sb="3" eb="4">
      <t>ナイ</t>
    </rPh>
    <rPh sb="5" eb="6">
      <t>カク</t>
    </rPh>
    <rPh sb="6" eb="7">
      <t>ヅケ</t>
    </rPh>
    <rPh sb="7" eb="9">
      <t>フノウ</t>
    </rPh>
    <phoneticPr fontId="8"/>
  </si>
  <si>
    <t>単位：（百万円、㎡、％）</t>
    <rPh sb="4" eb="7">
      <t>ヒャクマンエン</t>
    </rPh>
    <phoneticPr fontId="8"/>
  </si>
  <si>
    <t>2013年</t>
    <rPh sb="4" eb="5">
      <t>ネン</t>
    </rPh>
    <phoneticPr fontId="3"/>
  </si>
  <si>
    <t>2015年</t>
    <rPh sb="4" eb="5">
      <t>ネン</t>
    </rPh>
    <phoneticPr fontId="3"/>
  </si>
  <si>
    <t>全国
シェア</t>
    <phoneticPr fontId="8"/>
  </si>
  <si>
    <t>合   計</t>
    <phoneticPr fontId="8"/>
  </si>
  <si>
    <t>各種商品</t>
    <phoneticPr fontId="8"/>
  </si>
  <si>
    <t>－</t>
    <phoneticPr fontId="8"/>
  </si>
  <si>
    <t>　　</t>
    <phoneticPr fontId="8"/>
  </si>
  <si>
    <t>19．小売業の業種別状況 [ 大阪市、全国 ]</t>
    <phoneticPr fontId="3"/>
  </si>
  <si>
    <t>（単位：ヵ所、人、％）</t>
    <rPh sb="1" eb="3">
      <t>タンイ</t>
    </rPh>
    <rPh sb="5" eb="6">
      <t>ショ</t>
    </rPh>
    <rPh sb="7" eb="8">
      <t>ニン</t>
    </rPh>
    <phoneticPr fontId="8"/>
  </si>
  <si>
    <t>総数</t>
    <rPh sb="0" eb="2">
      <t>ソウスウ</t>
    </rPh>
    <phoneticPr fontId="63"/>
  </si>
  <si>
    <t>ビジネス支援型サービス業　計</t>
    <rPh sb="11" eb="12">
      <t>ギョウ</t>
    </rPh>
    <rPh sb="13" eb="14">
      <t>ケイ</t>
    </rPh>
    <phoneticPr fontId="18"/>
  </si>
  <si>
    <t>映像・音声・文字情報制作業（※新聞業・出版業を除く）</t>
  </si>
  <si>
    <t>不動産賃貸業</t>
  </si>
  <si>
    <t>専門サービス業</t>
  </si>
  <si>
    <t>広告業</t>
  </si>
  <si>
    <t>技術サービス業</t>
  </si>
  <si>
    <t>自動車整備業</t>
  </si>
  <si>
    <t>機械等修理業（※表具業、その他の修理業を除く）</t>
  </si>
  <si>
    <t>職業紹介・労働者派遣業</t>
  </si>
  <si>
    <t>その他の事業サービス業</t>
  </si>
  <si>
    <t>生活支援型サービス業　計</t>
    <rPh sb="0" eb="2">
      <t>セイカツ</t>
    </rPh>
    <rPh sb="2" eb="5">
      <t>シエンガタ</t>
    </rPh>
    <rPh sb="9" eb="10">
      <t>ギョウ</t>
    </rPh>
    <rPh sb="11" eb="12">
      <t>ケイ</t>
    </rPh>
    <phoneticPr fontId="18"/>
  </si>
  <si>
    <t>物品賃貸業（スポーツ・娯楽用品賃貸業）</t>
  </si>
  <si>
    <t>物品賃貸業（その他の物品賃貸業）</t>
  </si>
  <si>
    <t>娯楽業</t>
  </si>
  <si>
    <t>その他の教育，学習支援業（学習塾）</t>
  </si>
  <si>
    <t>その他の教育，学習支援業（教養・技能教授業）</t>
  </si>
  <si>
    <t>不動産取引業</t>
  </si>
  <si>
    <t>不動産賃貸業・管理業（※不動産賃貸業を除く）</t>
  </si>
  <si>
    <t>洗濯・理容・美容・浴場業</t>
  </si>
  <si>
    <t>その他の生活関連サービス業</t>
  </si>
  <si>
    <t>表具業</t>
  </si>
  <si>
    <t>その他の修理業</t>
  </si>
  <si>
    <t>公共サービス業　計</t>
    <rPh sb="0" eb="2">
      <t>コウキョウ</t>
    </rPh>
    <rPh sb="6" eb="7">
      <t>ギョウ</t>
    </rPh>
    <rPh sb="8" eb="9">
      <t>ケイ</t>
    </rPh>
    <phoneticPr fontId="18"/>
  </si>
  <si>
    <t>学術・開発研究機関</t>
  </si>
  <si>
    <t>学校教育</t>
  </si>
  <si>
    <t>医療業</t>
  </si>
  <si>
    <t>保健衛生</t>
  </si>
  <si>
    <t>社会保険・社会福祉・介護事業</t>
  </si>
  <si>
    <t>郵便局</t>
  </si>
  <si>
    <t>協同組合（他に分類されないもの）</t>
  </si>
  <si>
    <t>廃棄物処理業</t>
  </si>
  <si>
    <t>政治・経済・文化団体</t>
  </si>
  <si>
    <t>宗教</t>
  </si>
  <si>
    <t>その他のサービス業</t>
  </si>
  <si>
    <t>（単位：人、％）</t>
    <phoneticPr fontId="63"/>
  </si>
  <si>
    <t>情報サービス業</t>
    <phoneticPr fontId="8"/>
  </si>
  <si>
    <t>映像・音声・文字
情報制作業</t>
    <rPh sb="0" eb="2">
      <t>エイゾウ</t>
    </rPh>
    <rPh sb="3" eb="5">
      <t>オンセイ</t>
    </rPh>
    <rPh sb="9" eb="11">
      <t>ジョウホウ</t>
    </rPh>
    <rPh sb="11" eb="13">
      <t>セイサク</t>
    </rPh>
    <rPh sb="13" eb="14">
      <t>ギョウ</t>
    </rPh>
    <phoneticPr fontId="8"/>
  </si>
  <si>
    <t>インターネット
附随サービス業</t>
    <rPh sb="8" eb="10">
      <t>フズイ</t>
    </rPh>
    <rPh sb="14" eb="15">
      <t>ギョウ</t>
    </rPh>
    <phoneticPr fontId="8"/>
  </si>
  <si>
    <t>広告業・
その他の
事業サービス業</t>
    <rPh sb="0" eb="2">
      <t>コウコク</t>
    </rPh>
    <rPh sb="2" eb="3">
      <t>ギョウ</t>
    </rPh>
    <phoneticPr fontId="8"/>
  </si>
  <si>
    <t>構成比</t>
    <rPh sb="0" eb="3">
      <t>コウセイヒ</t>
    </rPh>
    <phoneticPr fontId="63"/>
  </si>
  <si>
    <t>大阪市計</t>
    <rPh sb="3" eb="4">
      <t>ケイ</t>
    </rPh>
    <phoneticPr fontId="63"/>
  </si>
  <si>
    <t>都心部地域計</t>
    <rPh sb="0" eb="3">
      <t>トシンブ</t>
    </rPh>
    <rPh sb="3" eb="5">
      <t>チイキ</t>
    </rPh>
    <rPh sb="5" eb="6">
      <t>ケイ</t>
    </rPh>
    <phoneticPr fontId="63"/>
  </si>
  <si>
    <t>西部臨海部地域計</t>
    <rPh sb="0" eb="2">
      <t>セイブ</t>
    </rPh>
    <rPh sb="2" eb="4">
      <t>リンカイ</t>
    </rPh>
    <rPh sb="4" eb="5">
      <t>ブ</t>
    </rPh>
    <rPh sb="5" eb="7">
      <t>チイキ</t>
    </rPh>
    <rPh sb="7" eb="8">
      <t>ケイ</t>
    </rPh>
    <phoneticPr fontId="63"/>
  </si>
  <si>
    <t>北東部地域計</t>
    <rPh sb="0" eb="2">
      <t>ホクトウ</t>
    </rPh>
    <rPh sb="2" eb="3">
      <t>ブ</t>
    </rPh>
    <rPh sb="3" eb="5">
      <t>チイキ</t>
    </rPh>
    <rPh sb="5" eb="6">
      <t>ケイ</t>
    </rPh>
    <phoneticPr fontId="63"/>
  </si>
  <si>
    <t>東部地域計</t>
    <rPh sb="0" eb="2">
      <t>トウブ</t>
    </rPh>
    <rPh sb="2" eb="4">
      <t>チイキ</t>
    </rPh>
    <rPh sb="4" eb="5">
      <t>ケイ</t>
    </rPh>
    <phoneticPr fontId="63"/>
  </si>
  <si>
    <t>南部地域計</t>
    <rPh sb="0" eb="2">
      <t>ナンブ</t>
    </rPh>
    <rPh sb="2" eb="4">
      <t>チイキ</t>
    </rPh>
    <rPh sb="4" eb="5">
      <t>ケイ</t>
    </rPh>
    <phoneticPr fontId="63"/>
  </si>
  <si>
    <t>資料：総務省「経済センサス－活動調査」2016年</t>
    <rPh sb="14" eb="16">
      <t>カツドウ</t>
    </rPh>
    <phoneticPr fontId="8"/>
  </si>
  <si>
    <t>22．飲食店の業種別状況 [ 大阪市、全国 ]</t>
    <phoneticPr fontId="3"/>
  </si>
  <si>
    <t>（単位：ヵ所、％）</t>
    <rPh sb="1" eb="3">
      <t>タンイ</t>
    </rPh>
    <rPh sb="5" eb="6">
      <t>ショ</t>
    </rPh>
    <phoneticPr fontId="63"/>
  </si>
  <si>
    <t>2012年</t>
    <rPh sb="4" eb="5">
      <t>ネン</t>
    </rPh>
    <phoneticPr fontId="63"/>
  </si>
  <si>
    <t>2014年</t>
    <rPh sb="4" eb="5">
      <t>ネン</t>
    </rPh>
    <phoneticPr fontId="63"/>
  </si>
  <si>
    <t>2016年</t>
    <rPh sb="4" eb="5">
      <t>ネン</t>
    </rPh>
    <phoneticPr fontId="63"/>
  </si>
  <si>
    <t>実数</t>
    <rPh sb="0" eb="2">
      <t>ジッスウ</t>
    </rPh>
    <phoneticPr fontId="63"/>
  </si>
  <si>
    <t>全国
シェア</t>
    <rPh sb="0" eb="2">
      <t>ゼンコク</t>
    </rPh>
    <phoneticPr fontId="63"/>
  </si>
  <si>
    <t>飲食店合計</t>
    <rPh sb="0" eb="2">
      <t>インショク</t>
    </rPh>
    <rPh sb="2" eb="3">
      <t>テン</t>
    </rPh>
    <rPh sb="3" eb="5">
      <t>ゴウケイ</t>
    </rPh>
    <phoneticPr fontId="5"/>
  </si>
  <si>
    <t>管理、補助的経済活動を行う事業所</t>
    <rPh sb="0" eb="2">
      <t>カンリ</t>
    </rPh>
    <rPh sb="3" eb="6">
      <t>ホジョテキ</t>
    </rPh>
    <rPh sb="6" eb="8">
      <t>ケイザイ</t>
    </rPh>
    <rPh sb="8" eb="10">
      <t>カツドウ</t>
    </rPh>
    <rPh sb="11" eb="12">
      <t>オコナ</t>
    </rPh>
    <rPh sb="13" eb="16">
      <t>ジギョウショ</t>
    </rPh>
    <phoneticPr fontId="5"/>
  </si>
  <si>
    <t>食堂・レストラン（専門料理店を除く）</t>
    <rPh sb="0" eb="2">
      <t>ショクドウ</t>
    </rPh>
    <rPh sb="9" eb="11">
      <t>センモン</t>
    </rPh>
    <rPh sb="11" eb="13">
      <t>リョウリ</t>
    </rPh>
    <rPh sb="13" eb="14">
      <t>テン</t>
    </rPh>
    <rPh sb="15" eb="16">
      <t>ノゾ</t>
    </rPh>
    <phoneticPr fontId="5"/>
  </si>
  <si>
    <t>専門料理店</t>
    <rPh sb="0" eb="2">
      <t>センモン</t>
    </rPh>
    <rPh sb="2" eb="5">
      <t>リョウリテン</t>
    </rPh>
    <phoneticPr fontId="5"/>
  </si>
  <si>
    <t>そば・うどん店</t>
  </si>
  <si>
    <t>すし店</t>
  </si>
  <si>
    <t>酒場、ビアホール</t>
    <rPh sb="0" eb="2">
      <t>サカバ</t>
    </rPh>
    <phoneticPr fontId="5"/>
  </si>
  <si>
    <t>バー、キャバレー、ナイトクラブ</t>
  </si>
  <si>
    <t>喫茶店</t>
  </si>
  <si>
    <t>その他の飲食店</t>
    <rPh sb="2" eb="3">
      <t>タ</t>
    </rPh>
    <rPh sb="4" eb="7">
      <t>インショクテン</t>
    </rPh>
    <phoneticPr fontId="5"/>
  </si>
  <si>
    <t>持ち帰り飲食サービス業</t>
    <rPh sb="0" eb="1">
      <t>モ</t>
    </rPh>
    <rPh sb="2" eb="3">
      <t>カエ</t>
    </rPh>
    <rPh sb="4" eb="6">
      <t>インショク</t>
    </rPh>
    <rPh sb="10" eb="11">
      <t>ギョウ</t>
    </rPh>
    <phoneticPr fontId="5"/>
  </si>
  <si>
    <t>配達飲食サービス業</t>
    <rPh sb="0" eb="2">
      <t>ハイタツ</t>
    </rPh>
    <rPh sb="2" eb="4">
      <t>インショク</t>
    </rPh>
    <rPh sb="8" eb="9">
      <t>ギョウ</t>
    </rPh>
    <phoneticPr fontId="5"/>
  </si>
  <si>
    <t>（単位：人、％）</t>
    <rPh sb="1" eb="3">
      <t>タンイ</t>
    </rPh>
    <rPh sb="4" eb="5">
      <t>ニン</t>
    </rPh>
    <phoneticPr fontId="63"/>
  </si>
  <si>
    <t>　　</t>
    <phoneticPr fontId="63"/>
  </si>
  <si>
    <t>01．経済活動の全国シェア比較 [ 大阪市、他都市、全国 ]</t>
    <phoneticPr fontId="5"/>
  </si>
  <si>
    <t>東京都
区部</t>
    <phoneticPr fontId="8"/>
  </si>
  <si>
    <t>名古屋市</t>
    <phoneticPr fontId="8"/>
  </si>
  <si>
    <t>2017年
10月1日</t>
    <phoneticPr fontId="5"/>
  </si>
  <si>
    <t>①</t>
    <phoneticPr fontId="5"/>
  </si>
  <si>
    <t>2018年
10月1日</t>
    <phoneticPr fontId="5"/>
  </si>
  <si>
    <t>②③</t>
    <phoneticPr fontId="5"/>
  </si>
  <si>
    <t>④</t>
    <phoneticPr fontId="5"/>
  </si>
  <si>
    <t>②⑤</t>
    <phoneticPr fontId="5"/>
  </si>
  <si>
    <t>2015年度</t>
    <phoneticPr fontId="5"/>
  </si>
  <si>
    <t>⑥</t>
    <phoneticPr fontId="5"/>
  </si>
  <si>
    <t>事業所数
（民営）</t>
    <phoneticPr fontId="5"/>
  </si>
  <si>
    <t>2016年
6月1日</t>
    <phoneticPr fontId="5"/>
  </si>
  <si>
    <t>⑦</t>
    <phoneticPr fontId="5"/>
  </si>
  <si>
    <t>従業者数
（民営）</t>
    <phoneticPr fontId="5"/>
  </si>
  <si>
    <t>製造品
出荷額等</t>
    <phoneticPr fontId="5"/>
  </si>
  <si>
    <t>2016年</t>
    <phoneticPr fontId="5"/>
  </si>
  <si>
    <t>⑧</t>
    <phoneticPr fontId="5"/>
  </si>
  <si>
    <t>卸売業
販売額</t>
    <phoneticPr fontId="5"/>
  </si>
  <si>
    <t>2015年</t>
    <phoneticPr fontId="5"/>
  </si>
  <si>
    <t>⑨</t>
    <phoneticPr fontId="5"/>
  </si>
  <si>
    <t>小売業
販売額</t>
    <phoneticPr fontId="5"/>
  </si>
  <si>
    <t>百貨店
販売額</t>
    <phoneticPr fontId="5"/>
  </si>
  <si>
    <t>2017年</t>
    <phoneticPr fontId="5"/>
  </si>
  <si>
    <t>⑩</t>
    <phoneticPr fontId="5"/>
  </si>
  <si>
    <t>-</t>
    <phoneticPr fontId="5"/>
  </si>
  <si>
    <t>⑪</t>
    <phoneticPr fontId="5"/>
  </si>
  <si>
    <t>銀行貸出金
残高</t>
    <phoneticPr fontId="5"/>
  </si>
  <si>
    <t>2018年
9月末日</t>
    <phoneticPr fontId="5"/>
  </si>
  <si>
    <t>⑫</t>
    <phoneticPr fontId="5"/>
  </si>
  <si>
    <t>　　</t>
    <phoneticPr fontId="5"/>
  </si>
  <si>
    <t>　　　</t>
    <phoneticPr fontId="5"/>
  </si>
  <si>
    <t>　　　</t>
    <phoneticPr fontId="8"/>
  </si>
  <si>
    <t>2000年</t>
    <phoneticPr fontId="8"/>
  </si>
  <si>
    <t>面積
（㎢）</t>
    <rPh sb="0" eb="2">
      <t>メンセキ</t>
    </rPh>
    <phoneticPr fontId="8"/>
  </si>
  <si>
    <t>上段：人口（千人）
下段：全国シェア（％）</t>
    <phoneticPr fontId="8"/>
  </si>
  <si>
    <t>02．人口と面積 [ 大都市圏、全国 ]</t>
    <phoneticPr fontId="8"/>
  </si>
  <si>
    <t>(％)</t>
    <phoneticPr fontId="32"/>
  </si>
  <si>
    <t>サービス業（他に分類されないもの）</t>
    <phoneticPr fontId="3"/>
  </si>
  <si>
    <t>不動産業，物品賃貸業</t>
    <phoneticPr fontId="3"/>
  </si>
  <si>
    <t>金融業，保険業</t>
    <phoneticPr fontId="3"/>
  </si>
  <si>
    <t>電気・ガス・熱供給・水道業</t>
    <phoneticPr fontId="8"/>
  </si>
  <si>
    <t>鉱業･採石業・砂利採取業</t>
    <phoneticPr fontId="3"/>
  </si>
  <si>
    <t>農林漁業</t>
    <phoneticPr fontId="3"/>
  </si>
  <si>
    <t>構
成
比</t>
    <phoneticPr fontId="8"/>
  </si>
  <si>
    <t>－</t>
    <phoneticPr fontId="3"/>
  </si>
  <si>
    <t>注及び資料：前ページと同じ。</t>
    <rPh sb="0" eb="1">
      <t>チュウ</t>
    </rPh>
    <rPh sb="1" eb="2">
      <t>オヨ</t>
    </rPh>
    <rPh sb="3" eb="5">
      <t>シリョウ</t>
    </rPh>
    <rPh sb="6" eb="7">
      <t>ゼン</t>
    </rPh>
    <rPh sb="11" eb="12">
      <t>オナ</t>
    </rPh>
    <phoneticPr fontId="8"/>
  </si>
  <si>
    <t>構成比
（2016年）</t>
    <rPh sb="0" eb="3">
      <t>コウセイヒ</t>
    </rPh>
    <rPh sb="9" eb="10">
      <t>ネン</t>
    </rPh>
    <phoneticPr fontId="3"/>
  </si>
  <si>
    <t>-</t>
    <phoneticPr fontId="3"/>
  </si>
  <si>
    <t>物品賃貸業
（※スポーツ・娯楽用品賃貸業・その他物品賃貸業を除く）</t>
    <phoneticPr fontId="3"/>
  </si>
  <si>
    <t>その他の教育，学習支援業
（※学習塾、教養・技能教授業を除く）</t>
    <phoneticPr fontId="3"/>
  </si>
  <si>
    <t>　　中分類の項目の合計には、表には掲載していない格付不能の項目を含む。</t>
    <phoneticPr fontId="3"/>
  </si>
  <si>
    <t>　　「専門サービス業」とは、法律事務所・特許事務所、公証人役場・司法書士事務所等、公認会計士事務所・税理士事</t>
    <phoneticPr fontId="3"/>
  </si>
  <si>
    <t>　　務所、社会保険労務士事務所、デザイン業、著述・芸術家業、経営コンサルタント業・純粋持株会社、興信所など。</t>
    <phoneticPr fontId="3"/>
  </si>
  <si>
    <t>　　「技術サービス業」とは、獣医業、土木建築サービス業、機械設計業、商品・非破壊検査業、計量証明業、写真業など。</t>
    <phoneticPr fontId="3"/>
  </si>
  <si>
    <t>　　「その他の生活関連サービス業」とは、旅行業、衣服裁縫修理業、物品預り業、火葬・墓地管理業、冠婚葬祭業など。</t>
    <phoneticPr fontId="3"/>
  </si>
  <si>
    <t>　</t>
    <phoneticPr fontId="3"/>
  </si>
  <si>
    <t>　　「その他の事業サービス業」とは、速記・ワープロ入力・複写業、建物サービス業、警備業など。</t>
    <phoneticPr fontId="3"/>
  </si>
  <si>
    <t>　　「その他のサービス業」とは、集会場、と畜場など。</t>
    <phoneticPr fontId="3"/>
  </si>
  <si>
    <t>20．サービス業の業種別状況 [ 大阪市 ]</t>
    <phoneticPr fontId="3"/>
  </si>
  <si>
    <t>21．ビジネス支援型サービス業の区別従業者数 [ 大阪市 ]</t>
    <phoneticPr fontId="3"/>
  </si>
  <si>
    <t>注：地域分類はⅢ－２章末注のとおり。</t>
    <phoneticPr fontId="8"/>
  </si>
  <si>
    <t>資料：総務省「経済センサス－基礎調査」2014年、総務省「経済センサス－活動調査」16年</t>
    <rPh sb="3" eb="6">
      <t>ソウムショウ</t>
    </rPh>
    <rPh sb="43" eb="44">
      <t>ネン</t>
    </rPh>
    <phoneticPr fontId="8"/>
  </si>
  <si>
    <t>04．経済活動別市内総生産（名目）の推移 [ 大阪市 ]</t>
    <phoneticPr fontId="8"/>
  </si>
  <si>
    <t>（単位：百万円）</t>
    <phoneticPr fontId="8"/>
  </si>
  <si>
    <t>2006年度</t>
    <rPh sb="4" eb="6">
      <t>ネンド</t>
    </rPh>
    <phoneticPr fontId="8"/>
  </si>
  <si>
    <t>2007年度</t>
    <rPh sb="4" eb="6">
      <t>ネンド</t>
    </rPh>
    <phoneticPr fontId="8"/>
  </si>
  <si>
    <t>2008年度</t>
    <rPh sb="4" eb="6">
      <t>ネンド</t>
    </rPh>
    <phoneticPr fontId="8"/>
  </si>
  <si>
    <t>2009年度</t>
    <rPh sb="4" eb="6">
      <t>ネンド</t>
    </rPh>
    <phoneticPr fontId="8"/>
  </si>
  <si>
    <t>2010年度</t>
    <rPh sb="4" eb="6">
      <t>ネンド</t>
    </rPh>
    <phoneticPr fontId="8"/>
  </si>
  <si>
    <t>2011年度</t>
    <rPh sb="4" eb="6">
      <t>ネンド</t>
    </rPh>
    <phoneticPr fontId="8"/>
  </si>
  <si>
    <t>2012年度</t>
    <rPh sb="4" eb="6">
      <t>ネンド</t>
    </rPh>
    <phoneticPr fontId="8"/>
  </si>
  <si>
    <t>2013年度</t>
    <rPh sb="4" eb="6">
      <t>ネンド</t>
    </rPh>
    <phoneticPr fontId="8"/>
  </si>
  <si>
    <t>2014年度</t>
    <rPh sb="4" eb="6">
      <t>ネンド</t>
    </rPh>
    <phoneticPr fontId="8"/>
  </si>
  <si>
    <t>2015年度</t>
    <rPh sb="4" eb="6">
      <t>ネンド</t>
    </rPh>
    <phoneticPr fontId="8"/>
  </si>
  <si>
    <t>農林水産業</t>
    <phoneticPr fontId="3"/>
  </si>
  <si>
    <t>鉱業</t>
    <phoneticPr fontId="3"/>
  </si>
  <si>
    <t xml:space="preserve">製造業   </t>
    <phoneticPr fontId="3"/>
  </si>
  <si>
    <t>電気･ガス･水道･廃棄物処理業</t>
    <phoneticPr fontId="3"/>
  </si>
  <si>
    <t xml:space="preserve">建設業   </t>
    <phoneticPr fontId="3"/>
  </si>
  <si>
    <t>卸売･小売業</t>
    <phoneticPr fontId="3"/>
  </si>
  <si>
    <t>運輸･郵便業</t>
    <phoneticPr fontId="3"/>
  </si>
  <si>
    <t>金融･保険業</t>
    <phoneticPr fontId="3"/>
  </si>
  <si>
    <t>宿泊･飲食サービス業</t>
    <rPh sb="0" eb="2">
      <t>シュクハク</t>
    </rPh>
    <rPh sb="3" eb="5">
      <t>インショク</t>
    </rPh>
    <rPh sb="9" eb="10">
      <t>ギョウ</t>
    </rPh>
    <phoneticPr fontId="3"/>
  </si>
  <si>
    <t>不動産業</t>
    <phoneticPr fontId="3"/>
  </si>
  <si>
    <t>情報通信業</t>
    <rPh sb="0" eb="2">
      <t>ジョウホウ</t>
    </rPh>
    <phoneticPr fontId="3"/>
  </si>
  <si>
    <t>専門･科学技術、業務支援サービス業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3"/>
  </si>
  <si>
    <t>公務</t>
    <rPh sb="0" eb="2">
      <t>コウム</t>
    </rPh>
    <phoneticPr fontId="3"/>
  </si>
  <si>
    <t>教育</t>
    <rPh sb="0" eb="2">
      <t>キョウイク</t>
    </rPh>
    <phoneticPr fontId="3"/>
  </si>
  <si>
    <t>保健衛生･社会事業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3"/>
  </si>
  <si>
    <t>その他のサービス</t>
    <rPh sb="2" eb="3">
      <t>タ</t>
    </rPh>
    <phoneticPr fontId="3"/>
  </si>
  <si>
    <t>小計</t>
    <rPh sb="0" eb="2">
      <t>ショウケイ</t>
    </rPh>
    <phoneticPr fontId="8"/>
  </si>
  <si>
    <t>輸入品に課される税･関税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phoneticPr fontId="8"/>
  </si>
  <si>
    <t>(控除)総資本形成に係る消費税</t>
    <phoneticPr fontId="8"/>
  </si>
  <si>
    <t>市内総生産</t>
    <rPh sb="0" eb="2">
      <t>シナイ</t>
    </rPh>
    <rPh sb="2" eb="5">
      <t>ソウセイサン</t>
    </rPh>
    <phoneticPr fontId="8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</si>
  <si>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8"/>
  </si>
  <si>
    <t xml:space="preserve">大阪府 </t>
    <phoneticPr fontId="8"/>
  </si>
  <si>
    <t>織物・衣服 ・
身の回り品</t>
    <phoneticPr fontId="8"/>
  </si>
  <si>
    <t>織物・衣服 ・
身の回り品</t>
    <phoneticPr fontId="8"/>
  </si>
  <si>
    <t>注：2012年、16年は「経済センサス−活動調査」のうち「産業横断的集計」の値を用いている。</t>
    <rPh sb="6" eb="7">
      <t>ネン</t>
    </rPh>
    <phoneticPr fontId="3"/>
  </si>
  <si>
    <t>　東住吉区</t>
    <phoneticPr fontId="8"/>
  </si>
  <si>
    <t>卸売業内格付不能</t>
    <phoneticPr fontId="5"/>
  </si>
  <si>
    <t>13～15年
増減率</t>
    <rPh sb="7" eb="9">
      <t>ゾウゲン</t>
    </rPh>
    <rPh sb="9" eb="10">
      <t>リツ</t>
    </rPh>
    <phoneticPr fontId="28"/>
  </si>
  <si>
    <t>全国</t>
    <phoneticPr fontId="8"/>
  </si>
  <si>
    <t>14～16年
増減率</t>
    <rPh sb="5" eb="6">
      <t>ネン</t>
    </rPh>
    <rPh sb="7" eb="9">
      <t>ゾウゲン</t>
    </rPh>
    <rPh sb="9" eb="10">
      <t>リツ</t>
    </rPh>
    <phoneticPr fontId="28"/>
  </si>
  <si>
    <t>(141,758)</t>
    <phoneticPr fontId="3"/>
  </si>
  <si>
    <t>(417,597)</t>
    <phoneticPr fontId="3"/>
  </si>
  <si>
    <t>(111,840)</t>
    <phoneticPr fontId="3"/>
  </si>
  <si>
    <t>(133,836)</t>
    <phoneticPr fontId="3"/>
  </si>
  <si>
    <t>(66,217)</t>
    <phoneticPr fontId="3"/>
  </si>
  <si>
    <t>(5,535,790)</t>
    <phoneticPr fontId="3"/>
  </si>
  <si>
    <t>東部地域計</t>
    <phoneticPr fontId="3"/>
  </si>
  <si>
    <t>（単位：十億米ドル）</t>
    <rPh sb="4" eb="6">
      <t>ジュウオク</t>
    </rPh>
    <phoneticPr fontId="5"/>
  </si>
  <si>
    <t>北米</t>
  </si>
  <si>
    <t>欧州・ロシア等</t>
    <rPh sb="0" eb="2">
      <t>オウシュウ</t>
    </rPh>
    <rPh sb="6" eb="7">
      <t>トウ</t>
    </rPh>
    <phoneticPr fontId="21"/>
  </si>
  <si>
    <t>アメリカ</t>
  </si>
  <si>
    <t>ドイツ</t>
  </si>
  <si>
    <t>カナダ</t>
  </si>
  <si>
    <t>イギリス</t>
  </si>
  <si>
    <t>中南米</t>
  </si>
  <si>
    <t>フランス</t>
  </si>
  <si>
    <t>ブラジル</t>
  </si>
  <si>
    <t>イタリア</t>
  </si>
  <si>
    <t>メキシコ</t>
  </si>
  <si>
    <t>ロシア</t>
  </si>
  <si>
    <t>アルゼンチン</t>
  </si>
  <si>
    <t>スペイン</t>
  </si>
  <si>
    <t>コロンビア</t>
  </si>
  <si>
    <t>オランダ</t>
  </si>
  <si>
    <t>チリ</t>
  </si>
  <si>
    <t>スイス</t>
  </si>
  <si>
    <t>ベネズエラ</t>
  </si>
  <si>
    <t>スウェーデン</t>
  </si>
  <si>
    <t>ペルー</t>
  </si>
  <si>
    <t>ポーランド</t>
  </si>
  <si>
    <t>アジア</t>
  </si>
  <si>
    <t>ベルギー</t>
  </si>
  <si>
    <t>中国</t>
  </si>
  <si>
    <t>ノルウェー</t>
  </si>
  <si>
    <t>オーストリア</t>
  </si>
  <si>
    <t>デンマーク</t>
  </si>
  <si>
    <t>フィンランド</t>
  </si>
  <si>
    <t>アイルランド</t>
  </si>
  <si>
    <t>インド</t>
  </si>
  <si>
    <t>ギリシャ</t>
  </si>
  <si>
    <t>インドネシア</t>
  </si>
  <si>
    <t>ポルトガル</t>
  </si>
  <si>
    <t>タイ</t>
  </si>
  <si>
    <t>チェコ</t>
  </si>
  <si>
    <t>マレーシア</t>
  </si>
  <si>
    <t>ルーマニア</t>
  </si>
  <si>
    <t>フィリピン</t>
  </si>
  <si>
    <t>中東</t>
    <rPh sb="0" eb="2">
      <t>チュウトウ</t>
    </rPh>
    <phoneticPr fontId="3"/>
  </si>
  <si>
    <t>パキスタン</t>
  </si>
  <si>
    <t>トルコ</t>
  </si>
  <si>
    <t>カザフスタン</t>
  </si>
  <si>
    <t>サウジアラビア</t>
  </si>
  <si>
    <t>ベトナム</t>
  </si>
  <si>
    <t>イラン</t>
  </si>
  <si>
    <t>バングラディシュ</t>
  </si>
  <si>
    <t>アラブ首長国連邦</t>
    <rPh sb="3" eb="5">
      <t>シュチョウ</t>
    </rPh>
    <rPh sb="5" eb="6">
      <t>コク</t>
    </rPh>
    <rPh sb="6" eb="8">
      <t>レンポウ</t>
    </rPh>
    <phoneticPr fontId="3"/>
  </si>
  <si>
    <t>日本</t>
  </si>
  <si>
    <t>イスラエル</t>
  </si>
  <si>
    <t>近畿</t>
  </si>
  <si>
    <t>イラク</t>
  </si>
  <si>
    <t>大阪府</t>
  </si>
  <si>
    <t>カタール</t>
  </si>
  <si>
    <t>アフリカ</t>
  </si>
  <si>
    <t>ナイジェリア</t>
  </si>
  <si>
    <t>（参考）内閣府等による円ベースの金額（億円、年度ベース）</t>
    <rPh sb="1" eb="3">
      <t>サンコウ</t>
    </rPh>
    <rPh sb="7" eb="8">
      <t>トウ</t>
    </rPh>
    <rPh sb="22" eb="24">
      <t>ネンド</t>
    </rPh>
    <phoneticPr fontId="3"/>
  </si>
  <si>
    <t>南アフリカ</t>
    <rPh sb="0" eb="1">
      <t>ミナミ</t>
    </rPh>
    <phoneticPr fontId="3"/>
  </si>
  <si>
    <t>日本「国民経済計算」</t>
    <rPh sb="3" eb="4">
      <t>クニ</t>
    </rPh>
    <phoneticPr fontId="3"/>
  </si>
  <si>
    <t>エジプト</t>
  </si>
  <si>
    <t>「県民経済計算」</t>
  </si>
  <si>
    <t>アルジェリア</t>
  </si>
  <si>
    <t>大洋州</t>
    <rPh sb="0" eb="2">
      <t>タイヨウ</t>
    </rPh>
    <rPh sb="2" eb="3">
      <t>シュウ</t>
    </rPh>
    <phoneticPr fontId="21"/>
  </si>
  <si>
    <t>オーストラリア</t>
  </si>
  <si>
    <t>ニュージーランド</t>
  </si>
  <si>
    <t>　</t>
  </si>
  <si>
    <t>－</t>
    <phoneticPr fontId="8"/>
  </si>
  <si>
    <t>近畿</t>
    <phoneticPr fontId="8"/>
  </si>
  <si>
    <t>大阪府</t>
    <phoneticPr fontId="8"/>
  </si>
  <si>
    <t>－</t>
    <phoneticPr fontId="8"/>
  </si>
  <si>
    <t>大阪市</t>
    <phoneticPr fontId="8"/>
  </si>
  <si>
    <t>韓国</t>
    <phoneticPr fontId="8"/>
  </si>
  <si>
    <t>台湾</t>
    <phoneticPr fontId="8"/>
  </si>
  <si>
    <t>シンガポール</t>
    <phoneticPr fontId="8"/>
  </si>
  <si>
    <t>香港</t>
    <phoneticPr fontId="8"/>
  </si>
  <si>
    <t>03．世界主要国の国内総生産(名目) [ 大阪市、大阪府、主要国 ]</t>
    <phoneticPr fontId="3"/>
  </si>
  <si>
    <t>（単位：ヶ所、％）</t>
  </si>
  <si>
    <t>(単位：百万円、％)</t>
    <rPh sb="1" eb="3">
      <t>タンイ</t>
    </rPh>
    <rPh sb="4" eb="7">
      <t>ヒャクマンエン</t>
    </rPh>
    <phoneticPr fontId="8"/>
  </si>
  <si>
    <t>付加価値額(従業者30人以上の事業所）</t>
    <rPh sb="6" eb="9">
      <t>ジュウギョウシャ</t>
    </rPh>
    <rPh sb="11" eb="14">
      <t>ニンイジョウ</t>
    </rPh>
    <rPh sb="15" eb="17">
      <t>ジギョウ</t>
    </rPh>
    <rPh sb="17" eb="18">
      <t>ショ</t>
    </rPh>
    <phoneticPr fontId="8"/>
  </si>
  <si>
    <t>資料：大阪市「工業統計調査」2013年、「経済センサス－活動調査結果&lt;産業別集計　製造業編&gt;」 16年</t>
    <rPh sb="21" eb="23">
      <t>ケイザイ</t>
    </rPh>
    <phoneticPr fontId="8"/>
  </si>
  <si>
    <t>資料：総務省「経済センサス－活動調査」2012年及び16年、「経済センサス－基礎調査」14年</t>
    <rPh sb="23" eb="24">
      <t>ネン</t>
    </rPh>
    <rPh sb="24" eb="25">
      <t>オヨ</t>
    </rPh>
    <phoneticPr fontId="8"/>
  </si>
  <si>
    <t>注：「専門サービス業」とは、</t>
    <phoneticPr fontId="8"/>
  </si>
  <si>
    <t>　　　法律事務所・特許事務所、デザイン・機械設計業、経営コンサルタント業、翻訳業等である。</t>
    <phoneticPr fontId="8"/>
  </si>
  <si>
    <t>　　「その他の事業サービス業」とは、速記・ワープロ入力･複写業、商品検査業、計量証明業 、</t>
    <phoneticPr fontId="8"/>
  </si>
  <si>
    <t>　　 建物サービス業 、民営職業紹介業 、警備業等である。</t>
    <phoneticPr fontId="3"/>
  </si>
  <si>
    <t>持ち帰り・配達飲食サービス業合計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rPh sb="14" eb="16">
      <t>ゴウケイ</t>
    </rPh>
    <phoneticPr fontId="5"/>
  </si>
  <si>
    <t>事業所数</t>
    <rPh sb="0" eb="3">
      <t>ジギョウショ</t>
    </rPh>
    <rPh sb="3" eb="4">
      <t>スウ</t>
    </rPh>
    <phoneticPr fontId="8"/>
  </si>
  <si>
    <t>従業者数</t>
    <rPh sb="0" eb="3">
      <t>ジュウギョウシャ</t>
    </rPh>
    <rPh sb="3" eb="4">
      <t>スウ</t>
    </rPh>
    <phoneticPr fontId="8"/>
  </si>
  <si>
    <t>事業所数</t>
    <phoneticPr fontId="8"/>
  </si>
  <si>
    <t>年間商品販売額</t>
    <phoneticPr fontId="8"/>
  </si>
  <si>
    <t>従業者数</t>
    <phoneticPr fontId="8"/>
  </si>
  <si>
    <t>売場面積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</si>
</sst>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6" formatCode="&quot;¥&quot;#,##0;[Red]&quot;¥&quot;\-#,##0"/>
    <numFmt numFmtId="176" formatCode="0.0"/>
    <numFmt numFmtId="177" formatCode="#,##0.0;[Red]\-#,##0.0"/>
    <numFmt numFmtId="178" formatCode="##0.0"/>
    <numFmt numFmtId="179" formatCode="##0.0\ \e"/>
    <numFmt numFmtId="180" formatCode="###\ ##0.0"/>
    <numFmt numFmtId="181" formatCode="###\ ##0.0\ \e"/>
    <numFmt numFmtId="182" formatCode="###,000"/>
    <numFmt numFmtId="183" formatCode="#,##0.00_);[Red]\(#,##0.00\)"/>
    <numFmt numFmtId="184" formatCode="#,##0_);[Red]\(#,##0\)"/>
    <numFmt numFmtId="185" formatCode="0.0%"/>
    <numFmt numFmtId="186" formatCode="#,##0.0;&quot;▲ &quot;#,##0.0"/>
    <numFmt numFmtId="187" formatCode="#,##0.0"/>
    <numFmt numFmtId="188" formatCode="#,###,###,###,##0;&quot; -&quot;###,###,###,##0"/>
    <numFmt numFmtId="189" formatCode="\ ###,###,###,###,##0;&quot;-&quot;###,###,###,###,##0"/>
    <numFmt numFmtId="190" formatCode="\ ###,###,##0;&quot;-&quot;###,###,##0"/>
    <numFmt numFmtId="191" formatCode="#,###,###,##0;&quot; -&quot;###,###,##0"/>
    <numFmt numFmtId="192" formatCode="\ ###,###,###,##0;&quot;-&quot;###,###,###,##0"/>
    <numFmt numFmtId="193" formatCode="##,###,###,##0;&quot;-&quot;#,###,###,##0"/>
    <numFmt numFmtId="194" formatCode="\(#,###\)"/>
    <numFmt numFmtId="195" formatCode="0.0_ "/>
    <numFmt numFmtId="196" formatCode="#,##0;&quot;△ &quot;#,##0"/>
    <numFmt numFmtId="197" formatCode="#,##0;&quot;▲ &quot;#,##0"/>
  </numFmts>
  <fonts count="7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u/>
      <sz val="9.8000000000000007"/>
      <color indexed="12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・団"/>
      <family val="1"/>
      <charset val="128"/>
    </font>
    <font>
      <sz val="9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・団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9"/>
      <color indexed="8"/>
      <name val="Times New Roman"/>
      <family val="1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  <scheme val="minor"/>
    </font>
    <font>
      <u/>
      <sz val="11"/>
      <color theme="10"/>
      <name val="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明朝"/>
      <family val="1"/>
      <charset val="128"/>
    </font>
    <font>
      <sz val="6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48"/>
      </bottom>
      <diagonal/>
    </border>
    <border>
      <left/>
      <right/>
      <top style="thick">
        <color indexed="4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30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3" fillId="0" borderId="0" applyNumberFormat="0" applyFont="0" applyFill="0" applyBorder="0" applyProtection="0">
      <alignment horizontal="left" vertical="center"/>
    </xf>
    <xf numFmtId="0" fontId="11" fillId="0" borderId="7" applyNumberFormat="0" applyFill="0" applyProtection="0">
      <alignment horizontal="left" vertical="center" wrapText="1" indent="1"/>
    </xf>
    <xf numFmtId="178" fontId="11" fillId="0" borderId="7" applyFill="0" applyProtection="0">
      <alignment horizontal="right" vertical="center" wrapText="1"/>
    </xf>
    <xf numFmtId="179" fontId="11" fillId="0" borderId="7" applyFill="0" applyProtection="0">
      <alignment horizontal="right" vertical="center" wrapText="1"/>
    </xf>
    <xf numFmtId="0" fontId="11" fillId="0" borderId="0" applyNumberFormat="0" applyFill="0" applyBorder="0" applyProtection="0">
      <alignment horizontal="left" vertical="center" wrapText="1"/>
    </xf>
    <xf numFmtId="0" fontId="11" fillId="0" borderId="0" applyNumberFormat="0" applyFill="0" applyBorder="0" applyProtection="0">
      <alignment horizontal="left" vertical="center" wrapText="1" indent="1"/>
    </xf>
    <xf numFmtId="178" fontId="11" fillId="0" borderId="0" applyFill="0" applyBorder="0" applyProtection="0">
      <alignment horizontal="right" vertical="center" wrapText="1"/>
    </xf>
    <xf numFmtId="180" fontId="11" fillId="0" borderId="0" applyFill="0" applyBorder="0" applyProtection="0">
      <alignment horizontal="right" vertical="center" wrapText="1"/>
    </xf>
    <xf numFmtId="181" fontId="11" fillId="0" borderId="0" applyFill="0" applyBorder="0" applyProtection="0">
      <alignment horizontal="right" vertical="center" wrapText="1"/>
    </xf>
    <xf numFmtId="179" fontId="11" fillId="0" borderId="0" applyFill="0" applyBorder="0" applyProtection="0">
      <alignment horizontal="right" vertical="center" wrapText="1"/>
    </xf>
    <xf numFmtId="182" fontId="11" fillId="0" borderId="0" applyFill="0" applyBorder="0" applyProtection="0">
      <alignment horizontal="right" vertical="center" wrapText="1"/>
    </xf>
    <xf numFmtId="0" fontId="12" fillId="0" borderId="0" applyNumberFormat="0" applyFill="0" applyBorder="0" applyAlignment="0" applyProtection="0">
      <alignment vertical="center"/>
    </xf>
    <xf numFmtId="0" fontId="11" fillId="0" borderId="8" applyNumberFormat="0" applyFill="0" applyProtection="0">
      <alignment horizontal="left" vertical="center" wrapText="1"/>
    </xf>
    <xf numFmtId="0" fontId="11" fillId="0" borderId="8" applyNumberFormat="0" applyFill="0" applyProtection="0">
      <alignment horizontal="left" vertical="center" wrapText="1" indent="1"/>
    </xf>
    <xf numFmtId="180" fontId="11" fillId="0" borderId="8" applyFill="0" applyProtection="0">
      <alignment horizontal="right" vertical="center" wrapText="1"/>
    </xf>
    <xf numFmtId="181" fontId="11" fillId="0" borderId="8" applyFill="0" applyProtection="0">
      <alignment horizontal="right" vertical="center" wrapText="1"/>
    </xf>
    <xf numFmtId="0" fontId="12" fillId="0" borderId="0" applyNumberFormat="0" applyFill="0" applyBorder="0" applyProtection="0">
      <alignment vertical="center" wrapText="1"/>
    </xf>
    <xf numFmtId="0" fontId="12" fillId="0" borderId="0" applyNumberFormat="0" applyFill="0" applyBorder="0" applyProtection="0">
      <alignment vertical="center" wrapText="1"/>
    </xf>
    <xf numFmtId="0" fontId="13" fillId="0" borderId="0" applyNumberFormat="0" applyFill="0" applyBorder="0" applyProtection="0">
      <alignment horizontal="left" vertical="center" wrapText="1"/>
    </xf>
    <xf numFmtId="0" fontId="12" fillId="0" borderId="0" applyNumberFormat="0" applyFill="0" applyBorder="0" applyProtection="0">
      <alignment vertical="center" wrapText="1"/>
    </xf>
    <xf numFmtId="0" fontId="13" fillId="0" borderId="0" applyNumberFormat="0" applyFill="0" applyBorder="0" applyProtection="0">
      <alignment horizontal="left" vertical="center" wrapText="1"/>
    </xf>
    <xf numFmtId="0" fontId="12" fillId="0" borderId="0" applyNumberFormat="0" applyFill="0" applyBorder="0" applyProtection="0">
      <alignment vertical="center" wrapText="1"/>
    </xf>
    <xf numFmtId="0" fontId="14" fillId="0" borderId="0" applyNumberFormat="0" applyFill="0" applyBorder="0" applyProtection="0">
      <alignment horizontal="left" vertical="center" wrapText="1"/>
    </xf>
    <xf numFmtId="0" fontId="12" fillId="0" borderId="0" applyNumberFormat="0" applyFill="0" applyBorder="0" applyProtection="0">
      <alignment vertical="center" wrapText="1"/>
    </xf>
    <xf numFmtId="0" fontId="3" fillId="0" borderId="0" applyNumberFormat="0" applyFont="0" applyFill="0" applyBorder="0" applyProtection="0">
      <alignment horizontal="left" vertical="center"/>
    </xf>
    <xf numFmtId="0" fontId="14" fillId="0" borderId="0" applyNumberFormat="0" applyFill="0" applyBorder="0" applyProtection="0">
      <alignment horizontal="left" vertical="center" wrapText="1"/>
    </xf>
    <xf numFmtId="0" fontId="15" fillId="0" borderId="0" applyNumberFormat="0" applyFill="0" applyBorder="0" applyProtection="0">
      <alignment vertical="center" wrapText="1"/>
    </xf>
    <xf numFmtId="0" fontId="3" fillId="0" borderId="9" applyNumberFormat="0" applyFont="0" applyFill="0" applyProtection="0">
      <alignment horizontal="center" vertical="center" wrapText="1"/>
    </xf>
    <xf numFmtId="0" fontId="14" fillId="0" borderId="9" applyNumberFormat="0" applyFill="0" applyProtection="0">
      <alignment horizontal="center" vertical="center" wrapText="1"/>
    </xf>
    <xf numFmtId="0" fontId="14" fillId="0" borderId="9" applyNumberFormat="0" applyFill="0" applyProtection="0">
      <alignment horizontal="center" vertical="center" wrapText="1"/>
    </xf>
    <xf numFmtId="0" fontId="11" fillId="0" borderId="7" applyNumberFormat="0" applyFill="0" applyProtection="0">
      <alignment horizontal="left" vertical="center" wrapText="1"/>
    </xf>
    <xf numFmtId="0" fontId="1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3" fillId="0" borderId="0"/>
    <xf numFmtId="0" fontId="25" fillId="0" borderId="0">
      <alignment vertical="center"/>
    </xf>
    <xf numFmtId="0" fontId="21" fillId="0" borderId="0"/>
    <xf numFmtId="0" fontId="3" fillId="0" borderId="0"/>
    <xf numFmtId="0" fontId="17" fillId="0" borderId="0">
      <alignment vertical="center"/>
    </xf>
    <xf numFmtId="0" fontId="26" fillId="0" borderId="0"/>
    <xf numFmtId="0" fontId="27" fillId="0" borderId="0" applyFill="0" applyBorder="0" applyAlignment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1" fillId="0" borderId="0"/>
    <xf numFmtId="37" fontId="26" fillId="0" borderId="0"/>
    <xf numFmtId="0" fontId="3" fillId="0" borderId="0"/>
    <xf numFmtId="0" fontId="31" fillId="0" borderId="0"/>
    <xf numFmtId="9" fontId="3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35" fillId="0" borderId="0" applyFill="0" applyBorder="0">
      <alignment vertical="center"/>
    </xf>
    <xf numFmtId="9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43" fillId="0" borderId="0"/>
    <xf numFmtId="0" fontId="46" fillId="0" borderId="0" applyNumberFormat="0" applyFill="0" applyBorder="0" applyAlignment="0" applyProtection="0"/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/>
    <xf numFmtId="0" fontId="43" fillId="0" borderId="0"/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7" borderId="35" applyNumberFormat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17" fillId="8" borderId="36" applyNumberFormat="0" applyFont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2" fillId="6" borderId="32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29" applyNumberFormat="0" applyFill="0" applyAlignment="0" applyProtection="0">
      <alignment vertical="center"/>
    </xf>
    <xf numFmtId="0" fontId="55" fillId="0" borderId="30" applyNumberFormat="0" applyFill="0" applyAlignment="0" applyProtection="0">
      <alignment vertical="center"/>
    </xf>
    <xf numFmtId="0" fontId="56" fillId="0" borderId="31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37" applyNumberFormat="0" applyFill="0" applyAlignment="0" applyProtection="0">
      <alignment vertical="center"/>
    </xf>
    <xf numFmtId="0" fontId="58" fillId="6" borderId="33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5" borderId="32" applyNumberFormat="0" applyAlignment="0" applyProtection="0">
      <alignment vertical="center"/>
    </xf>
    <xf numFmtId="0" fontId="17" fillId="0" borderId="0">
      <alignment vertical="center"/>
    </xf>
    <xf numFmtId="0" fontId="61" fillId="2" borderId="0" applyNumberFormat="0" applyBorder="0" applyAlignment="0" applyProtection="0">
      <alignment vertical="center"/>
    </xf>
    <xf numFmtId="0" fontId="62" fillId="0" borderId="0"/>
    <xf numFmtId="38" fontId="31" fillId="0" borderId="0" applyFont="0" applyFill="0" applyBorder="0" applyAlignment="0" applyProtection="0">
      <alignment vertical="center"/>
    </xf>
    <xf numFmtId="0" fontId="31" fillId="0" borderId="0"/>
    <xf numFmtId="0" fontId="3" fillId="0" borderId="0">
      <alignment vertical="center"/>
    </xf>
    <xf numFmtId="0" fontId="3" fillId="0" borderId="0"/>
    <xf numFmtId="0" fontId="3" fillId="0" borderId="0"/>
  </cellStyleXfs>
  <cellXfs count="708">
    <xf numFmtId="0" fontId="0" fillId="0" borderId="0" xfId="0"/>
    <xf numFmtId="0" fontId="4" fillId="0" borderId="0" xfId="2" applyFont="1" applyFill="1"/>
    <xf numFmtId="0" fontId="6" fillId="0" borderId="0" xfId="2" applyFont="1" applyFill="1" applyAlignment="1">
      <alignment horizontal="center"/>
    </xf>
    <xf numFmtId="38" fontId="6" fillId="0" borderId="0" xfId="2" applyNumberFormat="1" applyFont="1" applyFill="1"/>
    <xf numFmtId="0" fontId="6" fillId="0" borderId="0" xfId="2" applyFont="1" applyFill="1"/>
    <xf numFmtId="0" fontId="7" fillId="0" borderId="0" xfId="0" applyFont="1" applyFill="1"/>
    <xf numFmtId="177" fontId="6" fillId="0" borderId="0" xfId="1" applyNumberFormat="1" applyFont="1" applyFill="1"/>
    <xf numFmtId="177" fontId="0" fillId="0" borderId="0" xfId="1" applyNumberFormat="1" applyFont="1" applyFill="1"/>
    <xf numFmtId="0" fontId="0" fillId="0" borderId="0" xfId="0" applyFill="1"/>
    <xf numFmtId="3" fontId="6" fillId="0" borderId="0" xfId="2" applyNumberFormat="1" applyFont="1" applyFill="1"/>
    <xf numFmtId="0" fontId="3" fillId="0" borderId="0" xfId="2" applyFont="1" applyFill="1"/>
    <xf numFmtId="0" fontId="9" fillId="0" borderId="0" xfId="2" applyFont="1" applyFill="1" applyBorder="1" applyAlignment="1">
      <alignment horizontal="center" vertical="center" wrapText="1"/>
    </xf>
    <xf numFmtId="38" fontId="6" fillId="0" borderId="0" xfId="1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31" fontId="6" fillId="0" borderId="0" xfId="0" quotePrefix="1" applyNumberFormat="1" applyFont="1" applyFill="1" applyBorder="1" applyAlignment="1">
      <alignment horizontal="center" vertical="center" wrapText="1" shrinkToFit="1"/>
    </xf>
    <xf numFmtId="176" fontId="9" fillId="0" borderId="0" xfId="2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6" fillId="0" borderId="0" xfId="2" applyFont="1" applyFill="1" applyAlignment="1"/>
    <xf numFmtId="0" fontId="6" fillId="0" borderId="0" xfId="0" applyFont="1" applyFill="1" applyAlignment="1"/>
    <xf numFmtId="0" fontId="6" fillId="0" borderId="0" xfId="2" applyFont="1" applyFill="1" applyAlignment="1">
      <alignment horizontal="left"/>
    </xf>
    <xf numFmtId="0" fontId="4" fillId="0" borderId="0" xfId="0" applyFont="1" applyFill="1" applyAlignment="1">
      <alignment vertical="top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1" fontId="6" fillId="0" borderId="0" xfId="0" applyNumberFormat="1" applyFont="1" applyFill="1"/>
    <xf numFmtId="4" fontId="6" fillId="0" borderId="0" xfId="0" applyNumberFormat="1" applyFont="1" applyFill="1"/>
    <xf numFmtId="38" fontId="6" fillId="0" borderId="0" xfId="0" applyNumberFormat="1" applyFont="1" applyFill="1"/>
    <xf numFmtId="183" fontId="29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183" fontId="6" fillId="0" borderId="0" xfId="0" applyNumberFormat="1" applyFont="1" applyFill="1" applyAlignment="1">
      <alignment horizontal="center" vertical="center"/>
    </xf>
    <xf numFmtId="183" fontId="30" fillId="0" borderId="0" xfId="0" applyNumberFormat="1" applyFont="1" applyFill="1" applyBorder="1" applyAlignment="1" applyProtection="1">
      <alignment vertical="center"/>
    </xf>
    <xf numFmtId="183" fontId="6" fillId="0" borderId="0" xfId="0" applyNumberFormat="1" applyFont="1" applyFill="1" applyBorder="1"/>
    <xf numFmtId="38" fontId="6" fillId="0" borderId="0" xfId="1" applyFont="1" applyFill="1"/>
    <xf numFmtId="183" fontId="6" fillId="0" borderId="0" xfId="0" applyNumberFormat="1" applyFont="1" applyFill="1"/>
    <xf numFmtId="0" fontId="6" fillId="0" borderId="0" xfId="0" quotePrefix="1" applyFont="1" applyFill="1" applyAlignment="1">
      <alignment horizontal="right"/>
    </xf>
    <xf numFmtId="38" fontId="6" fillId="0" borderId="0" xfId="0" applyNumberFormat="1" applyFont="1" applyFill="1" applyBorder="1"/>
    <xf numFmtId="183" fontId="6" fillId="0" borderId="0" xfId="1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0" fillId="0" borderId="0" xfId="0" applyFont="1" applyFill="1"/>
    <xf numFmtId="37" fontId="4" fillId="0" borderId="0" xfId="67" applyFont="1"/>
    <xf numFmtId="37" fontId="6" fillId="0" borderId="0" xfId="67" applyFont="1"/>
    <xf numFmtId="37" fontId="6" fillId="0" borderId="0" xfId="67" applyFont="1" applyFill="1"/>
    <xf numFmtId="37" fontId="4" fillId="0" borderId="0" xfId="67" applyFont="1" applyFill="1"/>
    <xf numFmtId="0" fontId="6" fillId="0" borderId="0" xfId="0" applyFont="1"/>
    <xf numFmtId="0" fontId="6" fillId="0" borderId="0" xfId="68" applyFont="1" applyAlignment="1">
      <alignment vertical="center"/>
    </xf>
    <xf numFmtId="0" fontId="6" fillId="0" borderId="0" xfId="0" applyFont="1" applyBorder="1"/>
    <xf numFmtId="0" fontId="6" fillId="0" borderId="25" xfId="0" applyFont="1" applyBorder="1"/>
    <xf numFmtId="184" fontId="6" fillId="0" borderId="0" xfId="68" applyNumberFormat="1" applyFont="1" applyFill="1" applyAlignment="1">
      <alignment horizontal="right"/>
    </xf>
    <xf numFmtId="0" fontId="6" fillId="0" borderId="0" xfId="68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6" fillId="0" borderId="1" xfId="0" applyFont="1" applyFill="1" applyBorder="1" applyAlignment="1">
      <alignment vertical="center"/>
    </xf>
    <xf numFmtId="0" fontId="31" fillId="0" borderId="0" xfId="69"/>
    <xf numFmtId="0" fontId="33" fillId="0" borderId="0" xfId="69" applyFont="1"/>
    <xf numFmtId="3" fontId="31" fillId="0" borderId="0" xfId="69" applyNumberFormat="1"/>
    <xf numFmtId="38" fontId="0" fillId="0" borderId="0" xfId="71" applyFont="1" applyAlignment="1"/>
    <xf numFmtId="185" fontId="0" fillId="0" borderId="0" xfId="70" applyNumberFormat="1" applyFont="1" applyAlignment="1"/>
    <xf numFmtId="0" fontId="34" fillId="0" borderId="0" xfId="72"/>
    <xf numFmtId="0" fontId="31" fillId="0" borderId="0" xfId="69" applyAlignment="1"/>
    <xf numFmtId="0" fontId="31" fillId="0" borderId="0" xfId="69" applyBorder="1"/>
    <xf numFmtId="3" fontId="31" fillId="0" borderId="0" xfId="69" applyNumberFormat="1" applyBorder="1" applyAlignment="1">
      <alignment shrinkToFit="1"/>
    </xf>
    <xf numFmtId="0" fontId="31" fillId="0" borderId="0" xfId="69" applyBorder="1" applyAlignment="1">
      <alignment shrinkToFit="1"/>
    </xf>
    <xf numFmtId="37" fontId="7" fillId="0" borderId="0" xfId="67" applyFont="1"/>
    <xf numFmtId="0" fontId="6" fillId="0" borderId="0" xfId="68" applyFont="1"/>
    <xf numFmtId="184" fontId="6" fillId="0" borderId="0" xfId="68" applyNumberFormat="1" applyFont="1" applyAlignment="1">
      <alignment horizontal="right"/>
    </xf>
    <xf numFmtId="0" fontId="6" fillId="0" borderId="0" xfId="0" applyFont="1" applyAlignment="1">
      <alignment horizontal="right"/>
    </xf>
    <xf numFmtId="184" fontId="6" fillId="0" borderId="0" xfId="68" applyNumberFormat="1" applyFont="1" applyAlignment="1">
      <alignment horizontal="left"/>
    </xf>
    <xf numFmtId="0" fontId="6" fillId="0" borderId="3" xfId="0" applyFont="1" applyBorder="1"/>
    <xf numFmtId="0" fontId="6" fillId="0" borderId="1" xfId="0" applyFont="1" applyBorder="1" applyAlignment="1">
      <alignment vertical="center"/>
    </xf>
    <xf numFmtId="0" fontId="6" fillId="0" borderId="24" xfId="0" applyFont="1" applyBorder="1"/>
    <xf numFmtId="0" fontId="6" fillId="0" borderId="10" xfId="0" applyFont="1" applyBorder="1"/>
    <xf numFmtId="0" fontId="6" fillId="0" borderId="0" xfId="0" applyFont="1" applyAlignment="1"/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2" xfId="0" applyFont="1" applyBorder="1"/>
    <xf numFmtId="38" fontId="6" fillId="0" borderId="2" xfId="1" applyFont="1" applyBorder="1" applyAlignment="1">
      <alignment vertical="center"/>
    </xf>
    <xf numFmtId="40" fontId="6" fillId="0" borderId="2" xfId="1" applyNumberFormat="1" applyFont="1" applyBorder="1" applyAlignment="1">
      <alignment vertical="center"/>
    </xf>
    <xf numFmtId="38" fontId="6" fillId="0" borderId="0" xfId="0" applyNumberFormat="1" applyFont="1"/>
    <xf numFmtId="0" fontId="6" fillId="0" borderId="2" xfId="0" applyFont="1" applyBorder="1" applyAlignment="1">
      <alignment wrapText="1"/>
    </xf>
    <xf numFmtId="38" fontId="6" fillId="0" borderId="27" xfId="0" applyNumberFormat="1" applyFont="1" applyBorder="1"/>
    <xf numFmtId="40" fontId="6" fillId="0" borderId="27" xfId="0" applyNumberFormat="1" applyFont="1" applyBorder="1"/>
    <xf numFmtId="40" fontId="6" fillId="0" borderId="0" xfId="0" applyNumberFormat="1" applyFont="1"/>
    <xf numFmtId="0" fontId="6" fillId="0" borderId="2" xfId="0" quotePrefix="1" applyFont="1" applyFill="1" applyBorder="1" applyAlignment="1">
      <alignment horizontal="left" vertical="center"/>
    </xf>
    <xf numFmtId="0" fontId="37" fillId="0" borderId="0" xfId="55" applyFont="1">
      <alignment vertical="center"/>
    </xf>
    <xf numFmtId="0" fontId="6" fillId="0" borderId="0" xfId="56" applyFont="1" applyAlignment="1">
      <alignment vertical="center"/>
    </xf>
    <xf numFmtId="0" fontId="6" fillId="0" borderId="0" xfId="56" applyFont="1"/>
    <xf numFmtId="0" fontId="6" fillId="0" borderId="0" xfId="56" applyFont="1" applyAlignment="1">
      <alignment horizontal="right" vertical="center"/>
    </xf>
    <xf numFmtId="0" fontId="6" fillId="0" borderId="0" xfId="56" applyFont="1" applyFill="1" applyBorder="1"/>
    <xf numFmtId="0" fontId="6" fillId="0" borderId="1" xfId="56" applyFont="1" applyBorder="1" applyAlignment="1">
      <alignment vertical="center"/>
    </xf>
    <xf numFmtId="0" fontId="6" fillId="0" borderId="10" xfId="56" applyFont="1" applyBorder="1" applyAlignment="1">
      <alignment vertical="center"/>
    </xf>
    <xf numFmtId="38" fontId="6" fillId="0" borderId="0" xfId="56" applyNumberFormat="1" applyFont="1" applyAlignment="1">
      <alignment vertical="center"/>
    </xf>
    <xf numFmtId="188" fontId="6" fillId="0" borderId="0" xfId="56" applyNumberFormat="1" applyFont="1" applyFill="1" applyBorder="1" applyAlignment="1">
      <alignment horizontal="right"/>
    </xf>
    <xf numFmtId="0" fontId="6" fillId="0" borderId="40" xfId="56" applyFont="1" applyBorder="1" applyAlignment="1">
      <alignment vertical="center"/>
    </xf>
    <xf numFmtId="0" fontId="6" fillId="0" borderId="41" xfId="56" applyFont="1" applyBorder="1" applyAlignment="1">
      <alignment vertical="center"/>
    </xf>
    <xf numFmtId="0" fontId="6" fillId="0" borderId="0" xfId="56" applyFont="1" applyFill="1" applyBorder="1" applyAlignment="1">
      <alignment horizontal="distributed"/>
    </xf>
    <xf numFmtId="49" fontId="6" fillId="0" borderId="0" xfId="56" applyNumberFormat="1" applyFont="1" applyFill="1" applyBorder="1" applyAlignment="1">
      <alignment horizontal="distributed"/>
    </xf>
    <xf numFmtId="189" fontId="6" fillId="0" borderId="0" xfId="56" applyNumberFormat="1" applyFont="1" applyFill="1" applyBorder="1" applyAlignment="1">
      <alignment horizontal="right"/>
    </xf>
    <xf numFmtId="0" fontId="6" fillId="0" borderId="0" xfId="56" applyFont="1" applyFill="1" applyBorder="1" applyAlignment="1">
      <alignment horizontal="right"/>
    </xf>
    <xf numFmtId="0" fontId="6" fillId="0" borderId="0" xfId="56" applyFont="1" applyBorder="1" applyAlignment="1">
      <alignment vertical="center"/>
    </xf>
    <xf numFmtId="38" fontId="6" fillId="0" borderId="0" xfId="41" applyFont="1" applyBorder="1" applyAlignment="1">
      <alignment vertical="center"/>
    </xf>
    <xf numFmtId="176" fontId="6" fillId="0" borderId="0" xfId="56" applyNumberFormat="1" applyFont="1" applyBorder="1" applyAlignment="1">
      <alignment vertical="center"/>
    </xf>
    <xf numFmtId="176" fontId="6" fillId="0" borderId="0" xfId="56" applyNumberFormat="1" applyFont="1" applyFill="1" applyBorder="1" applyAlignment="1">
      <alignment vertical="center"/>
    </xf>
    <xf numFmtId="0" fontId="39" fillId="0" borderId="0" xfId="56" applyFont="1"/>
    <xf numFmtId="0" fontId="39" fillId="0" borderId="0" xfId="56" applyFont="1" applyFill="1" applyBorder="1" applyAlignment="1">
      <alignment horizontal="distributed"/>
    </xf>
    <xf numFmtId="49" fontId="39" fillId="0" borderId="0" xfId="56" applyNumberFormat="1" applyFont="1" applyFill="1" applyBorder="1" applyAlignment="1">
      <alignment horizontal="distributed"/>
    </xf>
    <xf numFmtId="0" fontId="39" fillId="0" borderId="0" xfId="56" applyFont="1" applyFill="1" applyBorder="1"/>
    <xf numFmtId="0" fontId="6" fillId="0" borderId="0" xfId="76" applyFont="1" applyAlignment="1"/>
    <xf numFmtId="0" fontId="30" fillId="0" borderId="0" xfId="56" applyFont="1" applyAlignment="1">
      <alignment vertical="center"/>
    </xf>
    <xf numFmtId="38" fontId="39" fillId="0" borderId="0" xfId="56" applyNumberFormat="1" applyFont="1" applyAlignment="1">
      <alignment vertical="center"/>
    </xf>
    <xf numFmtId="0" fontId="6" fillId="0" borderId="0" xfId="56" applyFont="1" applyFill="1" applyAlignment="1">
      <alignment vertical="center"/>
    </xf>
    <xf numFmtId="0" fontId="6" fillId="0" borderId="0" xfId="56" applyFont="1" applyFill="1" applyAlignment="1">
      <alignment horizontal="right" vertical="center"/>
    </xf>
    <xf numFmtId="0" fontId="30" fillId="0" borderId="0" xfId="56" applyFont="1" applyFill="1" applyAlignment="1">
      <alignment vertical="center"/>
    </xf>
    <xf numFmtId="38" fontId="39" fillId="0" borderId="0" xfId="56" applyNumberFormat="1" applyFont="1" applyFill="1" applyAlignment="1">
      <alignment vertical="center"/>
    </xf>
    <xf numFmtId="37" fontId="6" fillId="0" borderId="0" xfId="67" applyFont="1" applyBorder="1"/>
    <xf numFmtId="38" fontId="7" fillId="0" borderId="0" xfId="0" applyNumberFormat="1" applyFont="1"/>
    <xf numFmtId="0" fontId="6" fillId="0" borderId="0" xfId="68" applyFont="1" applyAlignment="1">
      <alignment horizontal="right"/>
    </xf>
    <xf numFmtId="0" fontId="9" fillId="0" borderId="6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6" fillId="0" borderId="0" xfId="68" applyFont="1" applyBorder="1"/>
    <xf numFmtId="191" fontId="6" fillId="0" borderId="0" xfId="68" applyNumberFormat="1" applyFont="1" applyBorder="1"/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Border="1" applyAlignment="1">
      <alignment horizontal="right"/>
    </xf>
    <xf numFmtId="0" fontId="6" fillId="0" borderId="10" xfId="0" applyFont="1" applyFill="1" applyBorder="1" applyAlignment="1">
      <alignment vertical="center" shrinkToFit="1"/>
    </xf>
    <xf numFmtId="0" fontId="6" fillId="0" borderId="40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 shrinkToFit="1"/>
    </xf>
    <xf numFmtId="0" fontId="6" fillId="0" borderId="0" xfId="0" applyFont="1" applyFill="1" applyAlignment="1">
      <alignment shrinkToFit="1"/>
    </xf>
    <xf numFmtId="37" fontId="6" fillId="0" borderId="0" xfId="67" applyFont="1" applyFill="1" applyBorder="1"/>
    <xf numFmtId="0" fontId="3" fillId="0" borderId="0" xfId="0" applyFont="1" applyFill="1"/>
    <xf numFmtId="38" fontId="3" fillId="0" borderId="0" xfId="0" applyNumberFormat="1" applyFont="1" applyFill="1"/>
    <xf numFmtId="0" fontId="6" fillId="0" borderId="0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0" xfId="0" quotePrefix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left"/>
    </xf>
    <xf numFmtId="0" fontId="6" fillId="0" borderId="0" xfId="68" applyFont="1" applyFill="1" applyAlignment="1">
      <alignment vertical="top"/>
    </xf>
    <xf numFmtId="37" fontId="7" fillId="0" borderId="0" xfId="67" applyFont="1" applyAlignment="1">
      <alignment vertical="center"/>
    </xf>
    <xf numFmtId="37" fontId="38" fillId="0" borderId="0" xfId="67" applyFont="1"/>
    <xf numFmtId="0" fontId="41" fillId="0" borderId="0" xfId="0" applyFont="1"/>
    <xf numFmtId="0" fontId="3" fillId="0" borderId="0" xfId="0" applyFont="1"/>
    <xf numFmtId="0" fontId="9" fillId="0" borderId="1" xfId="0" applyFont="1" applyFill="1" applyBorder="1"/>
    <xf numFmtId="0" fontId="9" fillId="0" borderId="1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42" fillId="0" borderId="0" xfId="0" applyFont="1"/>
    <xf numFmtId="0" fontId="9" fillId="0" borderId="4" xfId="0" applyFont="1" applyFill="1" applyBorder="1"/>
    <xf numFmtId="0" fontId="9" fillId="0" borderId="0" xfId="0" applyFont="1" applyFill="1" applyBorder="1"/>
    <xf numFmtId="0" fontId="9" fillId="0" borderId="40" xfId="0" applyFont="1" applyFill="1" applyBorder="1"/>
    <xf numFmtId="0" fontId="9" fillId="0" borderId="25" xfId="0" applyFont="1" applyFill="1" applyBorder="1"/>
    <xf numFmtId="0" fontId="6" fillId="0" borderId="16" xfId="0" applyFont="1" applyFill="1" applyBorder="1" applyAlignment="1">
      <alignment vertical="center"/>
    </xf>
    <xf numFmtId="0" fontId="9" fillId="0" borderId="46" xfId="0" applyFont="1" applyFill="1" applyBorder="1" applyAlignment="1">
      <alignment vertical="center"/>
    </xf>
    <xf numFmtId="0" fontId="9" fillId="0" borderId="44" xfId="0" applyFont="1" applyFill="1" applyBorder="1" applyAlignment="1">
      <alignment vertical="center"/>
    </xf>
    <xf numFmtId="0" fontId="0" fillId="0" borderId="0" xfId="0" applyBorder="1"/>
    <xf numFmtId="0" fontId="6" fillId="0" borderId="0" xfId="0" applyFont="1" applyFill="1" applyBorder="1" applyAlignment="1">
      <alignment vertical="center" shrinkToFit="1"/>
    </xf>
    <xf numFmtId="0" fontId="6" fillId="0" borderId="47" xfId="0" applyFont="1" applyFill="1" applyBorder="1" applyAlignment="1">
      <alignment vertical="center" shrinkToFit="1"/>
    </xf>
    <xf numFmtId="0" fontId="6" fillId="0" borderId="0" xfId="77" applyFont="1"/>
    <xf numFmtId="0" fontId="6" fillId="0" borderId="0" xfId="77" applyFont="1" applyAlignment="1"/>
    <xf numFmtId="177" fontId="0" fillId="0" borderId="0" xfId="0" applyNumberFormat="1"/>
    <xf numFmtId="38" fontId="0" fillId="0" borderId="0" xfId="0" applyNumberFormat="1"/>
    <xf numFmtId="0" fontId="6" fillId="0" borderId="0" xfId="78" applyFont="1" applyFill="1"/>
    <xf numFmtId="0" fontId="6" fillId="0" borderId="0" xfId="78" applyFont="1" applyFill="1" applyAlignment="1">
      <alignment horizontal="right"/>
    </xf>
    <xf numFmtId="0" fontId="6" fillId="0" borderId="0" xfId="78" applyFont="1" applyFill="1" applyBorder="1"/>
    <xf numFmtId="0" fontId="6" fillId="0" borderId="0" xfId="78" applyFont="1" applyFill="1" applyBorder="1" applyAlignment="1">
      <alignment horizontal="right"/>
    </xf>
    <xf numFmtId="0" fontId="6" fillId="0" borderId="0" xfId="78" applyFont="1" applyFill="1" applyAlignment="1">
      <alignment horizontal="center"/>
    </xf>
    <xf numFmtId="0" fontId="6" fillId="0" borderId="40" xfId="78" applyFont="1" applyFill="1" applyBorder="1" applyAlignment="1">
      <alignment horizontal="center" vertical="center"/>
    </xf>
    <xf numFmtId="0" fontId="6" fillId="0" borderId="41" xfId="78" applyFont="1" applyFill="1" applyBorder="1" applyAlignment="1">
      <alignment horizontal="center" vertical="center"/>
    </xf>
    <xf numFmtId="0" fontId="6" fillId="0" borderId="42" xfId="78" applyFont="1" applyFill="1" applyBorder="1" applyAlignment="1">
      <alignment horizontal="center" vertical="center" shrinkToFit="1"/>
    </xf>
    <xf numFmtId="0" fontId="6" fillId="0" borderId="21" xfId="78" applyFont="1" applyFill="1" applyBorder="1" applyAlignment="1">
      <alignment horizontal="center" vertical="center" shrinkToFit="1"/>
    </xf>
    <xf numFmtId="0" fontId="6" fillId="0" borderId="23" xfId="78" applyFont="1" applyFill="1" applyBorder="1" applyAlignment="1">
      <alignment horizontal="center" vertical="center" shrinkToFit="1"/>
    </xf>
    <xf numFmtId="0" fontId="6" fillId="0" borderId="40" xfId="78" applyFont="1" applyFill="1" applyBorder="1" applyAlignment="1">
      <alignment horizontal="center" vertical="center" shrinkToFit="1"/>
    </xf>
    <xf numFmtId="0" fontId="6" fillId="0" borderId="41" xfId="78" applyFont="1" applyFill="1" applyBorder="1" applyAlignment="1">
      <alignment horizontal="center" vertical="center" shrinkToFit="1"/>
    </xf>
    <xf numFmtId="0" fontId="6" fillId="0" borderId="20" xfId="78" applyFont="1" applyFill="1" applyBorder="1" applyAlignment="1">
      <alignment horizontal="center" vertical="center" shrinkToFit="1"/>
    </xf>
    <xf numFmtId="0" fontId="6" fillId="0" borderId="26" xfId="78" applyFont="1" applyFill="1" applyBorder="1" applyAlignment="1">
      <alignment vertical="center"/>
    </xf>
    <xf numFmtId="0" fontId="6" fillId="0" borderId="17" xfId="78" applyFont="1" applyFill="1" applyBorder="1" applyAlignment="1">
      <alignment vertical="center"/>
    </xf>
    <xf numFmtId="0" fontId="6" fillId="0" borderId="16" xfId="78" applyFont="1" applyFill="1" applyBorder="1" applyAlignment="1">
      <alignment vertical="center"/>
    </xf>
    <xf numFmtId="0" fontId="6" fillId="0" borderId="0" xfId="78" applyFont="1"/>
    <xf numFmtId="0" fontId="6" fillId="0" borderId="45" xfId="78" applyFont="1" applyFill="1" applyBorder="1" applyAlignment="1">
      <alignment vertical="center"/>
    </xf>
    <xf numFmtId="3" fontId="6" fillId="0" borderId="0" xfId="78" applyNumberFormat="1" applyFont="1" applyFill="1"/>
    <xf numFmtId="38" fontId="6" fillId="0" borderId="0" xfId="80" applyFont="1" applyFill="1" applyAlignment="1"/>
    <xf numFmtId="37" fontId="4" fillId="0" borderId="0" xfId="67" applyFont="1" applyFill="1" applyBorder="1"/>
    <xf numFmtId="0" fontId="43" fillId="0" borderId="0" xfId="78" applyFill="1"/>
    <xf numFmtId="0" fontId="9" fillId="0" borderId="0" xfId="78" applyFont="1" applyFill="1"/>
    <xf numFmtId="38" fontId="6" fillId="0" borderId="0" xfId="78" applyNumberFormat="1" applyFont="1" applyFill="1"/>
    <xf numFmtId="0" fontId="9" fillId="0" borderId="0" xfId="78" applyFont="1" applyFill="1" applyBorder="1" applyAlignment="1">
      <alignment horizontal="center" vertical="center"/>
    </xf>
    <xf numFmtId="0" fontId="9" fillId="0" borderId="0" xfId="78" applyFont="1" applyFill="1" applyBorder="1" applyAlignment="1">
      <alignment horizontal="center" vertical="center" wrapText="1"/>
    </xf>
    <xf numFmtId="177" fontId="9" fillId="0" borderId="28" xfId="81" applyNumberFormat="1" applyFont="1" applyFill="1" applyBorder="1" applyAlignment="1">
      <alignment vertical="center"/>
    </xf>
    <xf numFmtId="0" fontId="6" fillId="0" borderId="22" xfId="78" applyFont="1" applyFill="1" applyBorder="1" applyAlignment="1">
      <alignment vertical="center"/>
    </xf>
    <xf numFmtId="0" fontId="9" fillId="0" borderId="19" xfId="78" applyFont="1" applyFill="1" applyBorder="1" applyAlignment="1">
      <alignment vertical="center"/>
    </xf>
    <xf numFmtId="0" fontId="6" fillId="0" borderId="0" xfId="78" applyFont="1" applyFill="1" applyBorder="1" applyAlignment="1">
      <alignment vertical="center"/>
    </xf>
    <xf numFmtId="0" fontId="9" fillId="0" borderId="0" xfId="78" applyFont="1" applyFill="1" applyBorder="1" applyAlignment="1">
      <alignment vertical="center"/>
    </xf>
    <xf numFmtId="0" fontId="3" fillId="0" borderId="0" xfId="78" applyFont="1" applyFill="1"/>
    <xf numFmtId="0" fontId="3" fillId="0" borderId="0" xfId="78" applyFont="1"/>
    <xf numFmtId="0" fontId="6" fillId="0" borderId="0" xfId="78" applyFont="1" applyAlignment="1">
      <alignment horizontal="right"/>
    </xf>
    <xf numFmtId="0" fontId="6" fillId="0" borderId="0" xfId="78" applyFont="1" applyAlignment="1">
      <alignment vertical="center"/>
    </xf>
    <xf numFmtId="0" fontId="6" fillId="0" borderId="1" xfId="78" applyFont="1" applyBorder="1" applyAlignment="1">
      <alignment vertical="center"/>
    </xf>
    <xf numFmtId="0" fontId="6" fillId="0" borderId="10" xfId="78" applyFont="1" applyBorder="1" applyAlignment="1">
      <alignment vertical="center"/>
    </xf>
    <xf numFmtId="0" fontId="6" fillId="0" borderId="0" xfId="78" applyFont="1" applyAlignment="1">
      <alignment vertical="center" wrapText="1"/>
    </xf>
    <xf numFmtId="0" fontId="6" fillId="0" borderId="4" xfId="78" applyFont="1" applyBorder="1" applyAlignment="1">
      <alignment vertical="center" wrapText="1"/>
    </xf>
    <xf numFmtId="0" fontId="6" fillId="0" borderId="11" xfId="78" applyFont="1" applyBorder="1" applyAlignment="1">
      <alignment vertical="center" wrapText="1"/>
    </xf>
    <xf numFmtId="0" fontId="6" fillId="0" borderId="40" xfId="78" applyFont="1" applyBorder="1" applyAlignment="1">
      <alignment vertical="center" wrapText="1"/>
    </xf>
    <xf numFmtId="0" fontId="6" fillId="0" borderId="41" xfId="78" applyFont="1" applyBorder="1" applyAlignment="1">
      <alignment vertical="center" wrapText="1"/>
    </xf>
    <xf numFmtId="0" fontId="6" fillId="0" borderId="0" xfId="78" applyFont="1" applyAlignment="1">
      <alignment vertical="top"/>
    </xf>
    <xf numFmtId="37" fontId="37" fillId="0" borderId="0" xfId="67" applyFont="1" applyFill="1"/>
    <xf numFmtId="0" fontId="37" fillId="0" borderId="0" xfId="0" applyFont="1" applyFill="1"/>
    <xf numFmtId="0" fontId="37" fillId="0" borderId="0" xfId="0" applyFont="1" applyFill="1" applyAlignment="1">
      <alignment horizontal="right"/>
    </xf>
    <xf numFmtId="38" fontId="37" fillId="0" borderId="0" xfId="1" applyFont="1" applyFill="1"/>
    <xf numFmtId="38" fontId="37" fillId="0" borderId="1" xfId="1" applyFont="1" applyFill="1" applyBorder="1"/>
    <xf numFmtId="38" fontId="37" fillId="0" borderId="10" xfId="1" applyFont="1" applyFill="1" applyBorder="1"/>
    <xf numFmtId="0" fontId="37" fillId="0" borderId="40" xfId="0" applyFont="1" applyFill="1" applyBorder="1" applyAlignment="1">
      <alignment horizontal="left" vertical="center"/>
    </xf>
    <xf numFmtId="38" fontId="37" fillId="0" borderId="41" xfId="1" applyFont="1" applyFill="1" applyBorder="1" applyAlignment="1">
      <alignment horizontal="left"/>
    </xf>
    <xf numFmtId="0" fontId="37" fillId="0" borderId="0" xfId="0" applyFont="1" applyFill="1" applyAlignment="1">
      <alignment vertical="center"/>
    </xf>
    <xf numFmtId="0" fontId="37" fillId="0" borderId="0" xfId="0" applyFont="1" applyFill="1" applyAlignment="1">
      <alignment horizontal="left"/>
    </xf>
    <xf numFmtId="0" fontId="37" fillId="0" borderId="0" xfId="0" applyFont="1" applyFill="1" applyAlignment="1"/>
    <xf numFmtId="0" fontId="6" fillId="0" borderId="0" xfId="82" applyFont="1" applyFill="1" applyAlignment="1">
      <alignment vertical="center"/>
    </xf>
    <xf numFmtId="38" fontId="6" fillId="0" borderId="0" xfId="82" applyNumberFormat="1" applyFont="1" applyFill="1" applyAlignment="1">
      <alignment vertical="center"/>
    </xf>
    <xf numFmtId="0" fontId="6" fillId="0" borderId="1" xfId="82" applyFont="1" applyFill="1" applyBorder="1" applyAlignment="1">
      <alignment vertical="center"/>
    </xf>
    <xf numFmtId="0" fontId="6" fillId="0" borderId="10" xfId="82" applyFont="1" applyFill="1" applyBorder="1" applyAlignment="1">
      <alignment vertical="center"/>
    </xf>
    <xf numFmtId="0" fontId="6" fillId="0" borderId="40" xfId="82" applyFont="1" applyFill="1" applyBorder="1" applyAlignment="1">
      <alignment vertical="center"/>
    </xf>
    <xf numFmtId="0" fontId="6" fillId="0" borderId="41" xfId="82" applyFont="1" applyFill="1" applyBorder="1" applyAlignment="1">
      <alignment vertical="center"/>
    </xf>
    <xf numFmtId="0" fontId="6" fillId="0" borderId="16" xfId="82" applyFont="1" applyFill="1" applyBorder="1" applyAlignment="1">
      <alignment vertical="center"/>
    </xf>
    <xf numFmtId="0" fontId="6" fillId="0" borderId="18" xfId="82" applyFont="1" applyFill="1" applyBorder="1" applyAlignment="1">
      <alignment vertical="center"/>
    </xf>
    <xf numFmtId="0" fontId="6" fillId="0" borderId="19" xfId="82" applyFont="1" applyFill="1" applyBorder="1" applyAlignment="1">
      <alignment vertical="center"/>
    </xf>
    <xf numFmtId="0" fontId="6" fillId="0" borderId="0" xfId="82" applyFont="1" applyFill="1"/>
    <xf numFmtId="0" fontId="6" fillId="0" borderId="25" xfId="0" applyFont="1" applyBorder="1" applyAlignment="1">
      <alignment horizontal="right"/>
    </xf>
    <xf numFmtId="0" fontId="6" fillId="0" borderId="10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177" fontId="9" fillId="0" borderId="2" xfId="1" applyNumberFormat="1" applyFont="1" applyBorder="1" applyAlignment="1">
      <alignment vertical="center"/>
    </xf>
    <xf numFmtId="177" fontId="9" fillId="0" borderId="2" xfId="1" applyNumberFormat="1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6" fillId="0" borderId="2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38" fontId="6" fillId="0" borderId="2" xfId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wrapText="1"/>
    </xf>
    <xf numFmtId="38" fontId="6" fillId="0" borderId="0" xfId="1" applyFont="1" applyBorder="1" applyAlignment="1">
      <alignment vertical="center"/>
    </xf>
    <xf numFmtId="177" fontId="6" fillId="0" borderId="0" xfId="1" applyNumberFormat="1" applyFont="1" applyBorder="1" applyAlignment="1">
      <alignment vertical="center"/>
    </xf>
    <xf numFmtId="37" fontId="3" fillId="0" borderId="0" xfId="67" applyFont="1"/>
    <xf numFmtId="185" fontId="3" fillId="0" borderId="0" xfId="75" applyNumberFormat="1" applyFont="1" applyFill="1"/>
    <xf numFmtId="0" fontId="6" fillId="0" borderId="3" xfId="0" applyFont="1" applyFill="1" applyBorder="1"/>
    <xf numFmtId="0" fontId="4" fillId="0" borderId="0" xfId="0" applyFont="1"/>
    <xf numFmtId="0" fontId="6" fillId="0" borderId="28" xfId="124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6" fillId="0" borderId="2" xfId="124" applyFont="1" applyFill="1" applyBorder="1" applyAlignment="1">
      <alignment vertical="center"/>
    </xf>
    <xf numFmtId="38" fontId="6" fillId="0" borderId="2" xfId="73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0" fontId="6" fillId="0" borderId="2" xfId="124" applyFont="1" applyFill="1" applyBorder="1" applyAlignment="1">
      <alignment vertical="center" wrapText="1"/>
    </xf>
    <xf numFmtId="38" fontId="6" fillId="0" borderId="2" xfId="73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85" fontId="3" fillId="0" borderId="0" xfId="75" applyNumberFormat="1" applyFont="1" applyFill="1" applyAlignment="1">
      <alignment vertical="center"/>
    </xf>
    <xf numFmtId="0" fontId="6" fillId="0" borderId="1" xfId="0" applyFont="1" applyFill="1" applyBorder="1"/>
    <xf numFmtId="0" fontId="6" fillId="0" borderId="24" xfId="0" applyFont="1" applyFill="1" applyBorder="1"/>
    <xf numFmtId="0" fontId="6" fillId="0" borderId="40" xfId="0" applyFont="1" applyFill="1" applyBorder="1"/>
    <xf numFmtId="0" fontId="6" fillId="0" borderId="25" xfId="0" applyFont="1" applyFill="1" applyBorder="1"/>
    <xf numFmtId="38" fontId="6" fillId="0" borderId="13" xfId="0" applyNumberFormat="1" applyFont="1" applyFill="1" applyBorder="1" applyAlignment="1">
      <alignment vertical="center"/>
    </xf>
    <xf numFmtId="38" fontId="6" fillId="0" borderId="14" xfId="0" applyNumberFormat="1" applyFont="1" applyFill="1" applyBorder="1" applyAlignment="1">
      <alignment vertical="center"/>
    </xf>
    <xf numFmtId="38" fontId="6" fillId="0" borderId="16" xfId="0" applyNumberFormat="1" applyFont="1" applyFill="1" applyBorder="1" applyAlignment="1">
      <alignment vertical="center"/>
    </xf>
    <xf numFmtId="0" fontId="6" fillId="0" borderId="26" xfId="0" applyFont="1" applyFill="1" applyBorder="1"/>
    <xf numFmtId="0" fontId="6" fillId="0" borderId="19" xfId="0" applyFont="1" applyFill="1" applyBorder="1"/>
    <xf numFmtId="0" fontId="6" fillId="0" borderId="26" xfId="0" applyFont="1" applyFill="1" applyBorder="1" applyAlignment="1">
      <alignment vertical="center" shrinkToFit="1"/>
    </xf>
    <xf numFmtId="38" fontId="6" fillId="0" borderId="19" xfId="0" applyNumberFormat="1" applyFont="1" applyFill="1" applyBorder="1" applyAlignment="1">
      <alignment vertical="center"/>
    </xf>
    <xf numFmtId="38" fontId="3" fillId="0" borderId="0" xfId="0" applyNumberFormat="1" applyFont="1"/>
    <xf numFmtId="0" fontId="3" fillId="0" borderId="0" xfId="0" applyFont="1" applyBorder="1"/>
    <xf numFmtId="38" fontId="3" fillId="0" borderId="5" xfId="0" applyNumberFormat="1" applyFont="1" applyBorder="1"/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/>
    <xf numFmtId="38" fontId="6" fillId="0" borderId="2" xfId="1" applyFont="1" applyBorder="1" applyAlignment="1">
      <alignment horizontal="right" vertical="center" shrinkToFit="1"/>
    </xf>
    <xf numFmtId="177" fontId="6" fillId="0" borderId="2" xfId="1" applyNumberFormat="1" applyFont="1" applyBorder="1" applyAlignment="1">
      <alignment horizontal="right" vertical="center" shrinkToFit="1"/>
    </xf>
    <xf numFmtId="0" fontId="0" fillId="0" borderId="0" xfId="0" applyFont="1"/>
    <xf numFmtId="38" fontId="6" fillId="0" borderId="0" xfId="1" applyFont="1" applyBorder="1" applyAlignment="1">
      <alignment horizontal="righ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38" fontId="3" fillId="0" borderId="0" xfId="1" applyFont="1"/>
    <xf numFmtId="38" fontId="3" fillId="0" borderId="0" xfId="1" applyFont="1" applyBorder="1"/>
    <xf numFmtId="37" fontId="36" fillId="0" borderId="0" xfId="67" applyFont="1" applyFill="1"/>
    <xf numFmtId="0" fontId="41" fillId="0" borderId="0" xfId="0" applyFont="1" applyFill="1"/>
    <xf numFmtId="38" fontId="0" fillId="0" borderId="0" xfId="0" applyNumberFormat="1" applyFont="1" applyFill="1"/>
    <xf numFmtId="38" fontId="3" fillId="0" borderId="0" xfId="1" applyFont="1" applyFill="1"/>
    <xf numFmtId="0" fontId="6" fillId="0" borderId="0" xfId="128" applyFont="1" applyAlignment="1">
      <alignment vertical="center"/>
    </xf>
    <xf numFmtId="0" fontId="6" fillId="0" borderId="0" xfId="129" applyFont="1" applyAlignment="1">
      <alignment vertical="center"/>
    </xf>
    <xf numFmtId="0" fontId="6" fillId="0" borderId="0" xfId="128" applyFont="1" applyAlignment="1">
      <alignment horizontal="right" vertical="center"/>
    </xf>
    <xf numFmtId="0" fontId="6" fillId="0" borderId="0" xfId="128" applyFont="1" applyFill="1" applyAlignment="1">
      <alignment vertical="center"/>
    </xf>
    <xf numFmtId="0" fontId="6" fillId="0" borderId="0" xfId="58" applyFont="1"/>
    <xf numFmtId="0" fontId="6" fillId="0" borderId="1" xfId="58" applyFont="1" applyFill="1" applyBorder="1"/>
    <xf numFmtId="0" fontId="6" fillId="0" borderId="24" xfId="58" applyFont="1" applyFill="1" applyBorder="1"/>
    <xf numFmtId="0" fontId="6" fillId="0" borderId="10" xfId="58" applyFont="1" applyFill="1" applyBorder="1"/>
    <xf numFmtId="0" fontId="6" fillId="0" borderId="0" xfId="58" applyFont="1" applyFill="1" applyBorder="1"/>
    <xf numFmtId="0" fontId="6" fillId="0" borderId="4" xfId="58" applyFont="1" applyFill="1" applyBorder="1"/>
    <xf numFmtId="0" fontId="6" fillId="0" borderId="40" xfId="128" applyFont="1" applyFill="1" applyBorder="1" applyAlignment="1">
      <alignment vertical="center"/>
    </xf>
    <xf numFmtId="0" fontId="6" fillId="0" borderId="25" xfId="128" applyFont="1" applyFill="1" applyBorder="1" applyAlignment="1">
      <alignment vertical="center"/>
    </xf>
    <xf numFmtId="0" fontId="6" fillId="0" borderId="25" xfId="128" applyFont="1" applyFill="1" applyBorder="1" applyAlignment="1">
      <alignment horizontal="center" vertical="center"/>
    </xf>
    <xf numFmtId="0" fontId="6" fillId="0" borderId="2" xfId="128" applyFont="1" applyFill="1" applyBorder="1" applyAlignment="1">
      <alignment horizontal="center" vertical="center"/>
    </xf>
    <xf numFmtId="0" fontId="6" fillId="0" borderId="2" xfId="128" applyFont="1" applyFill="1" applyBorder="1" applyAlignment="1">
      <alignment horizontal="center" vertical="center" wrapText="1"/>
    </xf>
    <xf numFmtId="0" fontId="6" fillId="0" borderId="0" xfId="128" applyFont="1" applyFill="1" applyBorder="1" applyAlignment="1">
      <alignment vertical="center"/>
    </xf>
    <xf numFmtId="0" fontId="64" fillId="0" borderId="0" xfId="58" applyFont="1" applyFill="1" applyBorder="1"/>
    <xf numFmtId="0" fontId="6" fillId="0" borderId="3" xfId="128" applyFont="1" applyFill="1" applyBorder="1" applyAlignment="1">
      <alignment horizontal="left" vertical="center"/>
    </xf>
    <xf numFmtId="0" fontId="6" fillId="0" borderId="2" xfId="128" applyFont="1" applyFill="1" applyBorder="1" applyAlignment="1">
      <alignment horizontal="left" vertical="center"/>
    </xf>
    <xf numFmtId="0" fontId="6" fillId="0" borderId="2" xfId="128" applyFont="1" applyFill="1" applyBorder="1" applyAlignment="1">
      <alignment vertical="center"/>
    </xf>
    <xf numFmtId="3" fontId="6" fillId="0" borderId="2" xfId="128" applyNumberFormat="1" applyFont="1" applyFill="1" applyBorder="1" applyAlignment="1">
      <alignment vertical="center"/>
    </xf>
    <xf numFmtId="177" fontId="6" fillId="0" borderId="2" xfId="42" applyNumberFormat="1" applyFont="1" applyFill="1" applyBorder="1" applyAlignment="1">
      <alignment vertical="center"/>
    </xf>
    <xf numFmtId="3" fontId="6" fillId="0" borderId="0" xfId="128" applyNumberFormat="1" applyFont="1" applyFill="1" applyBorder="1" applyAlignment="1">
      <alignment vertical="center"/>
    </xf>
    <xf numFmtId="38" fontId="6" fillId="0" borderId="0" xfId="42" applyFont="1" applyFill="1" applyBorder="1" applyAlignment="1">
      <alignment vertical="center"/>
    </xf>
    <xf numFmtId="0" fontId="6" fillId="0" borderId="28" xfId="128" applyFont="1" applyFill="1" applyBorder="1" applyAlignment="1">
      <alignment horizontal="left" vertical="center"/>
    </xf>
    <xf numFmtId="0" fontId="6" fillId="0" borderId="28" xfId="128" applyFont="1" applyFill="1" applyBorder="1" applyAlignment="1">
      <alignment vertical="center"/>
    </xf>
    <xf numFmtId="0" fontId="6" fillId="0" borderId="2" xfId="128" applyFont="1" applyFill="1" applyBorder="1" applyAlignment="1">
      <alignment horizontal="left" vertical="center" shrinkToFit="1"/>
    </xf>
    <xf numFmtId="0" fontId="6" fillId="0" borderId="5" xfId="128" applyFont="1" applyFill="1" applyBorder="1" applyAlignment="1">
      <alignment vertical="center"/>
    </xf>
    <xf numFmtId="0" fontId="6" fillId="0" borderId="1" xfId="58" applyFont="1" applyBorder="1"/>
    <xf numFmtId="0" fontId="6" fillId="0" borderId="24" xfId="58" applyFont="1" applyBorder="1"/>
    <xf numFmtId="0" fontId="6" fillId="0" borderId="10" xfId="58" applyFont="1" applyBorder="1"/>
    <xf numFmtId="0" fontId="6" fillId="0" borderId="4" xfId="58" applyFont="1" applyBorder="1"/>
    <xf numFmtId="0" fontId="6" fillId="0" borderId="0" xfId="58" applyFont="1" applyBorder="1"/>
    <xf numFmtId="0" fontId="6" fillId="0" borderId="40" xfId="128" applyFont="1" applyBorder="1" applyAlignment="1">
      <alignment vertical="center"/>
    </xf>
    <xf numFmtId="0" fontId="6" fillId="0" borderId="25" xfId="128" applyFont="1" applyBorder="1" applyAlignment="1">
      <alignment vertical="center"/>
    </xf>
    <xf numFmtId="0" fontId="6" fillId="0" borderId="25" xfId="128" applyFont="1" applyBorder="1" applyAlignment="1">
      <alignment horizontal="center" vertical="center"/>
    </xf>
    <xf numFmtId="3" fontId="6" fillId="0" borderId="0" xfId="128" applyNumberFormat="1" applyFont="1" applyAlignment="1">
      <alignment vertical="center"/>
    </xf>
    <xf numFmtId="186" fontId="37" fillId="0" borderId="2" xfId="1" applyNumberFormat="1" applyFont="1" applyFill="1" applyBorder="1" applyAlignment="1">
      <alignment horizontal="right" vertical="center"/>
    </xf>
    <xf numFmtId="183" fontId="6" fillId="0" borderId="0" xfId="0" applyNumberFormat="1" applyFont="1" applyFill="1" applyAlignment="1"/>
    <xf numFmtId="0" fontId="6" fillId="0" borderId="0" xfId="0" applyFont="1" applyFill="1" applyAlignment="1">
      <alignment horizontal="center" wrapText="1"/>
    </xf>
    <xf numFmtId="0" fontId="67" fillId="0" borderId="0" xfId="69" applyFont="1"/>
    <xf numFmtId="0" fontId="31" fillId="0" borderId="0" xfId="69" applyAlignment="1">
      <alignment horizontal="center"/>
    </xf>
    <xf numFmtId="0" fontId="28" fillId="33" borderId="0" xfId="0" applyFont="1" applyFill="1"/>
    <xf numFmtId="0" fontId="28" fillId="33" borderId="0" xfId="68" applyFont="1" applyFill="1" applyAlignment="1">
      <alignment horizontal="left"/>
    </xf>
    <xf numFmtId="0" fontId="28" fillId="33" borderId="0" xfId="0" applyFont="1" applyFill="1" applyBorder="1"/>
    <xf numFmtId="0" fontId="68" fillId="33" borderId="0" xfId="0" applyFont="1" applyFill="1"/>
    <xf numFmtId="0" fontId="28" fillId="33" borderId="0" xfId="0" applyFont="1" applyFill="1" applyBorder="1" applyAlignment="1">
      <alignment vertical="center"/>
    </xf>
    <xf numFmtId="0" fontId="28" fillId="33" borderId="0" xfId="0" applyFont="1" applyFill="1" applyAlignment="1">
      <alignment vertical="center"/>
    </xf>
    <xf numFmtId="37" fontId="28" fillId="33" borderId="0" xfId="67" applyFont="1" applyFill="1"/>
    <xf numFmtId="37" fontId="68" fillId="33" borderId="0" xfId="67" applyFont="1" applyFill="1"/>
    <xf numFmtId="0" fontId="6" fillId="0" borderId="2" xfId="0" applyFont="1" applyFill="1" applyBorder="1" applyAlignment="1">
      <alignment horizontal="center" vertical="center" shrinkToFit="1"/>
    </xf>
    <xf numFmtId="0" fontId="6" fillId="0" borderId="2" xfId="124" applyFont="1" applyFill="1" applyBorder="1" applyAlignment="1">
      <alignment horizontal="center" vertical="center" shrinkToFit="1"/>
    </xf>
    <xf numFmtId="195" fontId="6" fillId="0" borderId="0" xfId="0" applyNumberFormat="1" applyFont="1" applyFill="1"/>
    <xf numFmtId="38" fontId="6" fillId="0" borderId="0" xfId="56" applyNumberFormat="1" applyFont="1"/>
    <xf numFmtId="37" fontId="28" fillId="0" borderId="0" xfId="67" applyFont="1" applyFill="1"/>
    <xf numFmtId="37" fontId="65" fillId="0" borderId="0" xfId="67" applyFont="1" applyFill="1"/>
    <xf numFmtId="0" fontId="65" fillId="0" borderId="0" xfId="0" applyFont="1" applyFill="1"/>
    <xf numFmtId="196" fontId="69" fillId="0" borderId="0" xfId="0" applyNumberFormat="1" applyFont="1" applyFill="1" applyAlignment="1">
      <alignment vertical="center"/>
    </xf>
    <xf numFmtId="0" fontId="65" fillId="0" borderId="0" xfId="0" applyFont="1" applyFill="1" applyAlignment="1">
      <alignment vertical="center"/>
    </xf>
    <xf numFmtId="0" fontId="65" fillId="0" borderId="0" xfId="0" applyFont="1" applyFill="1" applyAlignment="1">
      <alignment horizontal="right" vertical="center"/>
    </xf>
    <xf numFmtId="38" fontId="65" fillId="0" borderId="0" xfId="0" applyNumberFormat="1" applyFont="1" applyFill="1"/>
    <xf numFmtId="0" fontId="6" fillId="0" borderId="0" xfId="68" applyFont="1" applyAlignment="1">
      <alignment wrapText="1"/>
    </xf>
    <xf numFmtId="0" fontId="66" fillId="0" borderId="0" xfId="68" applyFont="1"/>
    <xf numFmtId="184" fontId="66" fillId="0" borderId="0" xfId="68" applyNumberFormat="1" applyFont="1" applyAlignment="1">
      <alignment horizontal="right"/>
    </xf>
    <xf numFmtId="184" fontId="30" fillId="0" borderId="0" xfId="68" applyNumberFormat="1" applyFont="1" applyAlignment="1">
      <alignment horizontal="right"/>
    </xf>
    <xf numFmtId="0" fontId="30" fillId="0" borderId="0" xfId="68" applyFont="1"/>
    <xf numFmtId="0" fontId="30" fillId="0" borderId="0" xfId="0" applyFont="1"/>
    <xf numFmtId="0" fontId="66" fillId="0" borderId="0" xfId="0" applyFont="1"/>
    <xf numFmtId="0" fontId="66" fillId="0" borderId="0" xfId="0" applyFont="1" applyFill="1"/>
    <xf numFmtId="0" fontId="66" fillId="0" borderId="0" xfId="0" applyFont="1" applyFill="1" applyBorder="1"/>
    <xf numFmtId="0" fontId="66" fillId="0" borderId="0" xfId="0" applyFont="1" applyBorder="1"/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/>
    </xf>
    <xf numFmtId="0" fontId="6" fillId="0" borderId="2" xfId="56" applyFont="1" applyBorder="1" applyAlignment="1">
      <alignment vertical="center"/>
    </xf>
    <xf numFmtId="0" fontId="6" fillId="0" borderId="2" xfId="56" applyFont="1" applyBorder="1" applyAlignment="1">
      <alignment horizontal="center" vertical="center" wrapText="1"/>
    </xf>
    <xf numFmtId="0" fontId="6" fillId="0" borderId="2" xfId="56" applyFont="1" applyFill="1" applyBorder="1" applyAlignment="1">
      <alignment horizontal="center" vertical="center" wrapText="1"/>
    </xf>
    <xf numFmtId="38" fontId="6" fillId="0" borderId="2" xfId="41" applyFont="1" applyBorder="1" applyAlignment="1">
      <alignment vertical="center"/>
    </xf>
    <xf numFmtId="176" fontId="6" fillId="0" borderId="2" xfId="75" applyNumberFormat="1" applyFont="1" applyBorder="1" applyAlignment="1">
      <alignment vertical="center"/>
    </xf>
    <xf numFmtId="38" fontId="6" fillId="0" borderId="2" xfId="41" applyFont="1" applyFill="1" applyBorder="1" applyAlignment="1">
      <alignment vertical="center"/>
    </xf>
    <xf numFmtId="176" fontId="6" fillId="0" borderId="2" xfId="75" applyNumberFormat="1" applyFont="1" applyFill="1" applyBorder="1" applyAlignment="1">
      <alignment vertical="center"/>
    </xf>
    <xf numFmtId="0" fontId="6" fillId="0" borderId="2" xfId="56" applyFont="1" applyBorder="1" applyAlignment="1">
      <alignment horizontal="left" vertical="center"/>
    </xf>
    <xf numFmtId="1" fontId="6" fillId="0" borderId="2" xfId="75" applyNumberFormat="1" applyFont="1" applyFill="1" applyBorder="1" applyAlignment="1">
      <alignment vertical="center"/>
    </xf>
    <xf numFmtId="0" fontId="6" fillId="0" borderId="3" xfId="56" applyFont="1" applyBorder="1" applyAlignment="1">
      <alignment vertical="center"/>
    </xf>
    <xf numFmtId="0" fontId="6" fillId="0" borderId="28" xfId="56" applyFont="1" applyBorder="1" applyAlignment="1">
      <alignment vertical="center"/>
    </xf>
    <xf numFmtId="0" fontId="6" fillId="0" borderId="5" xfId="56" applyFont="1" applyBorder="1" applyAlignment="1">
      <alignment vertical="center"/>
    </xf>
    <xf numFmtId="0" fontId="39" fillId="0" borderId="2" xfId="56" applyFont="1" applyBorder="1" applyAlignment="1">
      <alignment horizontal="center"/>
    </xf>
    <xf numFmtId="0" fontId="65" fillId="0" borderId="0" xfId="56" applyFont="1"/>
    <xf numFmtId="38" fontId="6" fillId="0" borderId="2" xfId="1" quotePrefix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2" xfId="1" applyFont="1" applyBorder="1" applyAlignment="1"/>
    <xf numFmtId="190" fontId="6" fillId="0" borderId="2" xfId="0" quotePrefix="1" applyNumberFormat="1" applyFont="1" applyFill="1" applyBorder="1" applyAlignment="1">
      <alignment horizontal="right" vertical="center"/>
    </xf>
    <xf numFmtId="191" fontId="6" fillId="0" borderId="2" xfId="0" applyNumberFormat="1" applyFont="1" applyFill="1" applyBorder="1" applyAlignment="1">
      <alignment horizontal="right" vertical="center"/>
    </xf>
    <xf numFmtId="191" fontId="6" fillId="0" borderId="2" xfId="0" quotePrefix="1" applyNumberFormat="1" applyFont="1" applyFill="1" applyBorder="1" applyAlignment="1">
      <alignment horizontal="right" vertical="center"/>
    </xf>
    <xf numFmtId="38" fontId="6" fillId="0" borderId="2" xfId="1" applyFont="1" applyBorder="1" applyAlignment="1">
      <alignment horizontal="right"/>
    </xf>
    <xf numFmtId="0" fontId="9" fillId="0" borderId="4" xfId="0" applyFont="1" applyFill="1" applyBorder="1" applyAlignment="1">
      <alignment vertical="center"/>
    </xf>
    <xf numFmtId="0" fontId="9" fillId="0" borderId="40" xfId="0" applyFont="1" applyFill="1" applyBorder="1" applyAlignment="1">
      <alignment vertical="center"/>
    </xf>
    <xf numFmtId="0" fontId="9" fillId="0" borderId="2" xfId="0" quotePrefix="1" applyFont="1" applyFill="1" applyBorder="1" applyAlignment="1">
      <alignment horizontal="left" vertical="center"/>
    </xf>
    <xf numFmtId="192" fontId="6" fillId="0" borderId="2" xfId="0" quotePrefix="1" applyNumberFormat="1" applyFont="1" applyFill="1" applyBorder="1" applyAlignment="1">
      <alignment horizontal="right" vertical="center"/>
    </xf>
    <xf numFmtId="193" fontId="6" fillId="0" borderId="2" xfId="0" applyNumberFormat="1" applyFont="1" applyFill="1" applyBorder="1" applyAlignment="1">
      <alignment horizontal="right" vertical="center"/>
    </xf>
    <xf numFmtId="193" fontId="6" fillId="0" borderId="2" xfId="0" quotePrefix="1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 wrapText="1"/>
    </xf>
    <xf numFmtId="38" fontId="6" fillId="0" borderId="6" xfId="1" applyFont="1" applyFill="1" applyBorder="1" applyAlignment="1">
      <alignment horizontal="right" vertical="center"/>
    </xf>
    <xf numFmtId="38" fontId="6" fillId="0" borderId="6" xfId="1" applyFont="1" applyBorder="1" applyAlignment="1"/>
    <xf numFmtId="193" fontId="6" fillId="0" borderId="6" xfId="0" applyNumberFormat="1" applyFont="1" applyFill="1" applyBorder="1" applyAlignment="1">
      <alignment horizontal="right" vertical="center"/>
    </xf>
    <xf numFmtId="193" fontId="6" fillId="0" borderId="6" xfId="0" quotePrefix="1" applyNumberFormat="1" applyFont="1" applyFill="1" applyBorder="1" applyAlignment="1">
      <alignment horizontal="right" vertical="center"/>
    </xf>
    <xf numFmtId="38" fontId="6" fillId="0" borderId="6" xfId="1" applyFont="1" applyBorder="1" applyAlignment="1">
      <alignment horizontal="right"/>
    </xf>
    <xf numFmtId="0" fontId="6" fillId="0" borderId="48" xfId="0" applyFont="1" applyFill="1" applyBorder="1" applyAlignment="1">
      <alignment horizontal="center" vertical="center" wrapText="1"/>
    </xf>
    <xf numFmtId="38" fontId="6" fillId="0" borderId="48" xfId="1" applyFont="1" applyFill="1" applyBorder="1" applyAlignment="1">
      <alignment horizontal="right" vertical="center"/>
    </xf>
    <xf numFmtId="38" fontId="6" fillId="0" borderId="48" xfId="1" applyFont="1" applyBorder="1" applyAlignment="1"/>
    <xf numFmtId="193" fontId="6" fillId="0" borderId="48" xfId="0" applyNumberFormat="1" applyFont="1" applyFill="1" applyBorder="1" applyAlignment="1">
      <alignment horizontal="right" vertical="center"/>
    </xf>
    <xf numFmtId="193" fontId="6" fillId="0" borderId="48" xfId="0" quotePrefix="1" applyNumberFormat="1" applyFont="1" applyFill="1" applyBorder="1" applyAlignment="1">
      <alignment horizontal="right" vertical="center"/>
    </xf>
    <xf numFmtId="38" fontId="6" fillId="0" borderId="48" xfId="1" applyFont="1" applyBorder="1" applyAlignment="1">
      <alignment horizontal="right"/>
    </xf>
    <xf numFmtId="38" fontId="6" fillId="0" borderId="2" xfId="0" applyNumberFormat="1" applyFont="1" applyFill="1" applyBorder="1" applyAlignment="1">
      <alignment horizontal="right" vertical="center" wrapText="1"/>
    </xf>
    <xf numFmtId="176" fontId="6" fillId="0" borderId="2" xfId="0" applyNumberFormat="1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2" xfId="0" quotePrefix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6" fillId="0" borderId="40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 shrinkToFit="1"/>
    </xf>
    <xf numFmtId="3" fontId="6" fillId="0" borderId="3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38" fontId="6" fillId="0" borderId="2" xfId="41" applyFont="1" applyFill="1" applyBorder="1"/>
    <xf numFmtId="177" fontId="6" fillId="0" borderId="2" xfId="41" applyNumberFormat="1" applyFont="1" applyFill="1" applyBorder="1"/>
    <xf numFmtId="38" fontId="6" fillId="0" borderId="2" xfId="41" applyNumberFormat="1" applyFont="1" applyFill="1" applyBorder="1"/>
    <xf numFmtId="38" fontId="6" fillId="0" borderId="2" xfId="41" applyFont="1" applyFill="1" applyBorder="1" applyAlignment="1"/>
    <xf numFmtId="38" fontId="6" fillId="0" borderId="2" xfId="41" applyFont="1" applyFill="1" applyBorder="1" applyAlignment="1">
      <alignment horizontal="right"/>
    </xf>
    <xf numFmtId="0" fontId="6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66" fillId="0" borderId="0" xfId="77" applyFont="1"/>
    <xf numFmtId="184" fontId="66" fillId="0" borderId="0" xfId="77" applyNumberFormat="1" applyFont="1" applyAlignment="1">
      <alignment horizontal="left"/>
    </xf>
    <xf numFmtId="0" fontId="6" fillId="0" borderId="1" xfId="78" applyFont="1" applyFill="1" applyBorder="1"/>
    <xf numFmtId="0" fontId="6" fillId="0" borderId="10" xfId="68" applyFont="1" applyFill="1" applyBorder="1"/>
    <xf numFmtId="0" fontId="6" fillId="0" borderId="4" xfId="78" applyFont="1" applyFill="1" applyBorder="1" applyAlignment="1">
      <alignment vertical="center"/>
    </xf>
    <xf numFmtId="0" fontId="6" fillId="0" borderId="11" xfId="78" applyFont="1" applyFill="1" applyBorder="1" applyAlignment="1">
      <alignment vertical="center"/>
    </xf>
    <xf numFmtId="0" fontId="6" fillId="0" borderId="2" xfId="78" applyFont="1" applyFill="1" applyBorder="1" applyAlignment="1">
      <alignment horizontal="center" vertical="center" shrinkToFit="1"/>
    </xf>
    <xf numFmtId="3" fontId="6" fillId="0" borderId="2" xfId="78" applyNumberFormat="1" applyFont="1" applyFill="1" applyBorder="1" applyAlignment="1">
      <alignment vertical="center"/>
    </xf>
    <xf numFmtId="176" fontId="6" fillId="0" borderId="2" xfId="78" applyNumberFormat="1" applyFont="1" applyFill="1" applyBorder="1" applyAlignment="1">
      <alignment vertical="center"/>
    </xf>
    <xf numFmtId="3" fontId="6" fillId="0" borderId="2" xfId="78" applyNumberFormat="1" applyFont="1" applyFill="1" applyBorder="1" applyAlignment="1">
      <alignment horizontal="right" vertical="center"/>
    </xf>
    <xf numFmtId="176" fontId="6" fillId="0" borderId="2" xfId="78" applyNumberFormat="1" applyFont="1" applyFill="1" applyBorder="1" applyAlignment="1">
      <alignment horizontal="right" vertical="center"/>
    </xf>
    <xf numFmtId="0" fontId="6" fillId="0" borderId="13" xfId="78" applyFont="1" applyFill="1" applyBorder="1" applyAlignment="1">
      <alignment vertical="center"/>
    </xf>
    <xf numFmtId="0" fontId="6" fillId="0" borderId="14" xfId="78" applyFont="1" applyFill="1" applyBorder="1" applyAlignment="1">
      <alignment vertical="center"/>
    </xf>
    <xf numFmtId="0" fontId="6" fillId="0" borderId="47" xfId="78" applyFont="1" applyFill="1" applyBorder="1" applyAlignment="1">
      <alignment vertical="center"/>
    </xf>
    <xf numFmtId="0" fontId="6" fillId="0" borderId="2" xfId="78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textRotation="255"/>
    </xf>
    <xf numFmtId="0" fontId="6" fillId="0" borderId="2" xfId="2" applyFont="1" applyFill="1" applyBorder="1" applyAlignment="1">
      <alignment horizontal="center" vertical="center" textRotation="255" wrapText="1"/>
    </xf>
    <xf numFmtId="0" fontId="6" fillId="0" borderId="6" xfId="0" applyFont="1" applyFill="1" applyBorder="1" applyAlignment="1">
      <alignment horizontal="center" vertical="center" shrinkToFit="1"/>
    </xf>
    <xf numFmtId="38" fontId="6" fillId="0" borderId="2" xfId="2" applyNumberFormat="1" applyFont="1" applyFill="1" applyBorder="1" applyAlignment="1">
      <alignment vertical="center"/>
    </xf>
    <xf numFmtId="0" fontId="30" fillId="0" borderId="2" xfId="0" applyFont="1" applyFill="1" applyBorder="1" applyAlignment="1">
      <alignment horizontal="center" vertical="center" wrapText="1" shrinkToFit="1"/>
    </xf>
    <xf numFmtId="2" fontId="9" fillId="0" borderId="2" xfId="2" applyNumberFormat="1" applyFont="1" applyFill="1" applyBorder="1" applyAlignment="1">
      <alignment vertical="center"/>
    </xf>
    <xf numFmtId="0" fontId="9" fillId="0" borderId="2" xfId="2" applyFont="1" applyFill="1" applyBorder="1" applyAlignment="1">
      <alignment horizontal="center" vertical="center" wrapText="1"/>
    </xf>
    <xf numFmtId="176" fontId="9" fillId="0" borderId="2" xfId="2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 shrinkToFit="1"/>
    </xf>
    <xf numFmtId="176" fontId="6" fillId="0" borderId="2" xfId="2" applyNumberFormat="1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right" vertical="center"/>
    </xf>
    <xf numFmtId="38" fontId="6" fillId="0" borderId="2" xfId="1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27" xfId="0" applyFont="1" applyFill="1" applyBorder="1"/>
    <xf numFmtId="196" fontId="6" fillId="0" borderId="2" xfId="0" applyNumberFormat="1" applyFont="1" applyFill="1" applyBorder="1" applyAlignment="1">
      <alignment horizontal="center" vertical="center" wrapText="1"/>
    </xf>
    <xf numFmtId="0" fontId="0" fillId="0" borderId="27" xfId="0" applyFont="1" applyBorder="1" applyAlignment="1"/>
    <xf numFmtId="0" fontId="0" fillId="0" borderId="12" xfId="0" applyFont="1" applyBorder="1" applyAlignment="1"/>
    <xf numFmtId="197" fontId="6" fillId="0" borderId="2" xfId="1" applyNumberFormat="1" applyFont="1" applyFill="1" applyBorder="1" applyAlignment="1">
      <alignment vertical="center"/>
    </xf>
    <xf numFmtId="0" fontId="70" fillId="0" borderId="3" xfId="69" applyFont="1" applyBorder="1"/>
    <xf numFmtId="0" fontId="70" fillId="0" borderId="27" xfId="69" applyFont="1" applyBorder="1"/>
    <xf numFmtId="0" fontId="70" fillId="0" borderId="12" xfId="69" applyFont="1" applyBorder="1"/>
    <xf numFmtId="0" fontId="71" fillId="0" borderId="0" xfId="69" applyFont="1"/>
    <xf numFmtId="0" fontId="70" fillId="0" borderId="28" xfId="69" applyFont="1" applyBorder="1"/>
    <xf numFmtId="0" fontId="70" fillId="0" borderId="3" xfId="69" applyFont="1" applyBorder="1" applyAlignment="1">
      <alignment horizontal="center"/>
    </xf>
    <xf numFmtId="0" fontId="70" fillId="0" borderId="5" xfId="69" applyFont="1" applyBorder="1"/>
    <xf numFmtId="0" fontId="70" fillId="0" borderId="28" xfId="69" applyFont="1" applyBorder="1" applyAlignment="1">
      <alignment horizontal="center"/>
    </xf>
    <xf numFmtId="0" fontId="70" fillId="0" borderId="5" xfId="69" applyFont="1" applyBorder="1" applyAlignment="1">
      <alignment horizontal="center"/>
    </xf>
    <xf numFmtId="0" fontId="70" fillId="0" borderId="2" xfId="69" applyFont="1" applyBorder="1"/>
    <xf numFmtId="3" fontId="70" fillId="0" borderId="2" xfId="69" applyNumberFormat="1" applyFont="1" applyBorder="1"/>
    <xf numFmtId="185" fontId="6" fillId="0" borderId="2" xfId="70" applyNumberFormat="1" applyFont="1" applyBorder="1" applyAlignment="1"/>
    <xf numFmtId="0" fontId="30" fillId="33" borderId="0" xfId="68" applyFont="1" applyFill="1"/>
    <xf numFmtId="0" fontId="30" fillId="33" borderId="0" xfId="68" applyFont="1" applyFill="1" applyAlignment="1">
      <alignment vertical="center"/>
    </xf>
    <xf numFmtId="184" fontId="30" fillId="33" borderId="0" xfId="68" applyNumberFormat="1" applyFont="1" applyFill="1" applyAlignment="1">
      <alignment horizontal="right" vertical="center"/>
    </xf>
    <xf numFmtId="0" fontId="30" fillId="33" borderId="0" xfId="0" applyFont="1" applyFill="1" applyAlignment="1">
      <alignment vertical="center"/>
    </xf>
    <xf numFmtId="0" fontId="30" fillId="33" borderId="0" xfId="0" applyFont="1" applyFill="1" applyAlignment="1">
      <alignment horizontal="right" vertical="center"/>
    </xf>
    <xf numFmtId="0" fontId="30" fillId="33" borderId="0" xfId="0" applyFont="1" applyFill="1"/>
    <xf numFmtId="0" fontId="30" fillId="33" borderId="2" xfId="0" quotePrefix="1" applyFont="1" applyFill="1" applyBorder="1" applyAlignment="1">
      <alignment horizontal="center" vertical="center" wrapText="1"/>
    </xf>
    <xf numFmtId="0" fontId="30" fillId="33" borderId="2" xfId="0" applyFont="1" applyFill="1" applyBorder="1" applyAlignment="1">
      <alignment vertical="center"/>
    </xf>
    <xf numFmtId="0" fontId="30" fillId="33" borderId="2" xfId="0" applyFont="1" applyFill="1" applyBorder="1"/>
    <xf numFmtId="3" fontId="30" fillId="33" borderId="2" xfId="0" applyNumberFormat="1" applyFont="1" applyFill="1" applyBorder="1" applyAlignment="1">
      <alignment vertical="center" shrinkToFit="1"/>
    </xf>
    <xf numFmtId="177" fontId="30" fillId="33" borderId="2" xfId="0" applyNumberFormat="1" applyFont="1" applyFill="1" applyBorder="1" applyAlignment="1">
      <alignment vertical="center" shrinkToFit="1"/>
    </xf>
    <xf numFmtId="186" fontId="30" fillId="33" borderId="2" xfId="1" applyNumberFormat="1" applyFont="1" applyFill="1" applyBorder="1" applyAlignment="1">
      <alignment vertical="center" shrinkToFit="1"/>
    </xf>
    <xf numFmtId="0" fontId="30" fillId="33" borderId="2" xfId="0" applyFont="1" applyFill="1" applyBorder="1" applyAlignment="1">
      <alignment horizontal="left" vertical="center"/>
    </xf>
    <xf numFmtId="0" fontId="30" fillId="33" borderId="28" xfId="0" applyFont="1" applyFill="1" applyBorder="1" applyAlignment="1">
      <alignment vertical="center"/>
    </xf>
    <xf numFmtId="38" fontId="30" fillId="33" borderId="2" xfId="1" applyFont="1" applyFill="1" applyBorder="1" applyAlignment="1">
      <alignment vertical="center" shrinkToFit="1"/>
    </xf>
    <xf numFmtId="0" fontId="30" fillId="33" borderId="5" xfId="0" applyFont="1" applyFill="1" applyBorder="1" applyAlignment="1">
      <alignment vertical="center"/>
    </xf>
    <xf numFmtId="186" fontId="30" fillId="33" borderId="2" xfId="1" applyNumberFormat="1" applyFont="1" applyFill="1" applyBorder="1" applyAlignment="1">
      <alignment horizontal="right" vertical="center" shrinkToFit="1"/>
    </xf>
    <xf numFmtId="0" fontId="30" fillId="33" borderId="0" xfId="0" applyFont="1" applyFill="1" applyBorder="1" applyAlignment="1">
      <alignment vertical="center"/>
    </xf>
    <xf numFmtId="0" fontId="30" fillId="33" borderId="0" xfId="0" applyFont="1" applyFill="1" applyBorder="1"/>
    <xf numFmtId="38" fontId="30" fillId="33" borderId="2" xfId="1" applyFont="1" applyFill="1" applyBorder="1" applyAlignment="1">
      <alignment horizontal="right" vertical="center" shrinkToFit="1"/>
    </xf>
    <xf numFmtId="177" fontId="30" fillId="33" borderId="2" xfId="0" applyNumberFormat="1" applyFont="1" applyFill="1" applyBorder="1" applyAlignment="1">
      <alignment horizontal="right" vertical="center" shrinkToFit="1"/>
    </xf>
    <xf numFmtId="38" fontId="6" fillId="0" borderId="25" xfId="0" applyNumberFormat="1" applyFont="1" applyFill="1" applyBorder="1"/>
    <xf numFmtId="3" fontId="6" fillId="0" borderId="2" xfId="78" applyNumberFormat="1" applyFont="1" applyFill="1" applyBorder="1" applyAlignment="1">
      <alignment vertical="center" shrinkToFit="1"/>
    </xf>
    <xf numFmtId="176" fontId="6" fillId="0" borderId="2" xfId="78" applyNumberFormat="1" applyFont="1" applyFill="1" applyBorder="1" applyAlignment="1">
      <alignment vertical="center" shrinkToFit="1"/>
    </xf>
    <xf numFmtId="0" fontId="6" fillId="0" borderId="2" xfId="78" applyFont="1" applyFill="1" applyBorder="1" applyAlignment="1">
      <alignment vertical="center" wrapText="1"/>
    </xf>
    <xf numFmtId="0" fontId="6" fillId="0" borderId="3" xfId="78" applyFont="1" applyFill="1" applyBorder="1" applyAlignment="1">
      <alignment vertical="center"/>
    </xf>
    <xf numFmtId="0" fontId="6" fillId="0" borderId="28" xfId="78" applyFont="1" applyFill="1" applyBorder="1" applyAlignment="1">
      <alignment vertical="center"/>
    </xf>
    <xf numFmtId="0" fontId="6" fillId="0" borderId="5" xfId="78" applyFont="1" applyFill="1" applyBorder="1" applyAlignment="1">
      <alignment vertical="center"/>
    </xf>
    <xf numFmtId="38" fontId="9" fillId="0" borderId="2" xfId="81" applyFont="1" applyFill="1" applyBorder="1" applyAlignment="1">
      <alignment vertical="center"/>
    </xf>
    <xf numFmtId="177" fontId="9" fillId="0" borderId="2" xfId="81" applyNumberFormat="1" applyFont="1" applyFill="1" applyBorder="1" applyAlignment="1">
      <alignment vertical="center"/>
    </xf>
    <xf numFmtId="0" fontId="9" fillId="0" borderId="2" xfId="78" applyFont="1" applyFill="1" applyBorder="1" applyAlignment="1">
      <alignment vertical="center"/>
    </xf>
    <xf numFmtId="0" fontId="9" fillId="0" borderId="28" xfId="78" applyFont="1" applyFill="1" applyBorder="1" applyAlignment="1">
      <alignment vertical="center"/>
    </xf>
    <xf numFmtId="0" fontId="9" fillId="0" borderId="5" xfId="78" applyFont="1" applyFill="1" applyBorder="1" applyAlignment="1">
      <alignment vertical="center"/>
    </xf>
    <xf numFmtId="0" fontId="6" fillId="0" borderId="2" xfId="78" applyFont="1" applyBorder="1" applyAlignment="1">
      <alignment horizontal="centerContinuous" vertical="center"/>
    </xf>
    <xf numFmtId="0" fontId="6" fillId="0" borderId="2" xfId="78" applyFont="1" applyBorder="1" applyAlignment="1">
      <alignment horizontal="centerContinuous"/>
    </xf>
    <xf numFmtId="0" fontId="6" fillId="0" borderId="2" xfId="78" applyFont="1" applyFill="1" applyBorder="1" applyAlignment="1">
      <alignment horizontal="centerContinuous" vertical="center"/>
    </xf>
    <xf numFmtId="0" fontId="6" fillId="0" borderId="2" xfId="78" applyFont="1" applyFill="1" applyBorder="1" applyAlignment="1">
      <alignment horizontal="centerContinuous"/>
    </xf>
    <xf numFmtId="0" fontId="6" fillId="0" borderId="2" xfId="78" applyFont="1" applyBorder="1" applyAlignment="1">
      <alignment horizontal="centerContinuous" vertical="center" wrapText="1"/>
    </xf>
    <xf numFmtId="0" fontId="6" fillId="0" borderId="2" xfId="78" applyFont="1" applyFill="1" applyBorder="1" applyAlignment="1">
      <alignment horizontal="centerContinuous" vertical="center" wrapText="1"/>
    </xf>
    <xf numFmtId="0" fontId="6" fillId="0" borderId="2" xfId="78" applyFont="1" applyBorder="1" applyAlignment="1">
      <alignment horizontal="center" vertical="center" wrapText="1"/>
    </xf>
    <xf numFmtId="0" fontId="6" fillId="0" borderId="2" xfId="78" applyFont="1" applyFill="1" applyBorder="1" applyAlignment="1">
      <alignment horizontal="center" vertical="center" wrapText="1"/>
    </xf>
    <xf numFmtId="38" fontId="6" fillId="0" borderId="2" xfId="81" applyFont="1" applyBorder="1" applyAlignment="1">
      <alignment vertical="center"/>
    </xf>
    <xf numFmtId="177" fontId="6" fillId="0" borderId="2" xfId="81" applyNumberFormat="1" applyFont="1" applyBorder="1" applyAlignment="1">
      <alignment vertical="center"/>
    </xf>
    <xf numFmtId="38" fontId="6" fillId="0" borderId="2" xfId="81" applyFont="1" applyFill="1" applyBorder="1" applyAlignment="1">
      <alignment vertical="center"/>
    </xf>
    <xf numFmtId="177" fontId="6" fillId="0" borderId="2" xfId="81" applyNumberFormat="1" applyFont="1" applyFill="1" applyBorder="1" applyAlignment="1">
      <alignment vertical="center"/>
    </xf>
    <xf numFmtId="38" fontId="6" fillId="0" borderId="2" xfId="81" applyFont="1" applyBorder="1" applyAlignment="1">
      <alignment horizontal="right" vertical="center"/>
    </xf>
    <xf numFmtId="177" fontId="6" fillId="0" borderId="2" xfId="81" applyNumberFormat="1" applyFont="1" applyBorder="1" applyAlignment="1">
      <alignment horizontal="right" vertical="center"/>
    </xf>
    <xf numFmtId="38" fontId="6" fillId="0" borderId="2" xfId="81" applyFont="1" applyFill="1" applyBorder="1" applyAlignment="1">
      <alignment horizontal="right" vertical="center"/>
    </xf>
    <xf numFmtId="177" fontId="6" fillId="0" borderId="2" xfId="81" applyNumberFormat="1" applyFont="1" applyFill="1" applyBorder="1" applyAlignment="1">
      <alignment horizontal="right" vertical="center"/>
    </xf>
    <xf numFmtId="0" fontId="6" fillId="0" borderId="2" xfId="78" applyFont="1" applyBorder="1" applyAlignment="1">
      <alignment vertical="center"/>
    </xf>
    <xf numFmtId="0" fontId="6" fillId="0" borderId="2" xfId="78" applyFont="1" applyBorder="1" applyAlignment="1">
      <alignment horizontal="left" vertical="center"/>
    </xf>
    <xf numFmtId="0" fontId="6" fillId="0" borderId="2" xfId="78" applyFont="1" applyBorder="1" applyAlignment="1">
      <alignment horizontal="right" vertical="center"/>
    </xf>
    <xf numFmtId="0" fontId="39" fillId="0" borderId="2" xfId="78" applyFont="1" applyBorder="1" applyAlignment="1">
      <alignment horizontal="left" vertical="center"/>
    </xf>
    <xf numFmtId="0" fontId="6" fillId="0" borderId="6" xfId="78" applyFont="1" applyBorder="1" applyAlignment="1">
      <alignment horizontal="left" vertical="center"/>
    </xf>
    <xf numFmtId="0" fontId="6" fillId="0" borderId="12" xfId="78" applyFont="1" applyBorder="1" applyAlignment="1">
      <alignment horizontal="right" vertical="center"/>
    </xf>
    <xf numFmtId="0" fontId="6" fillId="0" borderId="1" xfId="78" applyFont="1" applyBorder="1" applyAlignment="1">
      <alignment horizontal="left" vertical="center"/>
    </xf>
    <xf numFmtId="0" fontId="6" fillId="0" borderId="28" xfId="78" applyFont="1" applyBorder="1" applyAlignment="1">
      <alignment horizontal="left" vertical="center"/>
    </xf>
    <xf numFmtId="0" fontId="6" fillId="0" borderId="5" xfId="78" applyFont="1" applyBorder="1" applyAlignment="1">
      <alignment horizontal="left" vertical="center"/>
    </xf>
    <xf numFmtId="38" fontId="37" fillId="0" borderId="2" xfId="1" applyFont="1" applyFill="1" applyBorder="1" applyAlignment="1">
      <alignment horizontal="center" vertical="center"/>
    </xf>
    <xf numFmtId="38" fontId="37" fillId="0" borderId="2" xfId="1" applyFont="1" applyFill="1" applyBorder="1" applyAlignment="1">
      <alignment vertical="center"/>
    </xf>
    <xf numFmtId="49" fontId="37" fillId="0" borderId="2" xfId="1" applyNumberFormat="1" applyFont="1" applyFill="1" applyBorder="1" applyAlignment="1">
      <alignment horizontal="right" vertical="center"/>
    </xf>
    <xf numFmtId="194" fontId="37" fillId="0" borderId="2" xfId="1" applyNumberFormat="1" applyFont="1" applyFill="1" applyBorder="1" applyAlignment="1">
      <alignment horizontal="right" vertical="center"/>
    </xf>
    <xf numFmtId="177" fontId="37" fillId="0" borderId="2" xfId="1" applyNumberFormat="1" applyFont="1" applyFill="1" applyBorder="1" applyAlignment="1">
      <alignment vertical="center"/>
    </xf>
    <xf numFmtId="177" fontId="37" fillId="0" borderId="2" xfId="1" applyNumberFormat="1" applyFont="1" applyFill="1" applyBorder="1" applyAlignment="1">
      <alignment horizontal="right" vertical="center"/>
    </xf>
    <xf numFmtId="177" fontId="37" fillId="0" borderId="49" xfId="1" applyNumberFormat="1" applyFont="1" applyFill="1" applyBorder="1" applyAlignment="1">
      <alignment vertical="center"/>
    </xf>
    <xf numFmtId="0" fontId="6" fillId="0" borderId="2" xfId="82" applyFont="1" applyFill="1" applyBorder="1" applyAlignment="1">
      <alignment horizontal="centerContinuous" vertical="center" wrapText="1"/>
    </xf>
    <xf numFmtId="176" fontId="6" fillId="0" borderId="2" xfId="82" applyNumberFormat="1" applyFont="1" applyFill="1" applyBorder="1" applyAlignment="1">
      <alignment vertical="center"/>
    </xf>
    <xf numFmtId="177" fontId="6" fillId="0" borderId="2" xfId="1" applyNumberFormat="1" applyFont="1" applyFill="1" applyBorder="1" applyAlignment="1">
      <alignment vertical="center"/>
    </xf>
    <xf numFmtId="0" fontId="6" fillId="0" borderId="12" xfId="82" applyFont="1" applyFill="1" applyBorder="1" applyAlignment="1">
      <alignment vertical="center"/>
    </xf>
    <xf numFmtId="0" fontId="6" fillId="0" borderId="14" xfId="82" applyFont="1" applyFill="1" applyBorder="1" applyAlignment="1">
      <alignment vertical="center"/>
    </xf>
    <xf numFmtId="0" fontId="6" fillId="0" borderId="4" xfId="82" applyFont="1" applyFill="1" applyBorder="1" applyAlignment="1">
      <alignment vertical="center"/>
    </xf>
    <xf numFmtId="0" fontId="6" fillId="0" borderId="43" xfId="82" applyFont="1" applyFill="1" applyBorder="1" applyAlignment="1">
      <alignment vertical="center"/>
    </xf>
    <xf numFmtId="0" fontId="6" fillId="0" borderId="2" xfId="82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textRotation="255" wrapText="1"/>
    </xf>
    <xf numFmtId="177" fontId="6" fillId="0" borderId="2" xfId="0" applyNumberFormat="1" applyFont="1" applyFill="1" applyBorder="1" applyAlignment="1">
      <alignment horizontal="right" vertical="center"/>
    </xf>
    <xf numFmtId="38" fontId="6" fillId="0" borderId="2" xfId="1" applyFont="1" applyFill="1" applyBorder="1"/>
    <xf numFmtId="186" fontId="6" fillId="0" borderId="2" xfId="1" applyNumberFormat="1" applyFont="1" applyFill="1" applyBorder="1"/>
    <xf numFmtId="38" fontId="6" fillId="0" borderId="2" xfId="1" applyFont="1" applyFill="1" applyBorder="1" applyAlignment="1">
      <alignment vertical="center" shrinkToFit="1"/>
    </xf>
    <xf numFmtId="186" fontId="6" fillId="0" borderId="2" xfId="1" applyNumberFormat="1" applyFont="1" applyFill="1" applyBorder="1" applyAlignment="1">
      <alignment vertical="center" shrinkToFit="1"/>
    </xf>
    <xf numFmtId="38" fontId="6" fillId="0" borderId="4" xfId="0" applyNumberFormat="1" applyFont="1" applyFill="1" applyBorder="1" applyAlignment="1">
      <alignment vertical="center"/>
    </xf>
    <xf numFmtId="0" fontId="6" fillId="0" borderId="4" xfId="0" applyFont="1" applyFill="1" applyBorder="1"/>
    <xf numFmtId="38" fontId="6" fillId="0" borderId="2" xfId="0" applyNumberFormat="1" applyFont="1" applyFill="1" applyBorder="1" applyAlignment="1">
      <alignment vertical="center" shrinkToFit="1"/>
    </xf>
    <xf numFmtId="38" fontId="6" fillId="0" borderId="2" xfId="0" applyNumberFormat="1" applyFont="1" applyFill="1" applyBorder="1" applyAlignment="1">
      <alignment vertical="center" wrapText="1" shrinkToFit="1"/>
    </xf>
    <xf numFmtId="0" fontId="6" fillId="0" borderId="2" xfId="0" applyFont="1" applyFill="1" applyBorder="1" applyAlignment="1">
      <alignment horizontal="center" vertical="center"/>
    </xf>
    <xf numFmtId="37" fontId="7" fillId="0" borderId="0" xfId="67" applyFont="1" applyFill="1"/>
    <xf numFmtId="0" fontId="6" fillId="0" borderId="0" xfId="68" applyFont="1" applyFill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0" fontId="6" fillId="0" borderId="0" xfId="68" applyFont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6" fillId="0" borderId="6" xfId="68" applyFont="1" applyFill="1" applyBorder="1" applyAlignment="1">
      <alignment vertical="center"/>
    </xf>
    <xf numFmtId="0" fontId="6" fillId="0" borderId="12" xfId="68" applyFont="1" applyFill="1" applyBorder="1" applyAlignment="1">
      <alignment vertical="center"/>
    </xf>
    <xf numFmtId="0" fontId="6" fillId="0" borderId="2" xfId="0" applyFont="1" applyFill="1" applyBorder="1" applyAlignment="1">
      <alignment horizontal="centerContinuous" vertical="center"/>
    </xf>
    <xf numFmtId="0" fontId="6" fillId="0" borderId="0" xfId="68" applyFont="1" applyFill="1" applyBorder="1" applyAlignment="1">
      <alignment vertical="center"/>
    </xf>
    <xf numFmtId="0" fontId="6" fillId="0" borderId="12" xfId="68" applyFont="1" applyFill="1" applyBorder="1" applyAlignment="1">
      <alignment horizontal="center" vertical="center"/>
    </xf>
    <xf numFmtId="38" fontId="6" fillId="0" borderId="0" xfId="1" applyFont="1" applyBorder="1"/>
    <xf numFmtId="0" fontId="6" fillId="0" borderId="4" xfId="68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11" xfId="0" applyNumberFormat="1" applyFont="1" applyFill="1" applyBorder="1" applyAlignment="1">
      <alignment horizontal="right" vertical="center"/>
    </xf>
    <xf numFmtId="0" fontId="6" fillId="0" borderId="16" xfId="68" applyFont="1" applyFill="1" applyBorder="1" applyAlignment="1">
      <alignment vertical="center"/>
    </xf>
    <xf numFmtId="0" fontId="6" fillId="0" borderId="46" xfId="68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" xfId="68" applyFont="1" applyFill="1" applyBorder="1" applyAlignment="1">
      <alignment vertical="center"/>
    </xf>
    <xf numFmtId="187" fontId="6" fillId="0" borderId="2" xfId="0" applyNumberFormat="1" applyFont="1" applyFill="1" applyBorder="1" applyAlignment="1">
      <alignment horizontal="right" vertical="center"/>
    </xf>
    <xf numFmtId="187" fontId="6" fillId="0" borderId="2" xfId="0" applyNumberFormat="1" applyFont="1" applyFill="1" applyBorder="1" applyAlignment="1">
      <alignment horizontal="right" vertical="center" shrinkToFit="1"/>
    </xf>
    <xf numFmtId="0" fontId="6" fillId="0" borderId="5" xfId="68" applyFont="1" applyFill="1" applyBorder="1" applyAlignment="1">
      <alignment vertical="center"/>
    </xf>
    <xf numFmtId="187" fontId="6" fillId="0" borderId="0" xfId="0" applyNumberFormat="1" applyFont="1" applyFill="1" applyBorder="1" applyAlignment="1">
      <alignment vertical="center"/>
    </xf>
    <xf numFmtId="187" fontId="6" fillId="0" borderId="11" xfId="0" applyNumberFormat="1" applyFont="1" applyFill="1" applyBorder="1" applyAlignment="1">
      <alignment vertical="center"/>
    </xf>
    <xf numFmtId="0" fontId="6" fillId="0" borderId="2" xfId="68" applyFont="1" applyFill="1" applyBorder="1" applyAlignment="1">
      <alignment vertical="center" shrinkToFit="1"/>
    </xf>
    <xf numFmtId="0" fontId="6" fillId="0" borderId="1" xfId="68" applyFont="1" applyFill="1" applyBorder="1" applyAlignment="1">
      <alignment vertical="center"/>
    </xf>
    <xf numFmtId="177" fontId="6" fillId="0" borderId="2" xfId="1" applyNumberFormat="1" applyFont="1" applyFill="1" applyBorder="1"/>
    <xf numFmtId="38" fontId="6" fillId="0" borderId="2" xfId="41" quotePrefix="1" applyNumberFormat="1" applyFont="1" applyFill="1" applyBorder="1" applyAlignment="1">
      <alignment horizontal="center"/>
    </xf>
    <xf numFmtId="0" fontId="6" fillId="0" borderId="40" xfId="68" applyFont="1" applyFill="1" applyBorder="1" applyAlignment="1">
      <alignment vertical="center"/>
    </xf>
    <xf numFmtId="187" fontId="6" fillId="0" borderId="2" xfId="1" applyNumberFormat="1" applyFont="1" applyFill="1" applyBorder="1" applyAlignment="1">
      <alignment horizontal="right" vertical="center"/>
    </xf>
    <xf numFmtId="0" fontId="6" fillId="0" borderId="0" xfId="68" applyFont="1" applyFill="1" applyBorder="1" applyAlignment="1">
      <alignment vertical="center" shrinkToFit="1"/>
    </xf>
    <xf numFmtId="0" fontId="6" fillId="0" borderId="24" xfId="68" applyFont="1" applyFill="1" applyBorder="1" applyAlignment="1">
      <alignment vertical="center"/>
    </xf>
    <xf numFmtId="176" fontId="6" fillId="0" borderId="24" xfId="68" applyNumberFormat="1" applyFont="1" applyFill="1" applyBorder="1" applyAlignment="1">
      <alignment vertical="center"/>
    </xf>
    <xf numFmtId="0" fontId="6" fillId="0" borderId="27" xfId="68" applyFont="1" applyFill="1" applyBorder="1" applyAlignment="1">
      <alignment vertical="center"/>
    </xf>
    <xf numFmtId="3" fontId="6" fillId="0" borderId="2" xfId="60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6" fillId="0" borderId="2" xfId="68" applyNumberFormat="1" applyFont="1" applyFill="1" applyBorder="1" applyAlignment="1">
      <alignment vertical="center"/>
    </xf>
    <xf numFmtId="3" fontId="6" fillId="0" borderId="2" xfId="41" applyNumberFormat="1" applyFont="1" applyFill="1" applyBorder="1"/>
    <xf numFmtId="38" fontId="6" fillId="0" borderId="2" xfId="1" applyNumberFormat="1" applyFont="1" applyFill="1" applyBorder="1"/>
    <xf numFmtId="3" fontId="70" fillId="0" borderId="2" xfId="0" applyNumberFormat="1" applyFont="1" applyFill="1" applyBorder="1" applyAlignment="1"/>
    <xf numFmtId="196" fontId="6" fillId="0" borderId="2" xfId="0" applyNumberFormat="1" applyFont="1" applyFill="1" applyBorder="1" applyAlignment="1"/>
    <xf numFmtId="0" fontId="6" fillId="0" borderId="0" xfId="68" applyFont="1" applyBorder="1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0" fontId="6" fillId="0" borderId="0" xfId="68" applyFont="1" applyFill="1" applyAlignment="1"/>
    <xf numFmtId="0" fontId="6" fillId="0" borderId="0" xfId="68" applyFont="1" applyAlignment="1"/>
    <xf numFmtId="0" fontId="6" fillId="0" borderId="2" xfId="0" applyFont="1" applyFill="1" applyBorder="1" applyAlignment="1">
      <alignment horizontal="center" vertical="center" wrapText="1"/>
    </xf>
    <xf numFmtId="0" fontId="30" fillId="33" borderId="2" xfId="0" applyFont="1" applyFill="1" applyBorder="1" applyAlignment="1">
      <alignment horizontal="center" vertical="center"/>
    </xf>
    <xf numFmtId="0" fontId="30" fillId="33" borderId="2" xfId="0" applyFont="1" applyFill="1" applyBorder="1" applyAlignment="1">
      <alignment horizontal="center" vertical="center" wrapText="1"/>
    </xf>
    <xf numFmtId="0" fontId="39" fillId="0" borderId="2" xfId="56" applyFont="1" applyBorder="1" applyAlignment="1">
      <alignment horizontal="center" vertical="center"/>
    </xf>
    <xf numFmtId="0" fontId="9" fillId="0" borderId="2" xfId="78" applyFont="1" applyFill="1" applyBorder="1" applyAlignment="1">
      <alignment horizontal="center" vertical="center" wrapText="1"/>
    </xf>
    <xf numFmtId="38" fontId="37" fillId="0" borderId="2" xfId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right"/>
    </xf>
    <xf numFmtId="0" fontId="6" fillId="0" borderId="5" xfId="56" applyFont="1" applyBorder="1" applyAlignment="1">
      <alignment horizontal="center" vertical="center"/>
    </xf>
    <xf numFmtId="0" fontId="6" fillId="0" borderId="5" xfId="56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6" fillId="0" borderId="5" xfId="8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shrinkToFit="1"/>
    </xf>
    <xf numFmtId="0" fontId="0" fillId="0" borderId="27" xfId="0" applyFont="1" applyBorder="1" applyAlignment="1">
      <alignment shrinkToFit="1"/>
    </xf>
    <xf numFmtId="0" fontId="0" fillId="0" borderId="12" xfId="0" applyFont="1" applyBorder="1" applyAlignment="1">
      <alignment shrinkToFit="1"/>
    </xf>
    <xf numFmtId="0" fontId="70" fillId="0" borderId="1" xfId="69" applyFont="1" applyBorder="1" applyAlignment="1">
      <alignment horizontal="center" vertical="center"/>
    </xf>
    <xf numFmtId="0" fontId="70" fillId="0" borderId="4" xfId="69" applyFont="1" applyBorder="1" applyAlignment="1">
      <alignment horizontal="center" vertical="center"/>
    </xf>
    <xf numFmtId="0" fontId="30" fillId="33" borderId="2" xfId="0" applyFont="1" applyFill="1" applyBorder="1" applyAlignment="1">
      <alignment vertical="center" shrinkToFit="1"/>
    </xf>
    <xf numFmtId="0" fontId="30" fillId="33" borderId="2" xfId="0" applyFont="1" applyFill="1" applyBorder="1" applyAlignment="1">
      <alignment shrinkToFit="1"/>
    </xf>
    <xf numFmtId="0" fontId="30" fillId="33" borderId="2" xfId="0" applyNumberFormat="1" applyFont="1" applyFill="1" applyBorder="1" applyAlignment="1">
      <alignment horizontal="center" vertical="center" wrapText="1"/>
    </xf>
    <xf numFmtId="0" fontId="30" fillId="33" borderId="2" xfId="0" applyNumberFormat="1" applyFont="1" applyFill="1" applyBorder="1" applyAlignment="1">
      <alignment horizontal="center" vertical="center"/>
    </xf>
    <xf numFmtId="0" fontId="30" fillId="33" borderId="2" xfId="0" applyFont="1" applyFill="1" applyBorder="1" applyAlignment="1">
      <alignment horizontal="center" vertical="center"/>
    </xf>
    <xf numFmtId="0" fontId="30" fillId="33" borderId="2" xfId="0" applyFont="1" applyFill="1" applyBorder="1" applyAlignment="1">
      <alignment vertical="center" wrapText="1"/>
    </xf>
    <xf numFmtId="0" fontId="30" fillId="33" borderId="3" xfId="0" applyFont="1" applyFill="1" applyBorder="1" applyAlignment="1">
      <alignment vertical="center" wrapText="1"/>
    </xf>
    <xf numFmtId="0" fontId="30" fillId="3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56" applyFont="1" applyBorder="1" applyAlignment="1">
      <alignment horizontal="center" vertical="center"/>
    </xf>
    <xf numFmtId="0" fontId="6" fillId="0" borderId="2" xfId="56" applyFont="1" applyBorder="1" applyAlignment="1">
      <alignment horizontal="center" vertical="center"/>
    </xf>
    <xf numFmtId="0" fontId="6" fillId="0" borderId="3" xfId="56" applyFont="1" applyFill="1" applyBorder="1" applyAlignment="1">
      <alignment horizontal="center" vertical="center"/>
    </xf>
    <xf numFmtId="0" fontId="6" fillId="0" borderId="2" xfId="56" applyFont="1" applyFill="1" applyBorder="1" applyAlignment="1">
      <alignment horizontal="center" vertical="center"/>
    </xf>
    <xf numFmtId="0" fontId="6" fillId="0" borderId="2" xfId="56" applyFont="1" applyBorder="1" applyAlignment="1">
      <alignment vertical="center" shrinkToFit="1"/>
    </xf>
    <xf numFmtId="0" fontId="39" fillId="0" borderId="2" xfId="56" applyFont="1" applyBorder="1" applyAlignment="1">
      <alignment horizontal="center" vertical="center"/>
    </xf>
    <xf numFmtId="0" fontId="40" fillId="0" borderId="2" xfId="56" applyFont="1" applyBorder="1" applyAlignment="1">
      <alignment horizontal="left" vertical="top" wrapText="1"/>
    </xf>
    <xf numFmtId="0" fontId="39" fillId="0" borderId="2" xfId="56" applyFont="1" applyBorder="1" applyAlignment="1">
      <alignment horizontal="left" vertical="top"/>
    </xf>
    <xf numFmtId="0" fontId="39" fillId="0" borderId="2" xfId="56" applyFont="1" applyBorder="1" applyAlignment="1">
      <alignment horizontal="center" vertical="top"/>
    </xf>
    <xf numFmtId="0" fontId="8" fillId="0" borderId="2" xfId="56" applyFont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78" applyFont="1" applyFill="1" applyBorder="1" applyAlignment="1">
      <alignment horizontal="center" vertical="center"/>
    </xf>
    <xf numFmtId="0" fontId="6" fillId="0" borderId="27" xfId="68" applyFont="1" applyFill="1" applyBorder="1" applyAlignment="1">
      <alignment horizontal="center"/>
    </xf>
    <xf numFmtId="0" fontId="6" fillId="0" borderId="12" xfId="68" applyFont="1" applyFill="1" applyBorder="1" applyAlignment="1">
      <alignment horizontal="center"/>
    </xf>
    <xf numFmtId="0" fontId="45" fillId="0" borderId="2" xfId="78" applyFont="1" applyFill="1" applyBorder="1" applyAlignment="1">
      <alignment horizontal="left" vertical="center" shrinkToFit="1"/>
    </xf>
    <xf numFmtId="0" fontId="6" fillId="0" borderId="27" xfId="78" applyFont="1" applyFill="1" applyBorder="1" applyAlignment="1">
      <alignment horizontal="center" vertical="center"/>
    </xf>
    <xf numFmtId="0" fontId="6" fillId="0" borderId="12" xfId="78" applyFont="1" applyFill="1" applyBorder="1" applyAlignment="1">
      <alignment horizontal="center" vertical="center"/>
    </xf>
    <xf numFmtId="0" fontId="6" fillId="0" borderId="39" xfId="78" applyFont="1" applyFill="1" applyBorder="1" applyAlignment="1">
      <alignment horizontal="center" vertical="center"/>
    </xf>
    <xf numFmtId="0" fontId="6" fillId="0" borderId="15" xfId="78" applyFont="1" applyFill="1" applyBorder="1" applyAlignment="1">
      <alignment horizontal="center" vertical="center"/>
    </xf>
    <xf numFmtId="0" fontId="6" fillId="0" borderId="38" xfId="78" applyFont="1" applyFill="1" applyBorder="1" applyAlignment="1">
      <alignment horizontal="center" vertical="center"/>
    </xf>
    <xf numFmtId="0" fontId="9" fillId="0" borderId="2" xfId="78" applyFont="1" applyFill="1" applyBorder="1" applyAlignment="1">
      <alignment horizontal="center" vertical="center" wrapText="1"/>
    </xf>
    <xf numFmtId="0" fontId="9" fillId="0" borderId="2" xfId="78" applyFont="1" applyFill="1" applyBorder="1" applyAlignment="1">
      <alignment horizontal="center" vertical="center"/>
    </xf>
    <xf numFmtId="0" fontId="9" fillId="0" borderId="1" xfId="78" applyFont="1" applyFill="1" applyBorder="1" applyAlignment="1">
      <alignment horizontal="center" vertical="center"/>
    </xf>
    <xf numFmtId="0" fontId="9" fillId="0" borderId="10" xfId="78" applyFont="1" applyFill="1" applyBorder="1" applyAlignment="1">
      <alignment horizontal="center" vertical="center"/>
    </xf>
    <xf numFmtId="0" fontId="9" fillId="0" borderId="40" xfId="78" applyFont="1" applyFill="1" applyBorder="1" applyAlignment="1">
      <alignment horizontal="center" vertical="center"/>
    </xf>
    <xf numFmtId="0" fontId="9" fillId="0" borderId="41" xfId="78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38" fontId="37" fillId="0" borderId="2" xfId="1" applyFont="1" applyFill="1" applyBorder="1" applyAlignment="1">
      <alignment horizontal="center" vertical="center" wrapText="1"/>
    </xf>
    <xf numFmtId="38" fontId="37" fillId="0" borderId="2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2" xfId="82" applyFont="1" applyFill="1" applyBorder="1" applyAlignment="1">
      <alignment horizontal="center" vertical="center" wrapText="1"/>
    </xf>
    <xf numFmtId="0" fontId="6" fillId="0" borderId="2" xfId="82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2" xfId="124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" xfId="0" applyFont="1" applyBorder="1" applyAlignment="1"/>
    <xf numFmtId="0" fontId="3" fillId="0" borderId="10" xfId="0" applyFont="1" applyBorder="1" applyAlignment="1"/>
    <xf numFmtId="0" fontId="3" fillId="0" borderId="40" xfId="0" applyFont="1" applyBorder="1" applyAlignment="1"/>
    <xf numFmtId="0" fontId="3" fillId="0" borderId="41" xfId="0" applyFont="1" applyBorder="1" applyAlignment="1"/>
    <xf numFmtId="0" fontId="30" fillId="0" borderId="3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shrinkToFit="1"/>
    </xf>
    <xf numFmtId="0" fontId="6" fillId="0" borderId="6" xfId="58" applyFont="1" applyBorder="1" applyAlignment="1">
      <alignment horizontal="center" vertical="center"/>
    </xf>
    <xf numFmtId="0" fontId="6" fillId="0" borderId="12" xfId="58" applyFont="1" applyBorder="1" applyAlignment="1">
      <alignment horizontal="center" vertical="center"/>
    </xf>
    <xf numFmtId="0" fontId="6" fillId="0" borderId="2" xfId="58" applyFont="1" applyFill="1" applyBorder="1" applyAlignment="1">
      <alignment horizontal="center"/>
    </xf>
    <xf numFmtId="0" fontId="6" fillId="0" borderId="6" xfId="58" applyFont="1" applyFill="1" applyBorder="1" applyAlignment="1">
      <alignment horizontal="center" vertical="center"/>
    </xf>
    <xf numFmtId="0" fontId="6" fillId="0" borderId="12" xfId="58" applyFont="1" applyFill="1" applyBorder="1" applyAlignment="1">
      <alignment horizontal="center" vertical="center"/>
    </xf>
    <xf numFmtId="0" fontId="6" fillId="0" borderId="2" xfId="58" applyFont="1" applyBorder="1" applyAlignment="1">
      <alignment horizontal="center"/>
    </xf>
  </cellXfs>
  <cellStyles count="130">
    <cellStyle name="20% - アクセント 1 2" xfId="83"/>
    <cellStyle name="20% - アクセント 2 2" xfId="84"/>
    <cellStyle name="20% - アクセント 3 2" xfId="85"/>
    <cellStyle name="20% - アクセント 4 2" xfId="86"/>
    <cellStyle name="20% - アクセント 5 2" xfId="87"/>
    <cellStyle name="20% - アクセント 6 2" xfId="88"/>
    <cellStyle name="40% - アクセント 1 2" xfId="89"/>
    <cellStyle name="40% - アクセント 2 2" xfId="90"/>
    <cellStyle name="40% - アクセント 3 2" xfId="91"/>
    <cellStyle name="40% - アクセント 4 2" xfId="92"/>
    <cellStyle name="40% - アクセント 5 2" xfId="93"/>
    <cellStyle name="40% - アクセント 6 2" xfId="94"/>
    <cellStyle name="60% - アクセント 1 2" xfId="95"/>
    <cellStyle name="60% - アクセント 2 2" xfId="96"/>
    <cellStyle name="60% - アクセント 3 2" xfId="97"/>
    <cellStyle name="60% - アクセント 4 2" xfId="98"/>
    <cellStyle name="60% - アクセント 5 2" xfId="99"/>
    <cellStyle name="60% - アクセント 6 2" xfId="100"/>
    <cellStyle name="ss1" xfId="4"/>
    <cellStyle name="ss10" xfId="5"/>
    <cellStyle name="ss11" xfId="6"/>
    <cellStyle name="ss12" xfId="7"/>
    <cellStyle name="ss13" xfId="8"/>
    <cellStyle name="ss14" xfId="9"/>
    <cellStyle name="ss15" xfId="10"/>
    <cellStyle name="ss16" xfId="11"/>
    <cellStyle name="ss17" xfId="12"/>
    <cellStyle name="ss18" xfId="13"/>
    <cellStyle name="ss19" xfId="14"/>
    <cellStyle name="ss2" xfId="15"/>
    <cellStyle name="ss20" xfId="16"/>
    <cellStyle name="ss21" xfId="17"/>
    <cellStyle name="ss22" xfId="18"/>
    <cellStyle name="ss23" xfId="19"/>
    <cellStyle name="ss24" xfId="20"/>
    <cellStyle name="ss25" xfId="21"/>
    <cellStyle name="ss26" xfId="22"/>
    <cellStyle name="ss27" xfId="23"/>
    <cellStyle name="ss28" xfId="24"/>
    <cellStyle name="ss29" xfId="25"/>
    <cellStyle name="ss3" xfId="26"/>
    <cellStyle name="ss30" xfId="27"/>
    <cellStyle name="ss31" xfId="28"/>
    <cellStyle name="ss4" xfId="29"/>
    <cellStyle name="ss5" xfId="30"/>
    <cellStyle name="ss6" xfId="31"/>
    <cellStyle name="ss7" xfId="32"/>
    <cellStyle name="ss8" xfId="33"/>
    <cellStyle name="ss9" xfId="34"/>
    <cellStyle name="アクセント 1 2" xfId="101"/>
    <cellStyle name="アクセント 2 2" xfId="102"/>
    <cellStyle name="アクセント 3 2" xfId="103"/>
    <cellStyle name="アクセント 4 2" xfId="104"/>
    <cellStyle name="アクセント 5 2" xfId="105"/>
    <cellStyle name="アクセント 6 2" xfId="106"/>
    <cellStyle name="タイトル 2" xfId="35"/>
    <cellStyle name="たいむず" xfId="74"/>
    <cellStyle name="チェック セル 2" xfId="107"/>
    <cellStyle name="どちらでもない 2" xfId="108"/>
    <cellStyle name="パーセント 2" xfId="36"/>
    <cellStyle name="パーセント 2 2" xfId="70"/>
    <cellStyle name="パーセント 2 3" xfId="75"/>
    <cellStyle name="ハイパーリンク" xfId="72" builtinId="8"/>
    <cellStyle name="ハイパーリンク 2" xfId="3"/>
    <cellStyle name="ハイパーリンク 3" xfId="37"/>
    <cellStyle name="ハイパーリンク 4" xfId="38"/>
    <cellStyle name="ハイパーリンク 5" xfId="39"/>
    <cellStyle name="ハイパーリンク 6" xfId="79"/>
    <cellStyle name="メモ 2" xfId="109"/>
    <cellStyle name="リンク セル 2" xfId="110"/>
    <cellStyle name="悪い 2" xfId="111"/>
    <cellStyle name="計算 2" xfId="112"/>
    <cellStyle name="警告文 2" xfId="113"/>
    <cellStyle name="桁区切り" xfId="1" builtinId="6"/>
    <cellStyle name="桁区切り 10" xfId="81"/>
    <cellStyle name="桁区切り 18" xfId="125"/>
    <cellStyle name="桁区切り 2" xfId="40"/>
    <cellStyle name="桁区切り 2 2" xfId="41"/>
    <cellStyle name="桁区切り 3" xfId="42"/>
    <cellStyle name="桁区切り 3 2" xfId="43"/>
    <cellStyle name="桁区切り 3 3" xfId="71"/>
    <cellStyle name="桁区切り 4" xfId="44"/>
    <cellStyle name="桁区切り 4 2" xfId="45"/>
    <cellStyle name="桁区切り 5" xfId="46"/>
    <cellStyle name="桁区切り 6" xfId="47"/>
    <cellStyle name="桁区切り 7" xfId="48"/>
    <cellStyle name="桁区切り 7 2" xfId="49"/>
    <cellStyle name="桁区切り 8" xfId="50"/>
    <cellStyle name="桁区切り 9" xfId="80"/>
    <cellStyle name="見出し 1 2" xfId="114"/>
    <cellStyle name="見出し 2 2" xfId="115"/>
    <cellStyle name="見出し 3 2" xfId="116"/>
    <cellStyle name="見出し 4 2" xfId="117"/>
    <cellStyle name="集計 2" xfId="118"/>
    <cellStyle name="出力 2" xfId="119"/>
    <cellStyle name="説明文 2" xfId="120"/>
    <cellStyle name="通貨" xfId="73" builtinId="7"/>
    <cellStyle name="入力 2" xfId="121"/>
    <cellStyle name="標準" xfId="0" builtinId="0"/>
    <cellStyle name="標準 10" xfId="51"/>
    <cellStyle name="標準 11" xfId="52"/>
    <cellStyle name="標準 12" xfId="53"/>
    <cellStyle name="標準 13" xfId="54"/>
    <cellStyle name="標準 14" xfId="76"/>
    <cellStyle name="標準 146" xfId="126"/>
    <cellStyle name="標準 15" xfId="78"/>
    <cellStyle name="標準 19" xfId="127"/>
    <cellStyle name="標準 2" xfId="55"/>
    <cellStyle name="標準 2 2" xfId="56"/>
    <cellStyle name="標準 2 2 2" xfId="57"/>
    <cellStyle name="標準 2 3" xfId="58"/>
    <cellStyle name="標準 3" xfId="59"/>
    <cellStyle name="標準 3 2" xfId="69"/>
    <cellStyle name="標準 4" xfId="60"/>
    <cellStyle name="標準 4 2" xfId="122"/>
    <cellStyle name="標準 5" xfId="61"/>
    <cellStyle name="標準 6" xfId="62"/>
    <cellStyle name="標準 7" xfId="63"/>
    <cellStyle name="標準 7 2" xfId="64"/>
    <cellStyle name="標準 8" xfId="65"/>
    <cellStyle name="標準 9" xfId="66"/>
    <cellStyle name="標準_94年立地構造" xfId="82"/>
    <cellStyle name="標準_業種別構成比推移" xfId="124"/>
    <cellStyle name="標準_常住地・昼間就業者" xfId="67"/>
    <cellStyle name="標準_表 1.       経済活動集中度比較" xfId="2"/>
    <cellStyle name="標準_表 3.       各国国内総生産" xfId="68"/>
    <cellStyle name="標準_表 3.       各国国内総生産 2" xfId="77"/>
    <cellStyle name="標準_表14.～18. 卸・小売業、飲食店推移" xfId="129"/>
    <cellStyle name="標準_表19.～20. 卸･小売業従業者規模別" xfId="128"/>
    <cellStyle name="良い 2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32238</xdr:colOff>
      <xdr:row>8</xdr:row>
      <xdr:rowOff>33704</xdr:rowOff>
    </xdr:from>
    <xdr:to>
      <xdr:col>6</xdr:col>
      <xdr:colOff>203688</xdr:colOff>
      <xdr:row>8</xdr:row>
      <xdr:rowOff>205154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632688" y="2729279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6</xdr:col>
      <xdr:colOff>41763</xdr:colOff>
      <xdr:row>9</xdr:row>
      <xdr:rowOff>32971</xdr:rowOff>
    </xdr:from>
    <xdr:to>
      <xdr:col>6</xdr:col>
      <xdr:colOff>213213</xdr:colOff>
      <xdr:row>9</xdr:row>
      <xdr:rowOff>204421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42213" y="3071446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1</xdr:col>
      <xdr:colOff>9525</xdr:colOff>
      <xdr:row>21</xdr:row>
      <xdr:rowOff>85724</xdr:rowOff>
    </xdr:from>
    <xdr:to>
      <xdr:col>12</xdr:col>
      <xdr:colOff>104775</xdr:colOff>
      <xdr:row>38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133350" y="7048499"/>
          <a:ext cx="6191250" cy="2819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注：市内総生産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名目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及び市民所得における東京都区部の欄は、「東京都全域」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の数値（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ここでいう大企業は、資本金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億円以上の企業であり、中小企業基本法の定義とは異なる。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製造品出荷額等は従業者規模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人以上の事業所。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輸出額・輸入額は、大阪・東京・名古屋・横浜・神戸・博多各港の値。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資料： ①国土地理院「全国都道府県市区町村別面積調」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②各都市「推計人口」（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2018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日時点）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 ③総務省「人口推計」（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18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日時点）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 ④総務省「国勢調査」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15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 ⑤総務省「住民基本台帳に基づく人口、人口動態及び世帯数調査」（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18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日時点）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 ⑥各自治体「県民経済計算」「市民経済計算」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15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年度、</a:t>
          </a: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内閣府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「国民経済計算」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15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年度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 ⑦総務省「経済センサス－活動調査」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16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 ⑧経済産業省「工業統計調査」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17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 ⑨総務省「経済センサス</a:t>
          </a: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－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活動調査」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16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 ⑩経済産業省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｢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商業動態統計年報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｣</a:t>
          </a: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 ⑪財務省、各税関「貿易統計」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 ⑫全国銀行協会「大都市社員銀行主要勘定」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34</xdr:row>
      <xdr:rowOff>66676</xdr:rowOff>
    </xdr:from>
    <xdr:to>
      <xdr:col>8</xdr:col>
      <xdr:colOff>571500</xdr:colOff>
      <xdr:row>38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23825" y="9544051"/>
          <a:ext cx="5324475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注及び資料：前ページと同じ。</a:t>
          </a:r>
          <a:endParaRPr kumimoji="1" lang="ja-JP" altLang="en-US" sz="9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35</xdr:row>
      <xdr:rowOff>57149</xdr:rowOff>
    </xdr:from>
    <xdr:to>
      <xdr:col>10</xdr:col>
      <xdr:colOff>38101</xdr:colOff>
      <xdr:row>46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133351" y="5448299"/>
          <a:ext cx="5924550" cy="1733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注：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2006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年の調査では、それまで「国，地方公共団体等」であった事業所が独立行政法人化にともない</a:t>
          </a:r>
          <a:b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民営として集計された事業所がある。異なる調査の時系列比較は注意を要する。</a:t>
          </a:r>
          <a:b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12,16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年は「経済センサス－活動調査」のうち、「産業横断的集計」の数値を用いている。</a:t>
          </a:r>
          <a:b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地域分類は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Ⅲ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－２章末注のとおり。</a:t>
          </a:r>
          <a:b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資料：「経済センサス－活動調査」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年及び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16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年、「経済センサス－基礎調査」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09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年及び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14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/>
          </a:r>
          <a:b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06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年以前は「事業所・企業統計調査」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0</xdr:rowOff>
    </xdr:from>
    <xdr:to>
      <xdr:col>7</xdr:col>
      <xdr:colOff>117288</xdr:colOff>
      <xdr:row>44</xdr:row>
      <xdr:rowOff>39931</xdr:rowOff>
    </xdr:to>
    <xdr:sp macro="" textlink="">
      <xdr:nvSpPr>
        <xdr:cNvPr id="2" name="テキスト ボックス 65"/>
        <xdr:cNvSpPr txBox="1"/>
      </xdr:nvSpPr>
      <xdr:spPr>
        <a:xfrm>
          <a:off x="7019925" y="6591300"/>
          <a:ext cx="3955863" cy="344731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38</xdr:row>
      <xdr:rowOff>85725</xdr:rowOff>
    </xdr:from>
    <xdr:to>
      <xdr:col>13</xdr:col>
      <xdr:colOff>504825</xdr:colOff>
      <xdr:row>65</xdr:row>
      <xdr:rowOff>76201</xdr:rowOff>
    </xdr:to>
    <xdr:sp macro="" textlink="">
      <xdr:nvSpPr>
        <xdr:cNvPr id="2" name="テキスト ボックス 1"/>
        <xdr:cNvSpPr txBox="1"/>
      </xdr:nvSpPr>
      <xdr:spPr>
        <a:xfrm>
          <a:off x="4438650" y="5953125"/>
          <a:ext cx="2143125" cy="41052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注：「その他」とは装身具・装飾品・ボタン・同関連品製造業、畳・傘等生活雑貨製品製造業、</a:t>
          </a:r>
          <a:b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がん具・運動用具製造業等である。また、異なる調査の時系列比較は注意を要する（巻頭付記参照）。</a:t>
          </a:r>
          <a:b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/>
          </a:r>
          <a:b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2012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年は「経済センサス－活動調査」の調査結果のうち、大阪市「産業別集計＜製造業＞」の</a:t>
          </a:r>
          <a:b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数値を用いている</a:t>
          </a:r>
          <a:b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（巻頭付記参照）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/>
          </a:r>
          <a:b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資料：大阪市「経済センサス－活動調査結果</a:t>
          </a:r>
          <a:b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＜産業別集計製造業編＞」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及び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16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年、総務省「経済センサス－基礎調査」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14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23</xdr:row>
      <xdr:rowOff>19050</xdr:rowOff>
    </xdr:from>
    <xdr:to>
      <xdr:col>12</xdr:col>
      <xdr:colOff>581025</xdr:colOff>
      <xdr:row>64</xdr:row>
      <xdr:rowOff>152399</xdr:rowOff>
    </xdr:to>
    <xdr:sp macro="" textlink="">
      <xdr:nvSpPr>
        <xdr:cNvPr id="3" name="テキスト ボックス 2"/>
        <xdr:cNvSpPr txBox="1"/>
      </xdr:nvSpPr>
      <xdr:spPr>
        <a:xfrm>
          <a:off x="5086350" y="3600450"/>
          <a:ext cx="1562100" cy="63817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注：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2013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年及び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15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年の製造品出荷額等、及び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11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年、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13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年、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15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年の付加価値額は４人以上の数値。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「その他」とは装身具・装飾品・ボタン・同関連品製造業、畳・傘等生活雑貨製品製造業、がん具・運動用具製造業等である。</a:t>
          </a:r>
          <a:b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また、異なる調査の時系列比較は注意を要する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（巻頭付記参照）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11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年及び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15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年の製造品出荷額等と付加価値額は「経済センサス－活動調査」の調査結果のうち、「産業別集計＜製造業＞」の数値を用いている。</a:t>
          </a:r>
          <a:b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資料：経済産業省「工業統計調査」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08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年及び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13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年、大阪市「経済センサス－活動調査結果＜産業別集計　製造業編＞」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年及び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16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2379</xdr:colOff>
      <xdr:row>14</xdr:row>
      <xdr:rowOff>116682</xdr:rowOff>
    </xdr:from>
    <xdr:to>
      <xdr:col>10</xdr:col>
      <xdr:colOff>49610</xdr:colOff>
      <xdr:row>22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126204" y="2745582"/>
          <a:ext cx="5943206" cy="12930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注：事業所数の従業者別の合計は、「出向・派遣従業者のみ」の事業所が含まれないため</a:t>
          </a:r>
          <a:b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総数と一致しない。</a:t>
          </a:r>
          <a:b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製造品出荷額等及び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付加価値額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は従業者数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人以上の事業所が対象。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資料：総務省「経済センサス−活動調査」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2016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endParaRPr kumimoji="1" lang="ja-JP" altLang="en-US" sz="10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0</xdr:rowOff>
    </xdr:from>
    <xdr:to>
      <xdr:col>13</xdr:col>
      <xdr:colOff>485775</xdr:colOff>
      <xdr:row>43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123825" y="6572250"/>
          <a:ext cx="7172325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注：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2012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年、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16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年の事業所数、従業者数は「経済センサス－活動調査結果」の調査結果のうち、「産業横断的集計」の値を用いている。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資料：総務省「経済センサス－基礎調査」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14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年、「経済センサス－活動調査」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年及び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16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19050</xdr:rowOff>
    </xdr:from>
    <xdr:to>
      <xdr:col>9</xdr:col>
      <xdr:colOff>600075</xdr:colOff>
      <xdr:row>36</xdr:row>
      <xdr:rowOff>85725</xdr:rowOff>
    </xdr:to>
    <xdr:sp macro="" textlink="">
      <xdr:nvSpPr>
        <xdr:cNvPr id="3" name="テキスト ボックス 2"/>
        <xdr:cNvSpPr txBox="1"/>
      </xdr:nvSpPr>
      <xdr:spPr>
        <a:xfrm>
          <a:off x="10715625" y="5572125"/>
          <a:ext cx="6591300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/>
            <a:t>注：</a:t>
          </a:r>
          <a:r>
            <a:rPr kumimoji="1" lang="en-US" altLang="ja-JP" sz="1000"/>
            <a:t>2011</a:t>
          </a:r>
          <a:r>
            <a:rPr kumimoji="1" lang="ja-JP" altLang="en-US" sz="1000"/>
            <a:t>年、</a:t>
          </a:r>
          <a:r>
            <a:rPr kumimoji="1" lang="en-US" altLang="ja-JP" sz="1000"/>
            <a:t>15</a:t>
          </a:r>
          <a:r>
            <a:rPr kumimoji="1" lang="ja-JP" altLang="en-US" sz="1000"/>
            <a:t>年の販売額は「経済センサス－活動調査」の調査結果のうち、</a:t>
          </a:r>
          <a:br>
            <a:rPr kumimoji="1" lang="ja-JP" altLang="en-US" sz="1000"/>
          </a:br>
          <a:r>
            <a:rPr kumimoji="1" lang="ja-JP" altLang="en-US" sz="1000"/>
            <a:t>　　「産業別集計＜卸売業、小売業＞（産業編）」の値を用いている。</a:t>
          </a:r>
          <a:endParaRPr kumimoji="1" lang="en-US" altLang="ja-JP" sz="10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資料：総務省「経済センサス－基礎調査」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年、「経済センサス－活動調査」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及び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endParaRPr kumimoji="1" lang="ja-JP" alt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21</xdr:row>
      <xdr:rowOff>0</xdr:rowOff>
    </xdr:from>
    <xdr:to>
      <xdr:col>9</xdr:col>
      <xdr:colOff>267891</xdr:colOff>
      <xdr:row>24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23825" y="3952875"/>
          <a:ext cx="3925491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注：地域分類は</a:t>
          </a:r>
          <a:r>
            <a:rPr kumimoji="1" lang="en-US" altLang="ja-JP" sz="1000"/>
            <a:t>Ⅲ</a:t>
          </a:r>
          <a:r>
            <a:rPr kumimoji="1" lang="ja-JP" altLang="en-US" sz="1000"/>
            <a:t>－２章末注のとおり</a:t>
          </a:r>
          <a:endParaRPr kumimoji="1" lang="en-US" altLang="ja-JP" sz="1000"/>
        </a:p>
        <a:p>
          <a:r>
            <a:rPr kumimoji="1" lang="ja-JP" altLang="en-US" sz="1000"/>
            <a:t>資料：総務省「経済センサス－基礎調査」</a:t>
          </a:r>
          <a:r>
            <a:rPr kumimoji="1" lang="en-US" altLang="ja-JP" sz="1000"/>
            <a:t>2016</a:t>
          </a:r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1078</xdr:colOff>
      <xdr:row>17</xdr:row>
      <xdr:rowOff>149705</xdr:rowOff>
    </xdr:from>
    <xdr:to>
      <xdr:col>14</xdr:col>
      <xdr:colOff>361950</xdr:colOff>
      <xdr:row>20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115378" y="3073880"/>
          <a:ext cx="6437822" cy="5075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資料：総務省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「経済センサス－活動調査」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2012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年及び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16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「経済センサス－基礎調査」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14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19050</xdr:rowOff>
    </xdr:from>
    <xdr:to>
      <xdr:col>2</xdr:col>
      <xdr:colOff>676275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95325" y="361950"/>
          <a:ext cx="1352550" cy="3238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5800" y="342900"/>
          <a:ext cx="1371600" cy="1714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19050</xdr:rowOff>
    </xdr:from>
    <xdr:to>
      <xdr:col>2</xdr:col>
      <xdr:colOff>676275</xdr:colOff>
      <xdr:row>4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95325" y="361950"/>
          <a:ext cx="1352550" cy="3238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685800" y="342900"/>
          <a:ext cx="1371600" cy="1714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4483</xdr:colOff>
      <xdr:row>26</xdr:row>
      <xdr:rowOff>166408</xdr:rowOff>
    </xdr:from>
    <xdr:to>
      <xdr:col>10</xdr:col>
      <xdr:colOff>542925</xdr:colOff>
      <xdr:row>36</xdr:row>
      <xdr:rowOff>57150</xdr:rowOff>
    </xdr:to>
    <xdr:sp macro="" textlink="">
      <xdr:nvSpPr>
        <xdr:cNvPr id="6" name="テキスト ボックス 5"/>
        <xdr:cNvSpPr txBox="1"/>
      </xdr:nvSpPr>
      <xdr:spPr>
        <a:xfrm>
          <a:off x="128308" y="6119533"/>
          <a:ext cx="6453467" cy="1490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注：面積について一部境界未定部分については、総務省統計局の推定値。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近畿＝大阪･兵庫･京都･奈良･和歌山･三重･滋賀･福井の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8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府県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大阪圏＝大阪･兵庫･京都の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府県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東京圏＝東京･神奈川･千葉･埼玉の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都県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名古屋圏＝愛知･三重の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県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/>
          </a:r>
          <a:b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en-US" altLang="ja-JP" sz="9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</a:t>
          </a: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その他の地域＝全国－</a:t>
          </a:r>
          <a:r>
            <a:rPr kumimoji="1" lang="en-US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大阪圏＋東京圏＋名古屋圏）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資料：総務省「国勢調査」、「人口推計」、各自治体「推計人口」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/>
          </a:r>
          <a:b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国土地理院「全国都道府県市区町村別面積調査」</a:t>
          </a:r>
        </a:p>
      </xdr:txBody>
    </xdr:sp>
    <xdr:clientData/>
  </xdr:twoCellAnchor>
  <xdr:twoCellAnchor>
    <xdr:from>
      <xdr:col>2</xdr:col>
      <xdr:colOff>33617</xdr:colOff>
      <xdr:row>2</xdr:row>
      <xdr:rowOff>347383</xdr:rowOff>
    </xdr:from>
    <xdr:to>
      <xdr:col>3</xdr:col>
      <xdr:colOff>336176</xdr:colOff>
      <xdr:row>3</xdr:row>
      <xdr:rowOff>246530</xdr:rowOff>
    </xdr:to>
    <xdr:sp macro="" textlink="">
      <xdr:nvSpPr>
        <xdr:cNvPr id="7" name="テキスト ボックス 6"/>
        <xdr:cNvSpPr txBox="1"/>
      </xdr:nvSpPr>
      <xdr:spPr>
        <a:xfrm>
          <a:off x="1405217" y="518833"/>
          <a:ext cx="988359" cy="1658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年次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32</xdr:row>
      <xdr:rowOff>57150</xdr:rowOff>
    </xdr:from>
    <xdr:to>
      <xdr:col>8</xdr:col>
      <xdr:colOff>695325</xdr:colOff>
      <xdr:row>39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57149" y="5667375"/>
          <a:ext cx="5695951" cy="1257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注：事業所数及び従業者数の</a:t>
          </a:r>
          <a:r>
            <a:rPr kumimoji="1" lang="en-US" altLang="ja-JP" sz="1000"/>
            <a:t>2012</a:t>
          </a:r>
          <a:r>
            <a:rPr kumimoji="1" lang="ja-JP" altLang="en-US" sz="1000"/>
            <a:t>年の左側は「経済センサス−活動調査」の調査結果のうち</a:t>
          </a:r>
          <a:br>
            <a:rPr kumimoji="1" lang="ja-JP" altLang="en-US" sz="1000"/>
          </a:br>
          <a:r>
            <a:rPr kumimoji="1" lang="ja-JP" altLang="en-US" sz="1000"/>
            <a:t>　　「産業横断的集計」を、（　）内は同調査の「産業別集計＜卸売業、小売業＞（産業編）」</a:t>
          </a:r>
          <a:br>
            <a:rPr kumimoji="1" lang="ja-JP" altLang="en-US" sz="1000"/>
          </a:br>
          <a:r>
            <a:rPr kumimoji="1" lang="ja-JP" altLang="en-US" sz="1000"/>
            <a:t>　　の値を用いている。</a:t>
          </a:r>
          <a:endParaRPr kumimoji="1" lang="en-US" altLang="ja-JP" sz="1000"/>
        </a:p>
        <a:p>
          <a:r>
            <a:rPr kumimoji="1" lang="ja-JP" altLang="en-US" sz="1000"/>
            <a:t>資料：総務省「経済センサス－基礎調査」</a:t>
          </a:r>
          <a:r>
            <a:rPr kumimoji="1" lang="en-US" altLang="ja-JP" sz="1000"/>
            <a:t>09</a:t>
          </a:r>
          <a:r>
            <a:rPr kumimoji="1" lang="ja-JP" altLang="en-US" sz="1000"/>
            <a:t>年及び</a:t>
          </a:r>
          <a:r>
            <a:rPr kumimoji="1" lang="en-US" altLang="ja-JP" sz="1000"/>
            <a:t>14</a:t>
          </a:r>
          <a:r>
            <a:rPr kumimoji="1" lang="ja-JP" altLang="en-US" sz="1000"/>
            <a:t>年、</a:t>
          </a:r>
          <a:br>
            <a:rPr kumimoji="1" lang="ja-JP" altLang="en-US" sz="1000"/>
          </a:br>
          <a:r>
            <a:rPr kumimoji="1" lang="ja-JP" altLang="en-US" sz="1000"/>
            <a:t>　　「経済センサス－活動調査」</a:t>
          </a:r>
          <a:r>
            <a:rPr kumimoji="1" lang="en-US" altLang="ja-JP" sz="1000"/>
            <a:t>12</a:t>
          </a:r>
          <a:r>
            <a:rPr kumimoji="1" lang="ja-JP" altLang="en-US" sz="1000"/>
            <a:t>年及び</a:t>
          </a:r>
          <a:r>
            <a:rPr kumimoji="1" lang="en-US" altLang="ja-JP" sz="1000"/>
            <a:t>16</a:t>
          </a:r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32</xdr:row>
      <xdr:rowOff>76200</xdr:rowOff>
    </xdr:from>
    <xdr:to>
      <xdr:col>8</xdr:col>
      <xdr:colOff>57150</xdr:colOff>
      <xdr:row>40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104775" y="5686425"/>
          <a:ext cx="6010275" cy="1362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注：異なる調査の時系列比較は注意を要する（巻頭付記参照）。</a:t>
          </a:r>
          <a:br>
            <a:rPr kumimoji="1" lang="ja-JP" altLang="en-US" sz="1000"/>
          </a:br>
          <a:r>
            <a:rPr kumimoji="1" lang="ja-JP" altLang="en-US" sz="1000"/>
            <a:t>　　</a:t>
          </a:r>
          <a:r>
            <a:rPr kumimoji="1" lang="en-US" altLang="ja-JP" sz="1000"/>
            <a:t> </a:t>
          </a:r>
          <a:r>
            <a:rPr kumimoji="1" lang="ja-JP" altLang="en-US" sz="1000"/>
            <a:t>年間商品販売額の</a:t>
          </a:r>
          <a:r>
            <a:rPr kumimoji="1" lang="en-US" altLang="ja-JP" sz="1000"/>
            <a:t>2011</a:t>
          </a:r>
          <a:r>
            <a:rPr kumimoji="1" lang="ja-JP" altLang="en-US" sz="1000"/>
            <a:t>年・</a:t>
          </a:r>
          <a:r>
            <a:rPr kumimoji="1" lang="en-US" altLang="ja-JP" sz="1000"/>
            <a:t>15</a:t>
          </a:r>
          <a:r>
            <a:rPr kumimoji="1" lang="ja-JP" altLang="en-US" sz="1000"/>
            <a:t>年及び売場面積の</a:t>
          </a:r>
          <a:r>
            <a:rPr kumimoji="1" lang="en-US" altLang="ja-JP" sz="1000"/>
            <a:t>12</a:t>
          </a:r>
          <a:r>
            <a:rPr kumimoji="1" lang="ja-JP" altLang="en-US" sz="1000"/>
            <a:t>年・</a:t>
          </a:r>
          <a:r>
            <a:rPr kumimoji="1" lang="en-US" altLang="ja-JP" sz="1000"/>
            <a:t>16</a:t>
          </a:r>
          <a:r>
            <a:rPr kumimoji="1" lang="ja-JP" altLang="en-US" sz="1000"/>
            <a:t>年は「経済センサス－活動調査」</a:t>
          </a:r>
          <a:br>
            <a:rPr kumimoji="1" lang="ja-JP" altLang="en-US" sz="1000"/>
          </a:br>
          <a:r>
            <a:rPr kumimoji="1" lang="ja-JP" altLang="en-US" sz="1000"/>
            <a:t>　　のうち「産業別集計＜卸売業、小売業＞（産業編）」の値を用いている。</a:t>
          </a:r>
          <a:endParaRPr kumimoji="1" lang="en-US" altLang="ja-JP" sz="1000"/>
        </a:p>
        <a:p>
          <a:r>
            <a:rPr kumimoji="1" lang="ja-JP" altLang="en-US" sz="1000"/>
            <a:t>資料：経済産業省「商業統計調査」</a:t>
          </a:r>
          <a:r>
            <a:rPr kumimoji="1" lang="en-US" altLang="ja-JP" sz="1000"/>
            <a:t>07</a:t>
          </a:r>
          <a:r>
            <a:rPr kumimoji="1" lang="ja-JP" altLang="en-US" sz="1000"/>
            <a:t>年及び</a:t>
          </a:r>
          <a:r>
            <a:rPr kumimoji="1" lang="en-US" altLang="ja-JP" sz="1000"/>
            <a:t>14</a:t>
          </a:r>
          <a:r>
            <a:rPr kumimoji="1" lang="ja-JP" altLang="en-US" sz="1000"/>
            <a:t>年、</a:t>
          </a:r>
          <a:br>
            <a:rPr kumimoji="1" lang="ja-JP" altLang="en-US" sz="1000"/>
          </a:br>
          <a:r>
            <a:rPr kumimoji="1" lang="ja-JP" altLang="en-US" sz="1000"/>
            <a:t>　　　  総務省「経済センサス－活動調査」</a:t>
          </a:r>
          <a:r>
            <a:rPr kumimoji="1" lang="en-US" altLang="ja-JP" sz="1000"/>
            <a:t>12</a:t>
          </a:r>
          <a:r>
            <a:rPr kumimoji="1" lang="ja-JP" altLang="en-US" sz="1000"/>
            <a:t>年及び</a:t>
          </a:r>
          <a:r>
            <a:rPr kumimoji="1" lang="en-US" altLang="ja-JP" sz="1000"/>
            <a:t>16</a:t>
          </a:r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36</xdr:row>
      <xdr:rowOff>85725</xdr:rowOff>
    </xdr:from>
    <xdr:to>
      <xdr:col>10</xdr:col>
      <xdr:colOff>57150</xdr:colOff>
      <xdr:row>41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371475" y="7419975"/>
          <a:ext cx="5133975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注：地域分類は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Ⅲ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－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章末注のとおり。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 　</a:t>
          </a:r>
          <a:r>
            <a:rPr kumimoji="1" lang="ja-JP" altLang="en-US" sz="10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大阪府の行における％の値は大阪市が大阪府に占めるシェア。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資料：総務省「経済センサス－活動調査」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2016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30</xdr:row>
      <xdr:rowOff>152401</xdr:rowOff>
    </xdr:from>
    <xdr:to>
      <xdr:col>10</xdr:col>
      <xdr:colOff>76200</xdr:colOff>
      <xdr:row>36</xdr:row>
      <xdr:rowOff>19051</xdr:rowOff>
    </xdr:to>
    <xdr:sp macro="" textlink="">
      <xdr:nvSpPr>
        <xdr:cNvPr id="2" name="テキスト ボックス 1"/>
        <xdr:cNvSpPr txBox="1"/>
      </xdr:nvSpPr>
      <xdr:spPr>
        <a:xfrm>
          <a:off x="123824" y="4772026"/>
          <a:ext cx="5972176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資料：総務省「経済センサス－活動調査」</a:t>
          </a:r>
          <a:r>
            <a:rPr kumimoji="1" lang="en-US" altLang="ja-JP" sz="1000"/>
            <a:t>2012</a:t>
          </a:r>
          <a:r>
            <a:rPr kumimoji="1" lang="ja-JP" altLang="en-US" sz="1000"/>
            <a:t>年及び</a:t>
          </a:r>
          <a:r>
            <a:rPr kumimoji="1" lang="en-US" altLang="ja-JP" sz="1000"/>
            <a:t>16</a:t>
          </a:r>
          <a:r>
            <a:rPr kumimoji="1" lang="ja-JP" altLang="en-US" sz="1000"/>
            <a:t>年、「経済センサス－基礎調査」</a:t>
          </a:r>
          <a:r>
            <a:rPr kumimoji="1" lang="en-US" altLang="ja-JP" sz="1000"/>
            <a:t>14</a:t>
          </a:r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26</xdr:row>
      <xdr:rowOff>95250</xdr:rowOff>
    </xdr:from>
    <xdr:to>
      <xdr:col>13</xdr:col>
      <xdr:colOff>238126</xdr:colOff>
      <xdr:row>38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114300" y="6191250"/>
          <a:ext cx="6638926" cy="2057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注：異なる調査の時系列比較は注意を要する。</a:t>
          </a:r>
          <a:br>
            <a:rPr kumimoji="1" lang="ja-JP" altLang="en-US" sz="1000"/>
          </a:br>
          <a:r>
            <a:rPr kumimoji="1" lang="ja-JP" altLang="en-US" sz="1000"/>
            <a:t>　　</a:t>
          </a:r>
          <a:r>
            <a:rPr kumimoji="1" lang="en-US" altLang="ja-JP" sz="1000"/>
            <a:t>2015</a:t>
          </a:r>
          <a:r>
            <a:rPr kumimoji="1" lang="ja-JP" altLang="en-US" sz="1000"/>
            <a:t>年の年間商品販売額と</a:t>
          </a:r>
          <a:r>
            <a:rPr kumimoji="1" lang="en-US" altLang="ja-JP" sz="1000"/>
            <a:t>16</a:t>
          </a:r>
          <a:r>
            <a:rPr kumimoji="1" lang="ja-JP" altLang="en-US" sz="1000"/>
            <a:t>年の売場面積は「経済センサス－活動調査」のうち</a:t>
          </a:r>
          <a:br>
            <a:rPr kumimoji="1" lang="ja-JP" altLang="en-US" sz="1000"/>
          </a:br>
          <a:r>
            <a:rPr kumimoji="1" lang="ja-JP" altLang="en-US" sz="1000"/>
            <a:t>　　「産業別集計＜卸売業、小売業＞（産業編）」、</a:t>
          </a:r>
          <a:r>
            <a:rPr kumimoji="1" lang="en-US" altLang="ja-JP" sz="1000"/>
            <a:t>16</a:t>
          </a:r>
          <a:r>
            <a:rPr kumimoji="1" lang="ja-JP" altLang="en-US" sz="1000"/>
            <a:t>年の事業所数・従業者数は「経済センサス－活動調査」</a:t>
          </a:r>
          <a:br>
            <a:rPr kumimoji="1" lang="ja-JP" altLang="en-US" sz="1000"/>
          </a:br>
          <a:r>
            <a:rPr kumimoji="1" lang="ja-JP" altLang="en-US" sz="1000"/>
            <a:t>　　のうち「産業横断的集計」、</a:t>
          </a:r>
          <a:r>
            <a:rPr kumimoji="1" lang="en-US" altLang="ja-JP" sz="1000"/>
            <a:t>13</a:t>
          </a:r>
          <a:r>
            <a:rPr kumimoji="1" lang="ja-JP" altLang="en-US" sz="1000"/>
            <a:t>年の年間商品販売額と</a:t>
          </a:r>
          <a:r>
            <a:rPr kumimoji="1" lang="en-US" altLang="ja-JP" sz="1000"/>
            <a:t>14</a:t>
          </a:r>
          <a:r>
            <a:rPr kumimoji="1" lang="ja-JP" altLang="en-US" sz="1000"/>
            <a:t>年の売場面積は「商業統計調査」の値を用いている。</a:t>
          </a:r>
          <a:br>
            <a:rPr kumimoji="1" lang="ja-JP" altLang="en-US" sz="1000"/>
          </a:br>
          <a:r>
            <a:rPr kumimoji="1" lang="ja-JP" altLang="en-US" sz="1000"/>
            <a:t>　　その他とは家具・建具・畳小売業、什器、医薬品・化粧品、農耕用品、燃料、書籍・文房具、</a:t>
          </a:r>
          <a:br>
            <a:rPr kumimoji="1" lang="ja-JP" altLang="en-US" sz="1000"/>
          </a:br>
          <a:r>
            <a:rPr kumimoji="1" lang="ja-JP" altLang="en-US" sz="1000"/>
            <a:t>　　スポーツ用品・がん具・娯楽用品・楽器、写真機・時計・眼鏡、花・植木、ペット・ペット用品、中古品等。</a:t>
          </a:r>
          <a:endParaRPr kumimoji="1" lang="en-US" altLang="ja-JP" sz="1000"/>
        </a:p>
        <a:p>
          <a:r>
            <a:rPr kumimoji="1" lang="ja-JP" altLang="en-US" sz="1000"/>
            <a:t>　　合計には各付不能の事業所（格付不能の事業所（回答内容の不備等により、産業分類の格付けが十分に</a:t>
          </a:r>
          <a:br>
            <a:rPr kumimoji="1" lang="ja-JP" altLang="en-US" sz="1000"/>
          </a:br>
          <a:r>
            <a:rPr kumimoji="1" lang="ja-JP" altLang="en-US" sz="1000"/>
            <a:t>　　行えなかった事業所）を含めているため、内訳の合計と一致しないことがある。</a:t>
          </a:r>
          <a:br>
            <a:rPr kumimoji="1" lang="ja-JP" altLang="en-US" sz="1000"/>
          </a:br>
          <a:r>
            <a:rPr kumimoji="1" lang="ja-JP" altLang="en-US" sz="1000"/>
            <a:t>資料：総務省「経済センサス－基礎調査」</a:t>
          </a:r>
          <a:r>
            <a:rPr kumimoji="1" lang="en-US" altLang="ja-JP" sz="1000"/>
            <a:t>14</a:t>
          </a:r>
          <a:r>
            <a:rPr kumimoji="1" lang="ja-JP" altLang="en-US" sz="1000"/>
            <a:t>年、「経済センサス－活動調査」</a:t>
          </a:r>
          <a:r>
            <a:rPr kumimoji="1" lang="en-US" altLang="ja-JP" sz="1000"/>
            <a:t>16</a:t>
          </a:r>
          <a:r>
            <a:rPr kumimoji="1" lang="ja-JP" altLang="en-US" sz="1000"/>
            <a:t>年、</a:t>
          </a:r>
          <a:br>
            <a:rPr kumimoji="1" lang="ja-JP" altLang="en-US" sz="1000"/>
          </a:br>
          <a:r>
            <a:rPr kumimoji="1" lang="ja-JP" altLang="en-US" sz="1000"/>
            <a:t>　　経済産業省「商業統計調査」</a:t>
          </a:r>
          <a:r>
            <a:rPr kumimoji="1" lang="en-US" altLang="ja-JP" sz="1000"/>
            <a:t>14</a:t>
          </a:r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583</xdr:colOff>
      <xdr:row>40</xdr:row>
      <xdr:rowOff>28769</xdr:rowOff>
    </xdr:from>
    <xdr:to>
      <xdr:col>12</xdr:col>
      <xdr:colOff>171450</xdr:colOff>
      <xdr:row>49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124408" y="7382069"/>
          <a:ext cx="6114467" cy="1466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注：「専門料理店」とは、日本料理店、中華料理店、焼き肉店等。「その他の飲食店」とは、</a:t>
          </a:r>
          <a:b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ハンバーガー店、お好み焼・焼きそば・たこ焼店等。</a:t>
          </a:r>
          <a:b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2012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年及び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16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年は「経済センサス－活動調査」の調査結果のうち、「産業横断的集計」</a:t>
          </a:r>
          <a:b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を用いている。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資料：総務省「経済センサス－活動調査」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2012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年及び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16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年、</a:t>
          </a:r>
          <a:b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「経済センサス－基礎調査」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14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42</xdr:row>
      <xdr:rowOff>9526</xdr:rowOff>
    </xdr:from>
    <xdr:to>
      <xdr:col>11</xdr:col>
      <xdr:colOff>495300</xdr:colOff>
      <xdr:row>63</xdr:row>
      <xdr:rowOff>19050</xdr:rowOff>
    </xdr:to>
    <xdr:sp macro="" textlink="">
      <xdr:nvSpPr>
        <xdr:cNvPr id="2" name="テキスト ボックス 1"/>
        <xdr:cNvSpPr txBox="1"/>
      </xdr:nvSpPr>
      <xdr:spPr>
        <a:xfrm>
          <a:off x="76200" y="6791326"/>
          <a:ext cx="6867525" cy="3324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注：近畿は大阪府、兵庫県、京都府、和歌山県、奈良県、滋賀県の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6</a:t>
          </a:r>
          <a:r>
            <a:rPr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府県。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/>
          </a:r>
          <a:b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  </a:t>
          </a:r>
          <a:r>
            <a:rPr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大阪市は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2016</a:t>
          </a:r>
          <a:r>
            <a:rPr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年度の早期推計</a:t>
          </a:r>
          <a:r>
            <a:rPr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。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/>
          </a:r>
          <a:b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  </a:t>
          </a:r>
          <a:r>
            <a:rPr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大阪市、大阪府、近畿、日本は年度、他は暦年による。</a:t>
          </a:r>
          <a:endParaRPr lang="en-US" altLang="ja-JP" sz="10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lang="ja-JP" altLang="en-US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近畿、大阪府、大阪市の円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ドルレートは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14</a:t>
          </a:r>
          <a:r>
            <a:rPr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年度が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109</a:t>
          </a:r>
          <a:r>
            <a:rPr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92</a:t>
          </a:r>
          <a:r>
            <a:rPr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銭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､15</a:t>
          </a:r>
          <a:r>
            <a:rPr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年度が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120</a:t>
          </a:r>
          <a:r>
            <a:rPr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11</a:t>
          </a:r>
          <a:r>
            <a:rPr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銭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､</a:t>
          </a:r>
          <a:b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  16</a:t>
          </a:r>
          <a:r>
            <a:rPr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年度が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108</a:t>
          </a:r>
          <a:r>
            <a:rPr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39</a:t>
          </a:r>
          <a:r>
            <a:rPr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銭。（当該年度の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</a:t>
          </a:r>
          <a:r>
            <a:rPr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月～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</a:t>
          </a:r>
          <a:r>
            <a:rPr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月の平均値による）</a:t>
          </a:r>
        </a:p>
        <a:p>
          <a:r>
            <a:rPr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資料：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総務省統計局「世界の統計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2019</a:t>
          </a:r>
          <a:r>
            <a:rPr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」、</a:t>
          </a:r>
          <a:endParaRPr lang="en-US" altLang="ja-JP" sz="10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</a:t>
          </a:r>
          <a:r>
            <a:rPr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内閣府「平成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28</a:t>
          </a:r>
          <a:r>
            <a:rPr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年度国民経済計算年次推計」（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2011</a:t>
          </a:r>
          <a:r>
            <a:rPr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年基準・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2008SNA</a:t>
          </a:r>
          <a:r>
            <a:rPr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）。</a:t>
          </a:r>
        </a:p>
        <a:p>
          <a:r>
            <a:rPr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大阪市「平成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29</a:t>
          </a:r>
          <a:r>
            <a:rPr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年度　大阪市民経済計算（早期推計）」、兵庫県「平成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28</a:t>
          </a:r>
          <a:r>
            <a:rPr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年度兵庫県民経済計算」、</a:t>
          </a:r>
          <a:endParaRPr lang="en-US" altLang="ja-JP" sz="10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</a:t>
          </a:r>
          <a:r>
            <a:rPr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他は各府県発表の「平成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27</a:t>
          </a:r>
          <a:r>
            <a:rPr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年度県民経済計算」。</a:t>
          </a:r>
        </a:p>
        <a:p>
          <a:r>
            <a:rPr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近畿、大阪府、大阪市の米ドル換算は、日本銀行主要時系列統計データ表による。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345281</xdr:colOff>
      <xdr:row>24</xdr:row>
      <xdr:rowOff>123029</xdr:rowOff>
    </xdr:from>
    <xdr:to>
      <xdr:col>6</xdr:col>
      <xdr:colOff>508000</xdr:colOff>
      <xdr:row>26</xdr:row>
      <xdr:rowOff>84665</xdr:rowOff>
    </xdr:to>
    <xdr:sp macro="" textlink="">
      <xdr:nvSpPr>
        <xdr:cNvPr id="2" name="テキスト ボックス 1"/>
        <xdr:cNvSpPr txBox="1"/>
      </xdr:nvSpPr>
      <xdr:spPr>
        <a:xfrm>
          <a:off x="345281" y="4885529"/>
          <a:ext cx="4173802" cy="3638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資料：大阪市「市民経済計算」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2015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20</xdr:row>
      <xdr:rowOff>104775</xdr:rowOff>
    </xdr:from>
    <xdr:to>
      <xdr:col>10</xdr:col>
      <xdr:colOff>0</xdr:colOff>
      <xdr:row>26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619125" y="3705225"/>
          <a:ext cx="7391400" cy="1000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注：市税決算額［法人分］は、法人市民税、法人純固定資産税、法人都市計画税、事業所税の合算値。   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2015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年度分の調定済額。（株）ダン計画研究所による集計。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たばこ税（約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300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憶円）は中央区に一括計上されているが、ここでは同額分を中央区から除外して算出。 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資料：大阪市「決算説明書（市税関係）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16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年度、「大阪市税統計」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16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年度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152401</xdr:rowOff>
    </xdr:from>
    <xdr:to>
      <xdr:col>13</xdr:col>
      <xdr:colOff>161925</xdr:colOff>
      <xdr:row>55</xdr:row>
      <xdr:rowOff>57150</xdr:rowOff>
    </xdr:to>
    <xdr:sp macro="" textlink="">
      <xdr:nvSpPr>
        <xdr:cNvPr id="2" name="テキスト ボックス 1"/>
        <xdr:cNvSpPr txBox="1"/>
      </xdr:nvSpPr>
      <xdr:spPr>
        <a:xfrm>
          <a:off x="28575" y="8896351"/>
          <a:ext cx="6362700" cy="1104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注：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2012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16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年は、「経済センサス−活動調査」のうち「産業横断的集計」の数値を</a:t>
          </a:r>
          <a:b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用いている（巻頭付記参照）。対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06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年増減率は、「事業所・企業統計調査」の</a:t>
          </a:r>
          <a:b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数字を基に算出。旧産業分類であるため、時系列比較には注意を要する。 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資料：総務省「経済センサス−基礎調査」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09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年及び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14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年、「経済センサス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‐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活動調査」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年及び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16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&lt;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産業横断的集計　基本編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&gt;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」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48</xdr:row>
      <xdr:rowOff>152400</xdr:rowOff>
    </xdr:from>
    <xdr:to>
      <xdr:col>9</xdr:col>
      <xdr:colOff>352425</xdr:colOff>
      <xdr:row>51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5705474" y="8915400"/>
          <a:ext cx="4933951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注及び資料：前ページと同じ。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121104</xdr:colOff>
      <xdr:row>42</xdr:row>
      <xdr:rowOff>79376</xdr:rowOff>
    </xdr:from>
    <xdr:to>
      <xdr:col>7</xdr:col>
      <xdr:colOff>504826</xdr:colOff>
      <xdr:row>51</xdr:row>
      <xdr:rowOff>127001</xdr:rowOff>
    </xdr:to>
    <xdr:sp macro="" textlink="">
      <xdr:nvSpPr>
        <xdr:cNvPr id="2" name="テキスト ボックス 1"/>
        <xdr:cNvSpPr txBox="1"/>
      </xdr:nvSpPr>
      <xdr:spPr>
        <a:xfrm>
          <a:off x="121104" y="8191501"/>
          <a:ext cx="5416097" cy="158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注：各用語の詳しい定義は以下のとおり。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  　開業率の定義：新設事業所数から年平均新設事業所数を算出し、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/>
          </a:r>
          <a:b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        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存続及び廃業事業所数から逆算した期首事業所数で除したもの。 　　　　　　　　　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開業率＝新設事業所数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÷23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ヵ月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×12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ヵ月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期首事業所数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×100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（％） 　　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  廃業率の定義：廃業事業所数から年平均廃業事業所数を算出し、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/>
          </a:r>
          <a:b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        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存続及び廃業事業所数から逆算した期首事業所数で除したもの。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 　 　　　　　　廃業率＝廃業事業所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23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ヵ月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×12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ヵ月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期首事業所数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×100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（％）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資料：「経済センサス−基礎調査」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2014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年、総務省「経済センサス−活動調査」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16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104775</xdr:rowOff>
    </xdr:from>
    <xdr:to>
      <xdr:col>8</xdr:col>
      <xdr:colOff>571500</xdr:colOff>
      <xdr:row>38</xdr:row>
      <xdr:rowOff>161926</xdr:rowOff>
    </xdr:to>
    <xdr:sp macro="" textlink="">
      <xdr:nvSpPr>
        <xdr:cNvPr id="2" name="テキスト ボックス 1"/>
        <xdr:cNvSpPr txBox="1"/>
      </xdr:nvSpPr>
      <xdr:spPr>
        <a:xfrm>
          <a:off x="123825" y="4905375"/>
          <a:ext cx="5324475" cy="895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注：本表での「中小企業」「小規模企業」とは下記の条件を満たす事業所とする。</a:t>
          </a:r>
          <a:endParaRPr lang="en-US" altLang="ja-JP" sz="9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9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全企業の「大分類」には、格付不能の事業所（回答内容の不備等により、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/>
          </a:r>
          <a:br>
            <a:rPr lang="en-US" altLang="ja-JP" sz="9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lang="en-US" altLang="ja-JP" sz="9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産業分類の格付けが十分に行えなかった事業所）を含めているため、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/>
          </a:r>
          <a:br>
            <a:rPr lang="en-US" altLang="ja-JP" sz="9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lang="en-US" altLang="ja-JP" sz="9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内訳の合計と必ずしも一致しない。   </a:t>
          </a:r>
          <a:br>
            <a:rPr lang="ja-JP" altLang="en-US" sz="9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lang="ja-JP" alt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ja-JP" altLang="en-US" sz="900"/>
            <a:t> </a:t>
          </a:r>
          <a:endParaRPr kumimoji="1" lang="ja-JP" alt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2823;&#38442;&#24066;&#32076;&#28168;&#35519;&#26619;&#38306;&#36899;\&#9733;&#9733;190301&#20197;&#38477;&#26368;&#26032;&#12399;&#12371;&#12371;&#12395;\&#22823;&#38442;&#24066;_&#24460;&#12429;&#12398;&#12487;&#12540;&#12479;&#34920;&#12399;&#12371;&#12371;\&#24460;&#12429;&#12398;&#12487;&#12540;&#12479;&#34920;\&#22823;&#38442;&#24066;_&#26368;&#32066;&#12487;&#12540;&#12479;\1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2823;&#38442;&#24066;&#32076;&#28168;&#35519;&#26619;&#38306;&#36899;\&#9733;&#9733;190301&#20197;&#38477;&#26368;&#26032;&#12399;&#12371;&#12371;&#12395;\&#22823;&#38442;&#24066;_&#24460;&#12429;&#12398;&#12487;&#12540;&#12479;&#34920;&#12399;&#12371;&#12371;\&#24460;&#12429;&#12398;&#12487;&#12540;&#12479;&#34920;&#9733;&#9733;&#9733;\&#22823;&#38442;&#24066;_&#26368;&#32066;&#12487;&#12540;&#12479;\1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8"/>
      <sheetName val="H28注"/>
      <sheetName val="H27"/>
      <sheetName val="H27注"/>
      <sheetName val="H26"/>
      <sheetName val="H25"/>
      <sheetName val="H24"/>
      <sheetName val="H23"/>
      <sheetName val="H22"/>
      <sheetName val="H21"/>
      <sheetName val="H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8"/>
      <sheetName val="H28注"/>
      <sheetName val="H27"/>
      <sheetName val="H27注"/>
      <sheetName val="H26"/>
      <sheetName val="H25"/>
      <sheetName val="H24"/>
      <sheetName val="H23"/>
      <sheetName val="H22"/>
      <sheetName val="H21"/>
      <sheetName val="H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2"/>
  <sheetViews>
    <sheetView tabSelected="1" zoomScaleNormal="100" workbookViewId="0"/>
  </sheetViews>
  <sheetFormatPr defaultRowHeight="13.5"/>
  <cols>
    <col min="1" max="1" width="1.625" style="4" customWidth="1"/>
    <col min="2" max="2" width="12.5" style="2" customWidth="1"/>
    <col min="3" max="3" width="10.25" style="3" bestFit="1" customWidth="1"/>
    <col min="4" max="4" width="6.375" style="4" bestFit="1" customWidth="1"/>
    <col min="5" max="5" width="7.375" style="4" bestFit="1" customWidth="1"/>
    <col min="6" max="8" width="6.125" style="4" customWidth="1"/>
    <col min="9" max="9" width="6.625" style="4" customWidth="1"/>
    <col min="10" max="11" width="6.125" style="4" customWidth="1"/>
    <col min="12" max="12" width="6.25" style="4" customWidth="1"/>
    <col min="13" max="13" width="6.75" style="4" customWidth="1"/>
    <col min="14" max="16" width="2.625" style="4" customWidth="1"/>
    <col min="17" max="17" width="9" style="4"/>
    <col min="18" max="18" width="11.25" style="4" bestFit="1" customWidth="1"/>
    <col min="19" max="19" width="9" style="4"/>
    <col min="20" max="20" width="10.125" style="4" bestFit="1" customWidth="1"/>
    <col min="21" max="21" width="9" style="4"/>
    <col min="22" max="22" width="11.25" style="4" bestFit="1" customWidth="1"/>
    <col min="23" max="23" width="9" style="4"/>
    <col min="24" max="24" width="12.875" style="4" bestFit="1" customWidth="1"/>
    <col min="25" max="25" width="9.125" style="4" customWidth="1"/>
    <col min="26" max="26" width="11.875" style="4" customWidth="1"/>
    <col min="27" max="27" width="9" style="4"/>
    <col min="28" max="28" width="11.75" style="4" customWidth="1"/>
    <col min="29" max="29" width="9" style="4"/>
    <col min="30" max="30" width="11.875" style="4" customWidth="1"/>
    <col min="31" max="31" width="9" style="4"/>
    <col min="32" max="32" width="15.375" style="4" customWidth="1"/>
    <col min="33" max="33" width="9.125" style="4" customWidth="1"/>
    <col min="34" max="34" width="13.875" style="4" customWidth="1"/>
    <col min="35" max="35" width="9.125" style="4" customWidth="1"/>
    <col min="36" max="36" width="13.625" style="4" customWidth="1"/>
    <col min="37" max="37" width="9.125" style="4" customWidth="1"/>
    <col min="38" max="38" width="16.125" style="4" customWidth="1"/>
    <col min="39" max="39" width="9.125" style="4" customWidth="1"/>
    <col min="40" max="40" width="11.25" style="4" bestFit="1" customWidth="1"/>
    <col min="41" max="41" width="9.125" style="4" customWidth="1"/>
    <col min="42" max="42" width="10.25" style="10" bestFit="1" customWidth="1"/>
    <col min="43" max="43" width="9.125" style="4" customWidth="1"/>
    <col min="44" max="44" width="9" style="4"/>
    <col min="45" max="45" width="9.125" style="4" customWidth="1"/>
    <col min="46" max="16384" width="9" style="4"/>
  </cols>
  <sheetData>
    <row r="1" spans="1:42" ht="19.5" customHeight="1">
      <c r="A1" s="1" t="s">
        <v>529</v>
      </c>
      <c r="AP1" s="4"/>
    </row>
    <row r="2" spans="1:42" ht="13.5" customHeight="1">
      <c r="A2" s="1"/>
      <c r="AP2" s="4"/>
    </row>
    <row r="3" spans="1:42" ht="18" customHeight="1">
      <c r="B3" s="445"/>
      <c r="C3" s="619" t="s">
        <v>0</v>
      </c>
      <c r="D3" s="619"/>
      <c r="E3" s="619" t="s">
        <v>1</v>
      </c>
      <c r="F3" s="619" t="s">
        <v>2</v>
      </c>
      <c r="G3" s="619"/>
      <c r="H3" s="619"/>
      <c r="I3" s="619"/>
      <c r="J3" s="619"/>
      <c r="K3" s="619"/>
      <c r="L3" s="619"/>
      <c r="M3" s="620" t="s">
        <v>3</v>
      </c>
      <c r="AP3" s="4"/>
    </row>
    <row r="4" spans="1:42" ht="53.25" customHeight="1">
      <c r="B4" s="446"/>
      <c r="C4" s="619"/>
      <c r="D4" s="619"/>
      <c r="E4" s="619"/>
      <c r="F4" s="447" t="s">
        <v>4</v>
      </c>
      <c r="G4" s="448" t="s">
        <v>530</v>
      </c>
      <c r="H4" s="448" t="s">
        <v>531</v>
      </c>
      <c r="I4" s="447" t="s">
        <v>5</v>
      </c>
      <c r="J4" s="447" t="s">
        <v>6</v>
      </c>
      <c r="K4" s="447" t="s">
        <v>7</v>
      </c>
      <c r="L4" s="447" t="s">
        <v>8</v>
      </c>
      <c r="M4" s="621"/>
      <c r="AP4" s="4"/>
    </row>
    <row r="5" spans="1:42" ht="27" customHeight="1">
      <c r="B5" s="449" t="s">
        <v>9</v>
      </c>
      <c r="C5" s="450">
        <v>225.21</v>
      </c>
      <c r="D5" s="348" t="s">
        <v>10</v>
      </c>
      <c r="E5" s="451" t="s">
        <v>532</v>
      </c>
      <c r="F5" s="452">
        <v>5.9583480753128214E-2</v>
      </c>
      <c r="G5" s="452">
        <v>0.16603527825691874</v>
      </c>
      <c r="H5" s="452">
        <v>8.6368399679670999E-2</v>
      </c>
      <c r="I5" s="452">
        <v>0.11576461008986624</v>
      </c>
      <c r="J5" s="452">
        <v>0.21901777395258704</v>
      </c>
      <c r="K5" s="452">
        <v>0.14736996780386072</v>
      </c>
      <c r="L5" s="452">
        <v>9.0850190736719932E-2</v>
      </c>
      <c r="M5" s="453" t="s">
        <v>533</v>
      </c>
      <c r="AP5" s="4"/>
    </row>
    <row r="6" spans="1:42" ht="27" customHeight="1">
      <c r="B6" s="449" t="s">
        <v>11</v>
      </c>
      <c r="C6" s="450">
        <v>2725006</v>
      </c>
      <c r="D6" s="348" t="s">
        <v>12</v>
      </c>
      <c r="E6" s="451" t="s">
        <v>534</v>
      </c>
      <c r="F6" s="454">
        <v>2.1551771591268585</v>
      </c>
      <c r="G6" s="454">
        <v>7.4924201202151224</v>
      </c>
      <c r="H6" s="454">
        <v>1.8351478962353687</v>
      </c>
      <c r="I6" s="454">
        <v>2.9580607402720656</v>
      </c>
      <c r="J6" s="454">
        <v>1.1618000632711167</v>
      </c>
      <c r="K6" s="454">
        <v>1.2080093324897183</v>
      </c>
      <c r="L6" s="454">
        <v>1.2491695665928504</v>
      </c>
      <c r="M6" s="453" t="s">
        <v>535</v>
      </c>
      <c r="AP6" s="4"/>
    </row>
    <row r="7" spans="1:42" ht="27" customHeight="1">
      <c r="B7" s="449" t="s">
        <v>13</v>
      </c>
      <c r="C7" s="450">
        <v>3543449</v>
      </c>
      <c r="D7" s="348" t="s">
        <v>12</v>
      </c>
      <c r="E7" s="451" t="s">
        <v>14</v>
      </c>
      <c r="F7" s="454">
        <v>2.7880373810892025</v>
      </c>
      <c r="G7" s="454">
        <v>9.4682057861637006</v>
      </c>
      <c r="H7" s="454">
        <v>2.0376916449220617</v>
      </c>
      <c r="I7" s="454">
        <v>2.6878058569612775</v>
      </c>
      <c r="J7" s="454">
        <v>1.2653678167417544</v>
      </c>
      <c r="K7" s="454">
        <v>1.2365774839864543</v>
      </c>
      <c r="L7" s="454">
        <v>1.3409035912539107</v>
      </c>
      <c r="M7" s="453" t="s">
        <v>536</v>
      </c>
      <c r="AP7" s="4"/>
    </row>
    <row r="8" spans="1:42" ht="27" customHeight="1">
      <c r="B8" s="449" t="s">
        <v>15</v>
      </c>
      <c r="C8" s="450">
        <v>1412983</v>
      </c>
      <c r="D8" s="348" t="s">
        <v>16</v>
      </c>
      <c r="E8" s="451" t="s">
        <v>534</v>
      </c>
      <c r="F8" s="454">
        <v>2.4358610922553234</v>
      </c>
      <c r="G8" s="454">
        <v>8.8757691759222457</v>
      </c>
      <c r="H8" s="454">
        <v>1.9006754570647508</v>
      </c>
      <c r="I8" s="454">
        <v>2.9150212482736726</v>
      </c>
      <c r="J8" s="454">
        <v>1.2430195276696463</v>
      </c>
      <c r="K8" s="454">
        <v>1.2381960164624128</v>
      </c>
      <c r="L8" s="454">
        <v>1.388614403480265</v>
      </c>
      <c r="M8" s="453" t="s">
        <v>537</v>
      </c>
      <c r="AP8" s="4"/>
    </row>
    <row r="9" spans="1:42" ht="27" customHeight="1">
      <c r="B9" s="449" t="s">
        <v>17</v>
      </c>
      <c r="C9" s="450">
        <v>19761810</v>
      </c>
      <c r="D9" s="348" t="s">
        <v>18</v>
      </c>
      <c r="E9" s="451" t="s">
        <v>538</v>
      </c>
      <c r="F9" s="454">
        <v>3.7132899930363403</v>
      </c>
      <c r="G9" s="454">
        <v>19.605570852892399</v>
      </c>
      <c r="H9" s="454">
        <v>2.4213200363628578</v>
      </c>
      <c r="I9" s="454">
        <v>2.5447433010003544</v>
      </c>
      <c r="J9" s="454">
        <v>1.187433039822483</v>
      </c>
      <c r="K9" s="454">
        <v>1.23858634318405</v>
      </c>
      <c r="L9" s="454">
        <v>1.4386106201640987</v>
      </c>
      <c r="M9" s="453" t="s">
        <v>539</v>
      </c>
      <c r="AP9" s="4"/>
    </row>
    <row r="10" spans="1:42" ht="27" customHeight="1">
      <c r="B10" s="449" t="s">
        <v>19</v>
      </c>
      <c r="C10" s="450">
        <v>11400797</v>
      </c>
      <c r="D10" s="348" t="s">
        <v>18</v>
      </c>
      <c r="E10" s="451" t="s">
        <v>538</v>
      </c>
      <c r="F10" s="454">
        <v>2.934867234858431</v>
      </c>
      <c r="G10" s="454">
        <v>18.71199998764353</v>
      </c>
      <c r="H10" s="454">
        <v>2.1486831090118836</v>
      </c>
      <c r="I10" s="454">
        <v>2.9374149848993616</v>
      </c>
      <c r="J10" s="454">
        <v>1.1810763222541603</v>
      </c>
      <c r="K10" s="454">
        <v>1.2462621136277985</v>
      </c>
      <c r="L10" s="454">
        <v>1.3335490567378296</v>
      </c>
      <c r="M10" s="453" t="s">
        <v>539</v>
      </c>
      <c r="AP10" s="4"/>
    </row>
    <row r="11" spans="1:42" ht="27" customHeight="1">
      <c r="B11" s="455" t="s">
        <v>540</v>
      </c>
      <c r="C11" s="450">
        <v>179252</v>
      </c>
      <c r="D11" s="348" t="s">
        <v>20</v>
      </c>
      <c r="E11" s="451" t="s">
        <v>541</v>
      </c>
      <c r="F11" s="456">
        <v>3.3562868965093697</v>
      </c>
      <c r="G11" s="456">
        <v>9.2558900071394028</v>
      </c>
      <c r="H11" s="456">
        <v>2.2376868710074911</v>
      </c>
      <c r="I11" s="456">
        <v>2.1519316549651992</v>
      </c>
      <c r="J11" s="456">
        <v>1.3225963309125273</v>
      </c>
      <c r="K11" s="456">
        <v>1.2522882880656263</v>
      </c>
      <c r="L11" s="456">
        <v>1.3534345057644168</v>
      </c>
      <c r="M11" s="457" t="s">
        <v>542</v>
      </c>
      <c r="AP11" s="4"/>
    </row>
    <row r="12" spans="1:42" ht="27" customHeight="1">
      <c r="B12" s="455" t="s">
        <v>543</v>
      </c>
      <c r="C12" s="450">
        <v>2209412</v>
      </c>
      <c r="D12" s="348" t="s">
        <v>12</v>
      </c>
      <c r="E12" s="451" t="s">
        <v>541</v>
      </c>
      <c r="F12" s="454">
        <v>3.8848289339446578</v>
      </c>
      <c r="G12" s="454">
        <v>13.275872734018879</v>
      </c>
      <c r="H12" s="454">
        <v>2.491792829144801</v>
      </c>
      <c r="I12" s="454">
        <v>2.5952183209605231</v>
      </c>
      <c r="J12" s="454">
        <v>1.3003433309257395</v>
      </c>
      <c r="K12" s="454">
        <v>1.2785192000130257</v>
      </c>
      <c r="L12" s="454">
        <v>1.5243307937608024</v>
      </c>
      <c r="M12" s="453" t="s">
        <v>542</v>
      </c>
      <c r="AP12" s="4"/>
    </row>
    <row r="13" spans="1:42" ht="27" customHeight="1">
      <c r="B13" s="449" t="s">
        <v>21</v>
      </c>
      <c r="C13" s="450">
        <v>1854</v>
      </c>
      <c r="D13" s="348" t="s">
        <v>22</v>
      </c>
      <c r="E13" s="451" t="s">
        <v>541</v>
      </c>
      <c r="F13" s="454">
        <v>6.5064046323916473</v>
      </c>
      <c r="G13" s="454">
        <v>38.490963326899461</v>
      </c>
      <c r="H13" s="454">
        <v>2.8917353921740654</v>
      </c>
      <c r="I13" s="454">
        <v>2.846113353219863</v>
      </c>
      <c r="J13" s="454">
        <v>1.1510791366906474</v>
      </c>
      <c r="K13" s="454">
        <v>1.2072293384804351</v>
      </c>
      <c r="L13" s="454">
        <v>1.6072995262326724</v>
      </c>
      <c r="M13" s="453" t="s">
        <v>542</v>
      </c>
      <c r="O13" s="6"/>
      <c r="Q13" s="6"/>
      <c r="S13" s="6"/>
      <c r="U13" s="6"/>
      <c r="W13" s="6"/>
      <c r="Y13" s="6"/>
      <c r="AA13" s="6"/>
      <c r="AC13" s="6"/>
      <c r="AE13" s="6"/>
      <c r="AP13" s="4"/>
    </row>
    <row r="14" spans="1:42" ht="27" customHeight="1">
      <c r="B14" s="455" t="s">
        <v>544</v>
      </c>
      <c r="C14" s="450">
        <v>3557797.88</v>
      </c>
      <c r="D14" s="348" t="s">
        <v>18</v>
      </c>
      <c r="E14" s="451" t="s">
        <v>545</v>
      </c>
      <c r="F14" s="454">
        <v>1.1779399507190527</v>
      </c>
      <c r="G14" s="454">
        <v>0.94478189143206615</v>
      </c>
      <c r="H14" s="454">
        <v>1.1136285031840121</v>
      </c>
      <c r="I14" s="454">
        <v>1.2297459382187377</v>
      </c>
      <c r="J14" s="454">
        <v>0.87059797820515128</v>
      </c>
      <c r="K14" s="454">
        <v>1.0639426102069627</v>
      </c>
      <c r="L14" s="454">
        <v>0.19077552085832003</v>
      </c>
      <c r="M14" s="453" t="s">
        <v>546</v>
      </c>
      <c r="S14" s="6"/>
      <c r="U14" s="7"/>
      <c r="V14" s="8"/>
      <c r="W14" s="6"/>
      <c r="Y14" s="6"/>
      <c r="AA14" s="6"/>
      <c r="AC14" s="6"/>
      <c r="AE14" s="6"/>
      <c r="AF14" s="9"/>
      <c r="AP14" s="4"/>
    </row>
    <row r="15" spans="1:42" ht="27" customHeight="1">
      <c r="B15" s="455" t="s">
        <v>547</v>
      </c>
      <c r="C15" s="450">
        <v>36985516</v>
      </c>
      <c r="D15" s="348" t="s">
        <v>18</v>
      </c>
      <c r="E15" s="451" t="s">
        <v>548</v>
      </c>
      <c r="F15" s="454">
        <v>9.0913645522315072</v>
      </c>
      <c r="G15" s="454">
        <v>40.101139349749353</v>
      </c>
      <c r="H15" s="454">
        <v>5.8708597757416694</v>
      </c>
      <c r="I15" s="454">
        <v>1.6438943923480869</v>
      </c>
      <c r="J15" s="454">
        <v>0.8686034232107408</v>
      </c>
      <c r="K15" s="454">
        <v>0.92906476292945206</v>
      </c>
      <c r="L15" s="454">
        <v>2.8521966999020947</v>
      </c>
      <c r="M15" s="453" t="s">
        <v>549</v>
      </c>
      <c r="AA15" s="9"/>
      <c r="AB15" s="9"/>
      <c r="AC15" s="6"/>
      <c r="AE15" s="9"/>
      <c r="AF15" s="9"/>
      <c r="AP15" s="4"/>
    </row>
    <row r="16" spans="1:42" ht="27" customHeight="1">
      <c r="B16" s="455" t="s">
        <v>550</v>
      </c>
      <c r="C16" s="450">
        <v>4578156</v>
      </c>
      <c r="D16" s="348" t="s">
        <v>18</v>
      </c>
      <c r="E16" s="451" t="s">
        <v>548</v>
      </c>
      <c r="F16" s="454">
        <v>3.3171288392266205</v>
      </c>
      <c r="G16" s="454">
        <v>10.923886572782319</v>
      </c>
      <c r="H16" s="454">
        <v>2.5182699970007745</v>
      </c>
      <c r="I16" s="454">
        <v>2.9068405024468897</v>
      </c>
      <c r="J16" s="454">
        <v>1.3256202258031342</v>
      </c>
      <c r="K16" s="454">
        <v>1.3539713641981774</v>
      </c>
      <c r="L16" s="454">
        <v>1.5505041885765656</v>
      </c>
      <c r="M16" s="453" t="s">
        <v>549</v>
      </c>
      <c r="AA16" s="9"/>
      <c r="AB16" s="9"/>
      <c r="AC16" s="9"/>
      <c r="AE16" s="9"/>
      <c r="AF16" s="9"/>
      <c r="AP16" s="4"/>
    </row>
    <row r="17" spans="2:42" ht="27" customHeight="1">
      <c r="B17" s="455" t="s">
        <v>551</v>
      </c>
      <c r="C17" s="450">
        <v>795432</v>
      </c>
      <c r="D17" s="348" t="s">
        <v>18</v>
      </c>
      <c r="E17" s="451" t="s">
        <v>552</v>
      </c>
      <c r="F17" s="454">
        <v>12.138709005464031</v>
      </c>
      <c r="G17" s="454">
        <v>26.299986799646874</v>
      </c>
      <c r="H17" s="454">
        <v>6.3818595100914033</v>
      </c>
      <c r="I17" s="454">
        <v>5.9743882628258982</v>
      </c>
      <c r="J17" s="454">
        <v>3.6410236454186764</v>
      </c>
      <c r="K17" s="454">
        <v>2.5368026608249381</v>
      </c>
      <c r="L17" s="454">
        <v>3.3957565061335862</v>
      </c>
      <c r="M17" s="453" t="s">
        <v>553</v>
      </c>
      <c r="AA17" s="9"/>
      <c r="AB17" s="9"/>
      <c r="AC17" s="9"/>
      <c r="AE17" s="9"/>
      <c r="AF17" s="9"/>
    </row>
    <row r="18" spans="2:42" ht="27" customHeight="1">
      <c r="B18" s="449" t="s">
        <v>23</v>
      </c>
      <c r="C18" s="450">
        <v>3674183.6170000001</v>
      </c>
      <c r="D18" s="348" t="s">
        <v>18</v>
      </c>
      <c r="E18" s="451" t="s">
        <v>552</v>
      </c>
      <c r="F18" s="454">
        <v>4.6932557147144882</v>
      </c>
      <c r="G18" s="454">
        <v>7.4880480004351195</v>
      </c>
      <c r="H18" s="454">
        <v>14.998926690474701</v>
      </c>
      <c r="I18" s="454">
        <v>9.1678905164912514</v>
      </c>
      <c r="J18" s="386" t="s">
        <v>554</v>
      </c>
      <c r="K18" s="454">
        <v>7.1937150687506533</v>
      </c>
      <c r="L18" s="454">
        <v>2.461249610516925</v>
      </c>
      <c r="M18" s="453" t="s">
        <v>555</v>
      </c>
      <c r="AA18" s="9"/>
      <c r="AB18" s="9"/>
      <c r="AC18" s="9"/>
    </row>
    <row r="19" spans="2:42" ht="27" customHeight="1">
      <c r="B19" s="449" t="s">
        <v>24</v>
      </c>
      <c r="C19" s="450">
        <v>4755320.182</v>
      </c>
      <c r="D19" s="348" t="s">
        <v>18</v>
      </c>
      <c r="E19" s="451" t="s">
        <v>552</v>
      </c>
      <c r="F19" s="454">
        <v>6.3085283823073226</v>
      </c>
      <c r="G19" s="454">
        <v>15.522958837295647</v>
      </c>
      <c r="H19" s="454">
        <v>6.4548895291860964</v>
      </c>
      <c r="I19" s="454">
        <v>5.4836850776575314</v>
      </c>
      <c r="J19" s="386" t="s">
        <v>554</v>
      </c>
      <c r="K19" s="454">
        <v>4.2923920316990234</v>
      </c>
      <c r="L19" s="454">
        <v>1.3074301872355265</v>
      </c>
      <c r="M19" s="453" t="s">
        <v>555</v>
      </c>
      <c r="AA19" s="9"/>
      <c r="AB19" s="9"/>
      <c r="AC19" s="9"/>
    </row>
    <row r="20" spans="2:42" ht="27" customHeight="1">
      <c r="B20" s="455" t="s">
        <v>556</v>
      </c>
      <c r="C20" s="450">
        <v>268355</v>
      </c>
      <c r="D20" s="348" t="s">
        <v>25</v>
      </c>
      <c r="E20" s="451" t="s">
        <v>557</v>
      </c>
      <c r="F20" s="454">
        <v>5.4337668859233936</v>
      </c>
      <c r="G20" s="454">
        <v>40.546140599009242</v>
      </c>
      <c r="H20" s="454">
        <v>2.7618248288248521</v>
      </c>
      <c r="I20" s="454">
        <v>1.9235804080260721</v>
      </c>
      <c r="J20" s="454">
        <v>0.99847023126742007</v>
      </c>
      <c r="K20" s="454">
        <v>0.91004534635442236</v>
      </c>
      <c r="L20" s="454">
        <v>2.3231628854414814</v>
      </c>
      <c r="M20" s="453" t="s">
        <v>558</v>
      </c>
      <c r="AA20" s="9"/>
      <c r="AB20" s="9"/>
      <c r="AC20" s="9"/>
      <c r="AE20" s="9"/>
      <c r="AF20" s="9"/>
      <c r="AG20" s="9"/>
      <c r="AH20" s="9"/>
      <c r="AI20" s="9"/>
      <c r="AJ20" s="9"/>
    </row>
    <row r="21" spans="2:42" ht="12" customHeight="1">
      <c r="B21" s="11"/>
      <c r="C21" s="12"/>
      <c r="D21" s="13"/>
      <c r="E21" s="14"/>
      <c r="F21" s="15"/>
      <c r="G21" s="15"/>
      <c r="H21" s="15"/>
      <c r="I21" s="15"/>
      <c r="J21" s="15"/>
      <c r="K21" s="15"/>
      <c r="L21" s="15"/>
      <c r="M21" s="16"/>
      <c r="AA21" s="9"/>
      <c r="AB21" s="9"/>
      <c r="AC21" s="9"/>
      <c r="AM21" s="9"/>
    </row>
    <row r="22" spans="2:42">
      <c r="B22" s="17"/>
      <c r="AB22" s="9"/>
      <c r="AC22" s="9"/>
      <c r="AD22" s="9"/>
      <c r="AE22" s="9"/>
      <c r="AF22" s="9"/>
      <c r="AG22" s="9"/>
    </row>
    <row r="23" spans="2:42">
      <c r="B23" s="17" t="s">
        <v>559</v>
      </c>
    </row>
    <row r="24" spans="2:42">
      <c r="B24" s="17" t="s">
        <v>559</v>
      </c>
    </row>
    <row r="25" spans="2:42" ht="12">
      <c r="B25" s="17"/>
      <c r="AP25" s="4"/>
    </row>
    <row r="26" spans="2:42">
      <c r="B26" s="18" t="s">
        <v>560</v>
      </c>
    </row>
    <row r="27" spans="2:42">
      <c r="B27" s="18" t="s">
        <v>560</v>
      </c>
    </row>
    <row r="28" spans="2:42">
      <c r="B28" s="18" t="s">
        <v>560</v>
      </c>
    </row>
    <row r="29" spans="2:42">
      <c r="B29" s="17" t="s">
        <v>560</v>
      </c>
    </row>
    <row r="30" spans="2:42">
      <c r="B30" s="17" t="s">
        <v>560</v>
      </c>
    </row>
    <row r="31" spans="2:42">
      <c r="B31" s="17" t="s">
        <v>560</v>
      </c>
    </row>
    <row r="32" spans="2:42">
      <c r="B32" s="17" t="s">
        <v>560</v>
      </c>
    </row>
    <row r="33" spans="2:42">
      <c r="B33" s="19" t="s">
        <v>560</v>
      </c>
    </row>
    <row r="34" spans="2:42" ht="12">
      <c r="B34" s="17" t="s">
        <v>560</v>
      </c>
      <c r="AP34" s="4"/>
    </row>
    <row r="35" spans="2:42">
      <c r="B35" s="17" t="s">
        <v>560</v>
      </c>
    </row>
    <row r="36" spans="2:42">
      <c r="B36" s="19" t="s">
        <v>560</v>
      </c>
    </row>
    <row r="37" spans="2:42" ht="11.25" customHeight="1">
      <c r="B37" s="19"/>
    </row>
    <row r="38" spans="2:42">
      <c r="B38" s="4"/>
      <c r="C38" s="4"/>
      <c r="W38" s="10"/>
      <c r="AP38" s="4"/>
    </row>
    <row r="39" spans="2:42">
      <c r="B39" s="4"/>
      <c r="C39" s="4"/>
      <c r="W39" s="10"/>
      <c r="AP39" s="4"/>
    </row>
    <row r="40" spans="2:42">
      <c r="B40" s="4"/>
      <c r="C40" s="4"/>
      <c r="W40" s="10"/>
      <c r="AP40" s="4"/>
    </row>
    <row r="41" spans="2:42">
      <c r="B41" s="4"/>
      <c r="C41" s="4"/>
      <c r="W41" s="10"/>
      <c r="AP41" s="4"/>
    </row>
    <row r="42" spans="2:42">
      <c r="B42" s="4"/>
      <c r="C42" s="4"/>
      <c r="W42" s="10"/>
      <c r="AP42" s="4"/>
    </row>
    <row r="43" spans="2:42">
      <c r="B43" s="4"/>
      <c r="C43" s="4"/>
      <c r="W43" s="10"/>
      <c r="AP43" s="4"/>
    </row>
    <row r="44" spans="2:42">
      <c r="B44" s="4"/>
      <c r="C44" s="4"/>
      <c r="W44" s="10"/>
      <c r="AP44" s="4"/>
    </row>
    <row r="45" spans="2:42">
      <c r="B45" s="4"/>
      <c r="C45" s="4"/>
      <c r="W45" s="10"/>
      <c r="AP45" s="4"/>
    </row>
    <row r="46" spans="2:42">
      <c r="B46" s="4"/>
      <c r="C46" s="4"/>
      <c r="W46" s="10"/>
      <c r="AP46" s="4"/>
    </row>
    <row r="47" spans="2:42">
      <c r="B47" s="4"/>
      <c r="C47" s="4"/>
      <c r="W47" s="10"/>
      <c r="AP47" s="4"/>
    </row>
    <row r="48" spans="2:42">
      <c r="B48" s="4"/>
      <c r="C48" s="4"/>
      <c r="W48" s="10"/>
      <c r="AP48" s="4"/>
    </row>
    <row r="49" spans="2:42">
      <c r="B49" s="4"/>
      <c r="C49" s="4"/>
      <c r="W49" s="10"/>
      <c r="AP49" s="4"/>
    </row>
    <row r="50" spans="2:42">
      <c r="B50" s="4"/>
      <c r="C50" s="4"/>
      <c r="W50" s="10"/>
      <c r="AP50" s="4"/>
    </row>
    <row r="51" spans="2:42">
      <c r="B51" s="4"/>
      <c r="C51" s="4"/>
      <c r="W51" s="10"/>
      <c r="AP51" s="4"/>
    </row>
    <row r="52" spans="2:42">
      <c r="B52" s="4"/>
      <c r="C52" s="4"/>
      <c r="W52" s="10"/>
      <c r="AP52" s="4"/>
    </row>
  </sheetData>
  <mergeCells count="4">
    <mergeCell ref="C3:D4"/>
    <mergeCell ref="E3:E4"/>
    <mergeCell ref="F3:L3"/>
    <mergeCell ref="M3:M4"/>
  </mergeCells>
  <phoneticPr fontId="8"/>
  <pageMargins left="0.74803149606299213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zoomScaleNormal="100" workbookViewId="0"/>
  </sheetViews>
  <sheetFormatPr defaultRowHeight="12"/>
  <cols>
    <col min="1" max="2" width="1.625" style="89" customWidth="1"/>
    <col min="3" max="3" width="25" style="89" customWidth="1"/>
    <col min="4" max="4" width="8.375" style="89" bestFit="1" customWidth="1"/>
    <col min="5" max="5" width="6.375" style="89" bestFit="1" customWidth="1"/>
    <col min="6" max="6" width="8.375" style="89" bestFit="1" customWidth="1"/>
    <col min="7" max="7" width="5.5" style="89" bestFit="1" customWidth="1"/>
    <col min="8" max="8" width="7.125" style="89" bestFit="1" customWidth="1"/>
    <col min="9" max="9" width="7.875" style="89" bestFit="1" customWidth="1"/>
    <col min="10" max="12" width="1.625" style="89" customWidth="1"/>
    <col min="13" max="13" width="12" style="89" customWidth="1"/>
    <col min="14" max="16384" width="9" style="89"/>
  </cols>
  <sheetData>
    <row r="1" spans="1:17" s="41" customFormat="1" ht="13.5" customHeight="1">
      <c r="A1" s="40" t="s">
        <v>195</v>
      </c>
      <c r="D1" s="43"/>
      <c r="E1" s="40"/>
    </row>
    <row r="2" spans="1:17" ht="13.5" customHeight="1">
      <c r="A2" s="88"/>
      <c r="B2" s="88"/>
      <c r="C2" s="88"/>
      <c r="D2" s="88"/>
      <c r="E2" s="111"/>
      <c r="F2" s="88"/>
      <c r="G2" s="111"/>
      <c r="H2" s="88"/>
      <c r="I2" s="111"/>
    </row>
    <row r="3" spans="1:17" ht="12" customHeight="1">
      <c r="A3" s="88"/>
      <c r="B3" s="88" t="s">
        <v>147</v>
      </c>
      <c r="D3" s="112"/>
      <c r="E3" s="88"/>
      <c r="F3" s="116"/>
      <c r="G3" s="113"/>
      <c r="H3" s="113"/>
      <c r="I3" s="114" t="s">
        <v>181</v>
      </c>
      <c r="L3" s="99"/>
      <c r="M3" s="91"/>
      <c r="N3" s="91"/>
    </row>
    <row r="4" spans="1:17" ht="12" customHeight="1">
      <c r="A4" s="88"/>
      <c r="B4" s="92"/>
      <c r="C4" s="93"/>
      <c r="D4" s="644" t="s">
        <v>153</v>
      </c>
      <c r="E4" s="645"/>
      <c r="F4" s="646" t="s">
        <v>154</v>
      </c>
      <c r="G4" s="647"/>
      <c r="H4" s="646" t="s">
        <v>155</v>
      </c>
      <c r="I4" s="647"/>
      <c r="K4" s="91"/>
      <c r="L4" s="99"/>
      <c r="M4" s="91"/>
      <c r="N4" s="91"/>
    </row>
    <row r="5" spans="1:17" ht="12" customHeight="1">
      <c r="A5" s="88"/>
      <c r="B5" s="96"/>
      <c r="C5" s="97"/>
      <c r="D5" s="615"/>
      <c r="E5" s="372" t="s">
        <v>156</v>
      </c>
      <c r="F5" s="616"/>
      <c r="G5" s="373" t="s">
        <v>157</v>
      </c>
      <c r="H5" s="616"/>
      <c r="I5" s="373" t="s">
        <v>158</v>
      </c>
      <c r="K5" s="98"/>
      <c r="L5" s="99"/>
      <c r="M5" s="91"/>
      <c r="N5" s="91"/>
      <c r="O5" s="91"/>
      <c r="P5" s="91"/>
      <c r="Q5" s="91"/>
    </row>
    <row r="6" spans="1:17" ht="11.25" customHeight="1">
      <c r="A6" s="88"/>
      <c r="B6" s="371" t="s">
        <v>89</v>
      </c>
      <c r="C6" s="371"/>
      <c r="D6" s="374">
        <v>2209412</v>
      </c>
      <c r="E6" s="375">
        <v>100</v>
      </c>
      <c r="F6" s="376">
        <v>1553685</v>
      </c>
      <c r="G6" s="377">
        <v>70.321198581342003</v>
      </c>
      <c r="H6" s="376">
        <v>423328</v>
      </c>
      <c r="I6" s="377">
        <v>19.160210952054214</v>
      </c>
      <c r="K6" s="91"/>
      <c r="L6" s="91"/>
      <c r="M6" s="100"/>
      <c r="N6" s="91"/>
      <c r="O6" s="91"/>
      <c r="P6" s="91"/>
      <c r="Q6" s="91"/>
    </row>
    <row r="7" spans="1:17" ht="11.25" customHeight="1">
      <c r="A7" s="88"/>
      <c r="B7" s="371" t="s">
        <v>159</v>
      </c>
      <c r="C7" s="371"/>
      <c r="D7" s="374">
        <v>452</v>
      </c>
      <c r="E7" s="375">
        <v>2.0457931793617486E-2</v>
      </c>
      <c r="F7" s="376">
        <v>452</v>
      </c>
      <c r="G7" s="377">
        <v>100</v>
      </c>
      <c r="H7" s="376">
        <v>278</v>
      </c>
      <c r="I7" s="377">
        <v>61.504424778761056</v>
      </c>
      <c r="K7" s="98"/>
      <c r="L7" s="98"/>
      <c r="M7" s="100"/>
      <c r="N7" s="95"/>
      <c r="O7" s="95"/>
      <c r="P7" s="91"/>
      <c r="Q7" s="91"/>
    </row>
    <row r="8" spans="1:17" ht="11.25" customHeight="1">
      <c r="A8" s="88"/>
      <c r="B8" s="371" t="s">
        <v>48</v>
      </c>
      <c r="C8" s="371"/>
      <c r="D8" s="374">
        <v>32</v>
      </c>
      <c r="E8" s="375">
        <v>1.4483491535304416E-3</v>
      </c>
      <c r="F8" s="376">
        <v>32</v>
      </c>
      <c r="G8" s="377">
        <v>100</v>
      </c>
      <c r="H8" s="376">
        <v>32</v>
      </c>
      <c r="I8" s="377">
        <v>100</v>
      </c>
      <c r="K8" s="98"/>
      <c r="L8" s="98"/>
      <c r="M8" s="100"/>
      <c r="N8" s="95"/>
      <c r="O8" s="95"/>
      <c r="P8" s="91"/>
      <c r="Q8" s="91"/>
    </row>
    <row r="9" spans="1:17" ht="11.25" customHeight="1">
      <c r="A9" s="88"/>
      <c r="B9" s="371" t="s">
        <v>90</v>
      </c>
      <c r="C9" s="371"/>
      <c r="D9" s="374">
        <v>115531</v>
      </c>
      <c r="E9" s="375">
        <v>5.2290383142664201</v>
      </c>
      <c r="F9" s="376">
        <v>97550</v>
      </c>
      <c r="G9" s="377">
        <v>84.436211925803462</v>
      </c>
      <c r="H9" s="376">
        <v>44446</v>
      </c>
      <c r="I9" s="377">
        <v>38.471059715574171</v>
      </c>
      <c r="K9" s="98"/>
      <c r="L9" s="98"/>
      <c r="M9" s="100"/>
      <c r="N9" s="95"/>
      <c r="O9" s="95"/>
      <c r="P9" s="91"/>
      <c r="Q9" s="91"/>
    </row>
    <row r="10" spans="1:17" ht="11.25" customHeight="1">
      <c r="A10" s="88"/>
      <c r="B10" s="371" t="s">
        <v>91</v>
      </c>
      <c r="C10" s="371"/>
      <c r="D10" s="374">
        <v>199334</v>
      </c>
      <c r="E10" s="375">
        <v>9.022038442807407</v>
      </c>
      <c r="F10" s="376">
        <v>168151</v>
      </c>
      <c r="G10" s="377">
        <v>84.356406834759738</v>
      </c>
      <c r="H10" s="376">
        <v>79791</v>
      </c>
      <c r="I10" s="377">
        <v>40.028795890314747</v>
      </c>
      <c r="K10" s="98"/>
      <c r="L10" s="98"/>
      <c r="M10" s="100"/>
      <c r="N10" s="95"/>
      <c r="O10" s="95"/>
      <c r="P10" s="91"/>
      <c r="Q10" s="91"/>
    </row>
    <row r="11" spans="1:17" ht="11.25" customHeight="1">
      <c r="A11" s="88"/>
      <c r="B11" s="648" t="s">
        <v>160</v>
      </c>
      <c r="C11" s="648"/>
      <c r="D11" s="374">
        <v>8458</v>
      </c>
      <c r="E11" s="375">
        <v>0.38281678564251487</v>
      </c>
      <c r="F11" s="376">
        <v>2252</v>
      </c>
      <c r="G11" s="377">
        <v>26.625679829746986</v>
      </c>
      <c r="H11" s="376">
        <v>293</v>
      </c>
      <c r="I11" s="377">
        <v>3.4641759281153934</v>
      </c>
      <c r="K11" s="98"/>
      <c r="L11" s="98"/>
      <c r="M11" s="100"/>
      <c r="N11" s="95"/>
      <c r="O11" s="95"/>
      <c r="P11" s="91"/>
      <c r="Q11" s="91"/>
    </row>
    <row r="12" spans="1:17" ht="11.25" customHeight="1">
      <c r="A12" s="88"/>
      <c r="B12" s="380" t="s">
        <v>161</v>
      </c>
      <c r="C12" s="371"/>
      <c r="D12" s="374">
        <v>126711</v>
      </c>
      <c r="E12" s="375">
        <v>5.7350552997811182</v>
      </c>
      <c r="F12" s="376">
        <v>60335</v>
      </c>
      <c r="G12" s="377">
        <v>47.616229056672275</v>
      </c>
      <c r="H12" s="376">
        <v>6643</v>
      </c>
      <c r="I12" s="377">
        <v>5.2426387606443008</v>
      </c>
      <c r="K12" s="91"/>
      <c r="L12" s="91"/>
      <c r="M12" s="91"/>
      <c r="N12" s="91"/>
      <c r="O12" s="91"/>
      <c r="P12" s="91"/>
      <c r="Q12" s="91"/>
    </row>
    <row r="13" spans="1:17" ht="11.25" customHeight="1">
      <c r="A13" s="88"/>
      <c r="B13" s="381"/>
      <c r="C13" s="371" t="s">
        <v>162</v>
      </c>
      <c r="D13" s="374">
        <v>15261</v>
      </c>
      <c r="E13" s="375">
        <v>0.69072676350087714</v>
      </c>
      <c r="F13" s="376">
        <v>4936</v>
      </c>
      <c r="G13" s="377">
        <v>32.343883100714237</v>
      </c>
      <c r="H13" s="376">
        <v>735</v>
      </c>
      <c r="I13" s="377">
        <v>4.8161981521525457</v>
      </c>
      <c r="K13" s="99"/>
      <c r="L13" s="99"/>
      <c r="M13" s="100"/>
      <c r="N13" s="95"/>
      <c r="O13" s="95"/>
      <c r="P13" s="91"/>
      <c r="Q13" s="91"/>
    </row>
    <row r="14" spans="1:17" ht="11.25" customHeight="1">
      <c r="A14" s="88"/>
      <c r="B14" s="381"/>
      <c r="C14" s="371" t="s">
        <v>163</v>
      </c>
      <c r="D14" s="374">
        <v>4407</v>
      </c>
      <c r="E14" s="375">
        <v>0.19946483498777048</v>
      </c>
      <c r="F14" s="376">
        <v>871</v>
      </c>
      <c r="G14" s="377">
        <v>19.764011799410032</v>
      </c>
      <c r="H14" s="376">
        <v>225</v>
      </c>
      <c r="I14" s="377">
        <v>5.1055139550714772</v>
      </c>
      <c r="K14" s="99"/>
      <c r="L14" s="99"/>
      <c r="M14" s="100"/>
      <c r="N14" s="95"/>
      <c r="O14" s="95"/>
      <c r="P14" s="91"/>
      <c r="Q14" s="91"/>
    </row>
    <row r="15" spans="1:17" ht="11.25" customHeight="1">
      <c r="A15" s="88"/>
      <c r="B15" s="381"/>
      <c r="C15" s="371" t="s">
        <v>164</v>
      </c>
      <c r="D15" s="374">
        <v>84085</v>
      </c>
      <c r="E15" s="375">
        <v>3.8057637054564748</v>
      </c>
      <c r="F15" s="376">
        <v>40151</v>
      </c>
      <c r="G15" s="377">
        <v>47.75049057501338</v>
      </c>
      <c r="H15" s="376">
        <v>2791</v>
      </c>
      <c r="I15" s="377">
        <v>3.3192602723434619</v>
      </c>
      <c r="K15" s="99"/>
      <c r="L15" s="99"/>
      <c r="M15" s="100"/>
      <c r="N15" s="95"/>
      <c r="O15" s="95"/>
      <c r="P15" s="91"/>
      <c r="Q15" s="91"/>
    </row>
    <row r="16" spans="1:17" ht="11.25" customHeight="1">
      <c r="A16" s="88"/>
      <c r="B16" s="381"/>
      <c r="C16" s="371" t="s">
        <v>165</v>
      </c>
      <c r="D16" s="374">
        <v>5610</v>
      </c>
      <c r="E16" s="375">
        <v>0.25391371097830556</v>
      </c>
      <c r="F16" s="376">
        <v>3924</v>
      </c>
      <c r="G16" s="377">
        <v>69.946524064171129</v>
      </c>
      <c r="H16" s="376">
        <v>575</v>
      </c>
      <c r="I16" s="377">
        <v>10.249554367201426</v>
      </c>
      <c r="K16" s="99"/>
      <c r="L16" s="99"/>
      <c r="M16" s="100"/>
      <c r="N16" s="95"/>
      <c r="O16" s="95"/>
      <c r="P16" s="91"/>
      <c r="Q16" s="91"/>
    </row>
    <row r="17" spans="1:17" ht="11.25" customHeight="1">
      <c r="A17" s="88"/>
      <c r="B17" s="382"/>
      <c r="C17" s="371" t="s">
        <v>166</v>
      </c>
      <c r="D17" s="374">
        <v>17334</v>
      </c>
      <c r="E17" s="375">
        <v>0.78455263210302117</v>
      </c>
      <c r="F17" s="376">
        <v>10453</v>
      </c>
      <c r="G17" s="377">
        <v>60.3034498673128</v>
      </c>
      <c r="H17" s="376">
        <v>2317</v>
      </c>
      <c r="I17" s="377">
        <v>13.366793584862121</v>
      </c>
      <c r="K17" s="99"/>
      <c r="L17" s="99"/>
      <c r="M17" s="100"/>
      <c r="N17" s="95"/>
      <c r="O17" s="95"/>
      <c r="P17" s="91"/>
      <c r="Q17" s="91"/>
    </row>
    <row r="18" spans="1:17" ht="11.25" customHeight="1">
      <c r="A18" s="88"/>
      <c r="B18" s="371" t="s">
        <v>167</v>
      </c>
      <c r="C18" s="371"/>
      <c r="D18" s="374">
        <v>104350</v>
      </c>
      <c r="E18" s="375">
        <v>4.7229760678406745</v>
      </c>
      <c r="F18" s="376">
        <v>80206</v>
      </c>
      <c r="G18" s="377">
        <v>76.862482031624353</v>
      </c>
      <c r="H18" s="376">
        <v>20641</v>
      </c>
      <c r="I18" s="377">
        <v>19.78054623862003</v>
      </c>
      <c r="K18" s="99"/>
      <c r="L18" s="99"/>
      <c r="M18" s="100"/>
      <c r="N18" s="95"/>
      <c r="O18" s="95"/>
      <c r="P18" s="91"/>
      <c r="Q18" s="91"/>
    </row>
    <row r="19" spans="1:17" ht="11.25" customHeight="1">
      <c r="A19" s="88"/>
      <c r="B19" s="380" t="s">
        <v>168</v>
      </c>
      <c r="C19" s="371"/>
      <c r="D19" s="374">
        <v>545635</v>
      </c>
      <c r="E19" s="375">
        <v>24.695937199580705</v>
      </c>
      <c r="F19" s="376">
        <v>380360</v>
      </c>
      <c r="G19" s="377">
        <v>69.709604405875723</v>
      </c>
      <c r="H19" s="376">
        <v>78885</v>
      </c>
      <c r="I19" s="377">
        <v>14.457466988004802</v>
      </c>
      <c r="K19" s="91"/>
      <c r="L19" s="91"/>
      <c r="M19" s="91"/>
      <c r="N19" s="91"/>
      <c r="O19" s="91"/>
      <c r="P19" s="91"/>
      <c r="Q19" s="91"/>
    </row>
    <row r="20" spans="1:17" ht="11.25" customHeight="1">
      <c r="A20" s="88"/>
      <c r="B20" s="381"/>
      <c r="C20" s="371" t="s">
        <v>169</v>
      </c>
      <c r="D20" s="374">
        <v>322147</v>
      </c>
      <c r="E20" s="375">
        <v>14.580666711324101</v>
      </c>
      <c r="F20" s="376">
        <v>225731</v>
      </c>
      <c r="G20" s="377">
        <v>70.070806184754161</v>
      </c>
      <c r="H20" s="376">
        <v>35419</v>
      </c>
      <c r="I20" s="377">
        <v>10.994670135062565</v>
      </c>
      <c r="K20" s="99"/>
      <c r="L20" s="99"/>
      <c r="M20" s="95"/>
      <c r="N20" s="95"/>
      <c r="O20" s="95"/>
      <c r="P20" s="91"/>
      <c r="Q20" s="91"/>
    </row>
    <row r="21" spans="1:17" ht="11.25" customHeight="1">
      <c r="A21" s="88"/>
      <c r="B21" s="382"/>
      <c r="C21" s="371" t="s">
        <v>170</v>
      </c>
      <c r="D21" s="374">
        <v>223488</v>
      </c>
      <c r="E21" s="375">
        <v>10.115270488256604</v>
      </c>
      <c r="F21" s="376">
        <v>154629</v>
      </c>
      <c r="G21" s="377">
        <v>69.188949742268051</v>
      </c>
      <c r="H21" s="376">
        <v>43466</v>
      </c>
      <c r="I21" s="377">
        <v>19.448918957617412</v>
      </c>
      <c r="K21" s="99"/>
      <c r="L21" s="99"/>
      <c r="M21" s="95"/>
      <c r="N21" s="95"/>
      <c r="O21" s="95"/>
      <c r="P21" s="91"/>
      <c r="Q21" s="91"/>
    </row>
    <row r="22" spans="1:17" ht="11.25" customHeight="1">
      <c r="A22" s="88"/>
      <c r="B22" s="371" t="s">
        <v>49</v>
      </c>
      <c r="C22" s="371"/>
      <c r="D22" s="374">
        <v>85924</v>
      </c>
      <c r="E22" s="375">
        <v>3.888998520873427</v>
      </c>
      <c r="F22" s="376">
        <v>64491</v>
      </c>
      <c r="G22" s="377">
        <v>75.05586332107444</v>
      </c>
      <c r="H22" s="376">
        <v>14246</v>
      </c>
      <c r="I22" s="377">
        <v>16.579768167217541</v>
      </c>
      <c r="K22" s="99"/>
      <c r="L22" s="99"/>
      <c r="M22" s="100"/>
      <c r="N22" s="95"/>
      <c r="O22" s="95"/>
      <c r="P22" s="91"/>
      <c r="Q22" s="91"/>
    </row>
    <row r="23" spans="1:17" ht="11.25" customHeight="1">
      <c r="A23" s="88"/>
      <c r="B23" s="371" t="s">
        <v>171</v>
      </c>
      <c r="C23" s="371"/>
      <c r="D23" s="374">
        <v>84888</v>
      </c>
      <c r="E23" s="375">
        <v>3.8421082170278789</v>
      </c>
      <c r="F23" s="376">
        <v>77923</v>
      </c>
      <c r="G23" s="377">
        <v>91.795071152577506</v>
      </c>
      <c r="H23" s="376">
        <v>46495</v>
      </c>
      <c r="I23" s="377">
        <v>54.772170389218729</v>
      </c>
      <c r="K23" s="99"/>
      <c r="L23" s="99"/>
      <c r="M23" s="100"/>
      <c r="N23" s="95"/>
      <c r="O23" s="95"/>
      <c r="P23" s="91"/>
      <c r="Q23" s="91"/>
    </row>
    <row r="24" spans="1:17" ht="11.25" customHeight="1">
      <c r="A24" s="88"/>
      <c r="B24" s="378" t="s">
        <v>172</v>
      </c>
      <c r="C24" s="378"/>
      <c r="D24" s="374">
        <v>101106</v>
      </c>
      <c r="E24" s="375">
        <v>4.5761496724015256</v>
      </c>
      <c r="F24" s="376">
        <v>77867</v>
      </c>
      <c r="G24" s="377">
        <v>77.01521175795699</v>
      </c>
      <c r="H24" s="376">
        <v>23519</v>
      </c>
      <c r="I24" s="377">
        <v>23.261725317983107</v>
      </c>
      <c r="K24" s="99"/>
      <c r="L24" s="99"/>
      <c r="M24" s="100"/>
      <c r="N24" s="95"/>
      <c r="O24" s="95"/>
      <c r="P24" s="91"/>
      <c r="Q24" s="91"/>
    </row>
    <row r="25" spans="1:17" ht="11.25" customHeight="1">
      <c r="A25" s="88"/>
      <c r="B25" s="380" t="s">
        <v>173</v>
      </c>
      <c r="C25" s="371"/>
      <c r="D25" s="374">
        <v>217507</v>
      </c>
      <c r="E25" s="375">
        <v>9.8445649792795553</v>
      </c>
      <c r="F25" s="376">
        <v>178161</v>
      </c>
      <c r="G25" s="377">
        <v>81.910467249329912</v>
      </c>
      <c r="H25" s="376">
        <v>47387</v>
      </c>
      <c r="I25" s="377">
        <v>21.786425264474246</v>
      </c>
      <c r="K25" s="91"/>
      <c r="L25" s="91"/>
      <c r="M25" s="101"/>
      <c r="N25" s="91"/>
      <c r="O25" s="91"/>
      <c r="P25" s="91"/>
      <c r="Q25" s="91"/>
    </row>
    <row r="26" spans="1:17" ht="11.25" customHeight="1">
      <c r="A26" s="88"/>
      <c r="B26" s="381"/>
      <c r="C26" s="371" t="s">
        <v>174</v>
      </c>
      <c r="D26" s="374">
        <v>22223</v>
      </c>
      <c r="E26" s="375">
        <v>1.0058332262158438</v>
      </c>
      <c r="F26" s="376">
        <v>9361</v>
      </c>
      <c r="G26" s="377">
        <v>42.123025694100704</v>
      </c>
      <c r="H26" s="376">
        <v>638</v>
      </c>
      <c r="I26" s="377">
        <v>2.8708995185168522</v>
      </c>
      <c r="K26" s="99"/>
      <c r="L26" s="99"/>
      <c r="M26" s="100"/>
      <c r="N26" s="95"/>
      <c r="O26" s="95"/>
      <c r="P26" s="91"/>
      <c r="Q26" s="91"/>
    </row>
    <row r="27" spans="1:17" ht="11.25" customHeight="1">
      <c r="A27" s="88"/>
      <c r="B27" s="381"/>
      <c r="C27" s="371" t="s">
        <v>175</v>
      </c>
      <c r="D27" s="374">
        <v>177965</v>
      </c>
      <c r="E27" s="375">
        <v>8.054858034626406</v>
      </c>
      <c r="F27" s="376">
        <v>157264</v>
      </c>
      <c r="G27" s="377">
        <v>88.367937515803675</v>
      </c>
      <c r="H27" s="376">
        <v>44664</v>
      </c>
      <c r="I27" s="377">
        <v>25.097069648526393</v>
      </c>
      <c r="K27" s="99"/>
      <c r="L27" s="99"/>
      <c r="M27" s="95"/>
      <c r="N27" s="95"/>
      <c r="O27" s="95"/>
      <c r="P27" s="91"/>
      <c r="Q27" s="91"/>
    </row>
    <row r="28" spans="1:17" ht="11.25" customHeight="1">
      <c r="A28" s="88"/>
      <c r="B28" s="382"/>
      <c r="C28" s="371" t="s">
        <v>176</v>
      </c>
      <c r="D28" s="374">
        <v>16967</v>
      </c>
      <c r="E28" s="375">
        <v>0.76794187774846878</v>
      </c>
      <c r="F28" s="376">
        <v>11536</v>
      </c>
      <c r="G28" s="377">
        <v>67.99080568161726</v>
      </c>
      <c r="H28" s="376">
        <v>2085</v>
      </c>
      <c r="I28" s="377">
        <v>12.288560146166088</v>
      </c>
      <c r="K28" s="99"/>
      <c r="L28" s="99"/>
      <c r="M28" s="100"/>
      <c r="N28" s="95"/>
      <c r="O28" s="95"/>
      <c r="P28" s="91"/>
      <c r="Q28" s="91"/>
    </row>
    <row r="29" spans="1:17" ht="11.25" customHeight="1">
      <c r="A29" s="88"/>
      <c r="B29" s="371" t="s">
        <v>177</v>
      </c>
      <c r="C29" s="371"/>
      <c r="D29" s="374">
        <v>78985</v>
      </c>
      <c r="E29" s="375">
        <v>3.5749330591125603</v>
      </c>
      <c r="F29" s="376">
        <v>63401</v>
      </c>
      <c r="G29" s="377">
        <v>80.269671456605678</v>
      </c>
      <c r="H29" s="376">
        <v>19922</v>
      </c>
      <c r="I29" s="377">
        <v>25.222510603279101</v>
      </c>
      <c r="K29" s="99"/>
      <c r="L29" s="99"/>
      <c r="M29" s="100"/>
      <c r="N29" s="95"/>
      <c r="O29" s="95"/>
      <c r="P29" s="91"/>
      <c r="Q29" s="91"/>
    </row>
    <row r="30" spans="1:17" ht="11.25" customHeight="1">
      <c r="A30" s="88"/>
      <c r="B30" s="371" t="s">
        <v>178</v>
      </c>
      <c r="C30" s="371"/>
      <c r="D30" s="374">
        <v>47107</v>
      </c>
      <c r="E30" s="375">
        <v>2.1321057367299536</v>
      </c>
      <c r="F30" s="376">
        <v>34709</v>
      </c>
      <c r="G30" s="377">
        <v>73.68119387776764</v>
      </c>
      <c r="H30" s="376">
        <v>5446</v>
      </c>
      <c r="I30" s="377">
        <v>11.560914513766532</v>
      </c>
      <c r="K30" s="99"/>
      <c r="L30" s="99"/>
      <c r="M30" s="100"/>
      <c r="N30" s="95"/>
      <c r="O30" s="95"/>
      <c r="P30" s="91"/>
      <c r="Q30" s="91"/>
    </row>
    <row r="31" spans="1:17" ht="11.25" customHeight="1">
      <c r="A31" s="88"/>
      <c r="B31" s="371" t="s">
        <v>179</v>
      </c>
      <c r="C31" s="371"/>
      <c r="D31" s="374">
        <v>201828</v>
      </c>
      <c r="E31" s="375">
        <v>9.1349191549606878</v>
      </c>
      <c r="F31" s="376">
        <v>139805</v>
      </c>
      <c r="G31" s="377">
        <v>69.26937788612085</v>
      </c>
      <c r="H31" s="376">
        <v>18331</v>
      </c>
      <c r="I31" s="377">
        <v>9.0824860772539004</v>
      </c>
      <c r="K31" s="99"/>
      <c r="L31" s="99"/>
      <c r="M31" s="100"/>
      <c r="N31" s="95"/>
      <c r="O31" s="95"/>
      <c r="P31" s="91"/>
      <c r="Q31" s="91"/>
    </row>
    <row r="32" spans="1:17" ht="11.25" customHeight="1">
      <c r="A32" s="88"/>
      <c r="B32" s="371" t="s">
        <v>180</v>
      </c>
      <c r="C32" s="371"/>
      <c r="D32" s="374">
        <v>7564</v>
      </c>
      <c r="E32" s="375">
        <v>0.34235353116575812</v>
      </c>
      <c r="F32" s="376">
        <v>3166</v>
      </c>
      <c r="G32" s="377">
        <v>41.856160761501847</v>
      </c>
      <c r="H32" s="376">
        <v>203</v>
      </c>
      <c r="I32" s="377">
        <v>2.6837652035959807</v>
      </c>
      <c r="K32" s="98"/>
      <c r="L32" s="98"/>
      <c r="M32" s="100"/>
      <c r="N32" s="95"/>
      <c r="O32" s="95"/>
      <c r="P32" s="91"/>
      <c r="Q32" s="91"/>
    </row>
    <row r="33" spans="1:17" ht="11.25" customHeight="1">
      <c r="A33" s="88"/>
      <c r="B33" s="371" t="s">
        <v>196</v>
      </c>
      <c r="C33" s="371"/>
      <c r="D33" s="374">
        <v>284000</v>
      </c>
      <c r="E33" s="375">
        <v>12.854098737582669</v>
      </c>
      <c r="F33" s="376">
        <v>124824</v>
      </c>
      <c r="G33" s="377">
        <v>43.952112676056338</v>
      </c>
      <c r="H33" s="376">
        <v>16770</v>
      </c>
      <c r="I33" s="377">
        <v>5.904929577464789</v>
      </c>
      <c r="K33" s="98"/>
      <c r="L33" s="98"/>
      <c r="M33" s="100"/>
      <c r="N33" s="95"/>
      <c r="O33" s="95"/>
      <c r="P33" s="91"/>
      <c r="Q33" s="91"/>
    </row>
    <row r="34" spans="1:17" ht="5.25" customHeight="1">
      <c r="A34" s="88"/>
      <c r="B34" s="102"/>
      <c r="C34" s="102"/>
      <c r="D34" s="103"/>
      <c r="E34" s="104"/>
      <c r="F34" s="103"/>
      <c r="G34" s="105"/>
      <c r="H34" s="103"/>
      <c r="I34" s="104"/>
      <c r="K34" s="98"/>
      <c r="L34" s="99"/>
      <c r="M34" s="91"/>
      <c r="N34" s="91"/>
      <c r="O34" s="91"/>
    </row>
    <row r="35" spans="1:17" ht="13.5" customHeight="1">
      <c r="B35" s="65"/>
      <c r="C35" s="65"/>
      <c r="D35" s="66"/>
      <c r="E35" s="66"/>
      <c r="F35" s="66"/>
      <c r="G35" s="66"/>
      <c r="H35" s="66"/>
      <c r="I35" s="65"/>
      <c r="J35" s="65"/>
      <c r="K35" s="65"/>
      <c r="L35" s="65"/>
    </row>
    <row r="36" spans="1:17" ht="13.5" customHeight="1">
      <c r="B36" s="65"/>
      <c r="C36" s="359"/>
      <c r="D36" s="66"/>
      <c r="E36" s="66"/>
      <c r="F36" s="66"/>
      <c r="G36" s="66"/>
      <c r="H36" s="66"/>
      <c r="I36" s="65"/>
      <c r="J36" s="65"/>
      <c r="K36" s="65"/>
      <c r="L36" s="65"/>
    </row>
    <row r="37" spans="1:17" ht="13.5" customHeight="1">
      <c r="B37" s="65"/>
      <c r="C37" s="359"/>
      <c r="D37" s="66"/>
      <c r="E37" s="66"/>
      <c r="F37" s="66"/>
      <c r="G37" s="66"/>
      <c r="H37" s="66"/>
      <c r="I37" s="65"/>
      <c r="J37" s="65"/>
      <c r="K37" s="65"/>
      <c r="L37" s="65"/>
    </row>
    <row r="38" spans="1:17" ht="13.5" customHeight="1">
      <c r="B38" s="65"/>
      <c r="C38" s="359"/>
      <c r="D38" s="66"/>
      <c r="E38" s="66"/>
      <c r="F38" s="66"/>
      <c r="G38" s="66"/>
      <c r="H38" s="66"/>
      <c r="I38" s="65"/>
      <c r="J38" s="65"/>
      <c r="K38" s="65"/>
      <c r="L38" s="65"/>
    </row>
    <row r="39" spans="1:17">
      <c r="K39" s="98"/>
      <c r="L39" s="99"/>
      <c r="M39" s="91"/>
      <c r="N39" s="91"/>
      <c r="O39" s="91"/>
    </row>
    <row r="40" spans="1:17">
      <c r="B40" s="110"/>
      <c r="K40" s="91"/>
      <c r="L40" s="91"/>
      <c r="M40" s="91"/>
      <c r="N40" s="91"/>
      <c r="O40" s="91"/>
    </row>
    <row r="41" spans="1:17">
      <c r="B41" s="110"/>
      <c r="K41" s="98"/>
      <c r="L41" s="99"/>
      <c r="M41" s="91"/>
      <c r="N41" s="91"/>
      <c r="O41" s="91"/>
    </row>
    <row r="42" spans="1:17">
      <c r="K42" s="98"/>
      <c r="L42" s="99"/>
      <c r="M42" s="91"/>
      <c r="N42" s="91"/>
      <c r="O42" s="91"/>
    </row>
    <row r="43" spans="1:17">
      <c r="K43" s="91"/>
      <c r="L43" s="91"/>
      <c r="M43" s="91"/>
      <c r="N43" s="91"/>
      <c r="O43" s="91"/>
    </row>
    <row r="44" spans="1:17">
      <c r="K44" s="98"/>
      <c r="L44" s="99"/>
      <c r="M44" s="91"/>
      <c r="N44" s="91"/>
      <c r="O44" s="91"/>
    </row>
    <row r="45" spans="1:17">
      <c r="K45" s="98"/>
      <c r="L45" s="99"/>
      <c r="M45" s="91"/>
      <c r="N45" s="91"/>
      <c r="O45" s="91"/>
    </row>
    <row r="46" spans="1:17">
      <c r="K46" s="91"/>
      <c r="L46" s="91"/>
      <c r="M46" s="91"/>
      <c r="N46" s="91"/>
      <c r="O46" s="91"/>
    </row>
    <row r="64" ht="12.75" customHeight="1"/>
  </sheetData>
  <mergeCells count="4">
    <mergeCell ref="B11:C11"/>
    <mergeCell ref="D4:E4"/>
    <mergeCell ref="F4:G4"/>
    <mergeCell ref="H4:I4"/>
  </mergeCells>
  <phoneticPr fontId="8"/>
  <pageMargins left="0.74803149606299213" right="0.31496062992125984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showGridLines="0" zoomScaleNormal="100" workbookViewId="0"/>
  </sheetViews>
  <sheetFormatPr defaultRowHeight="12"/>
  <cols>
    <col min="1" max="1" width="1.625" style="44" customWidth="1"/>
    <col min="2" max="2" width="5.25" style="44" customWidth="1"/>
    <col min="3" max="3" width="9.125" style="44" bestFit="1" customWidth="1"/>
    <col min="4" max="7" width="9" style="44"/>
    <col min="8" max="10" width="9" style="46" customWidth="1"/>
    <col min="11" max="12" width="1.625" style="44" customWidth="1"/>
    <col min="13" max="16384" width="9" style="44"/>
  </cols>
  <sheetData>
    <row r="1" spans="1:10" s="41" customFormat="1" ht="13.5" customHeight="1">
      <c r="A1" s="40" t="s">
        <v>213</v>
      </c>
      <c r="H1" s="117"/>
      <c r="I1" s="117"/>
      <c r="J1" s="117"/>
    </row>
    <row r="2" spans="1:10" ht="13.5" customHeight="1">
      <c r="D2" s="81"/>
      <c r="E2" s="118"/>
      <c r="F2" s="81"/>
      <c r="G2" s="81"/>
    </row>
    <row r="3" spans="1:10" ht="13.5" customHeight="1">
      <c r="B3" s="65" t="s">
        <v>80</v>
      </c>
      <c r="C3" s="65"/>
      <c r="D3" s="66"/>
      <c r="E3" s="65"/>
      <c r="F3" s="65"/>
      <c r="H3" s="119"/>
      <c r="I3" s="119"/>
      <c r="J3" s="119" t="s">
        <v>110</v>
      </c>
    </row>
    <row r="4" spans="1:10" ht="12" customHeight="1">
      <c r="B4" s="120"/>
      <c r="C4" s="121"/>
      <c r="D4" s="607" t="s">
        <v>200</v>
      </c>
      <c r="E4" s="607" t="s">
        <v>201</v>
      </c>
      <c r="F4" s="607" t="s">
        <v>202</v>
      </c>
      <c r="G4" s="404" t="s">
        <v>203</v>
      </c>
      <c r="H4" s="607" t="s">
        <v>204</v>
      </c>
      <c r="I4" s="607" t="s">
        <v>205</v>
      </c>
      <c r="J4" s="607" t="s">
        <v>30</v>
      </c>
    </row>
    <row r="5" spans="1:10" ht="12" customHeight="1">
      <c r="B5" s="656" t="s">
        <v>206</v>
      </c>
      <c r="C5" s="657"/>
      <c r="D5" s="385">
        <v>230805</v>
      </c>
      <c r="E5" s="386">
        <v>203220</v>
      </c>
      <c r="F5" s="386">
        <v>199853</v>
      </c>
      <c r="G5" s="405">
        <v>208289</v>
      </c>
      <c r="H5" s="386">
        <v>189234</v>
      </c>
      <c r="I5" s="386">
        <v>190629</v>
      </c>
      <c r="J5" s="386">
        <v>179252</v>
      </c>
    </row>
    <row r="6" spans="1:10" ht="12" customHeight="1">
      <c r="B6" s="654" t="s">
        <v>207</v>
      </c>
      <c r="C6" s="655"/>
      <c r="D6" s="387">
        <v>100828</v>
      </c>
      <c r="E6" s="387">
        <v>87734</v>
      </c>
      <c r="F6" s="387">
        <v>88622</v>
      </c>
      <c r="G6" s="406">
        <v>93763</v>
      </c>
      <c r="H6" s="387">
        <v>86371</v>
      </c>
      <c r="I6" s="387">
        <v>88725</v>
      </c>
      <c r="J6" s="387">
        <v>83935</v>
      </c>
    </row>
    <row r="7" spans="1:10" ht="12" customHeight="1">
      <c r="B7" s="392"/>
      <c r="C7" s="394" t="s">
        <v>122</v>
      </c>
      <c r="D7" s="388">
        <v>30262</v>
      </c>
      <c r="E7" s="389">
        <v>27202</v>
      </c>
      <c r="F7" s="389">
        <v>27270</v>
      </c>
      <c r="G7" s="407">
        <v>28321</v>
      </c>
      <c r="H7" s="389">
        <v>26325</v>
      </c>
      <c r="I7" s="389">
        <v>27465</v>
      </c>
      <c r="J7" s="389">
        <v>26275</v>
      </c>
    </row>
    <row r="8" spans="1:10" ht="12" customHeight="1">
      <c r="B8" s="392"/>
      <c r="C8" s="394" t="s">
        <v>124</v>
      </c>
      <c r="D8" s="388">
        <v>6266</v>
      </c>
      <c r="E8" s="389">
        <v>5520</v>
      </c>
      <c r="F8" s="389">
        <v>5456</v>
      </c>
      <c r="G8" s="407">
        <v>5667</v>
      </c>
      <c r="H8" s="389">
        <v>4974</v>
      </c>
      <c r="I8" s="389">
        <v>5158</v>
      </c>
      <c r="J8" s="389">
        <v>4861</v>
      </c>
    </row>
    <row r="9" spans="1:10" ht="12" customHeight="1">
      <c r="B9" s="392"/>
      <c r="C9" s="394" t="s">
        <v>126</v>
      </c>
      <c r="D9" s="388">
        <v>37445</v>
      </c>
      <c r="E9" s="389">
        <v>31060</v>
      </c>
      <c r="F9" s="389">
        <v>31652</v>
      </c>
      <c r="G9" s="407">
        <v>33790</v>
      </c>
      <c r="H9" s="389">
        <v>31807</v>
      </c>
      <c r="I9" s="389">
        <v>32854</v>
      </c>
      <c r="J9" s="389">
        <v>31316</v>
      </c>
    </row>
    <row r="10" spans="1:10" ht="12" customHeight="1">
      <c r="B10" s="392"/>
      <c r="C10" s="394" t="s">
        <v>127</v>
      </c>
      <c r="D10" s="388">
        <v>12588</v>
      </c>
      <c r="E10" s="390">
        <v>11175</v>
      </c>
      <c r="F10" s="390">
        <v>11779</v>
      </c>
      <c r="G10" s="408">
        <v>12914</v>
      </c>
      <c r="H10" s="390">
        <v>11412</v>
      </c>
      <c r="I10" s="390">
        <v>11154</v>
      </c>
      <c r="J10" s="390">
        <v>9969</v>
      </c>
    </row>
    <row r="11" spans="1:10" ht="12" customHeight="1">
      <c r="B11" s="392"/>
      <c r="C11" s="394" t="s">
        <v>130</v>
      </c>
      <c r="D11" s="388">
        <v>7767</v>
      </c>
      <c r="E11" s="390">
        <v>6896</v>
      </c>
      <c r="F11" s="390">
        <v>6743</v>
      </c>
      <c r="G11" s="408">
        <v>6858</v>
      </c>
      <c r="H11" s="390">
        <v>6219</v>
      </c>
      <c r="I11" s="390">
        <v>6359</v>
      </c>
      <c r="J11" s="390">
        <v>6051</v>
      </c>
    </row>
    <row r="12" spans="1:10" ht="12" customHeight="1">
      <c r="B12" s="393"/>
      <c r="C12" s="394" t="s">
        <v>131</v>
      </c>
      <c r="D12" s="388">
        <v>6500</v>
      </c>
      <c r="E12" s="389">
        <v>5881</v>
      </c>
      <c r="F12" s="389">
        <v>5722</v>
      </c>
      <c r="G12" s="407">
        <v>6213</v>
      </c>
      <c r="H12" s="389">
        <v>5634</v>
      </c>
      <c r="I12" s="389">
        <v>5735</v>
      </c>
      <c r="J12" s="389">
        <v>5463</v>
      </c>
    </row>
    <row r="13" spans="1:10" ht="12" customHeight="1">
      <c r="B13" s="654" t="s">
        <v>208</v>
      </c>
      <c r="C13" s="655"/>
      <c r="D13" s="391">
        <v>25088</v>
      </c>
      <c r="E13" s="391">
        <v>22371</v>
      </c>
      <c r="F13" s="391">
        <v>21659</v>
      </c>
      <c r="G13" s="409">
        <v>22789</v>
      </c>
      <c r="H13" s="391">
        <v>20471</v>
      </c>
      <c r="I13" s="387">
        <v>20492</v>
      </c>
      <c r="J13" s="387">
        <v>19239</v>
      </c>
    </row>
    <row r="14" spans="1:10" ht="12" customHeight="1">
      <c r="B14" s="123"/>
      <c r="C14" s="394" t="s">
        <v>125</v>
      </c>
      <c r="D14" s="388">
        <v>3468</v>
      </c>
      <c r="E14" s="389">
        <v>3115</v>
      </c>
      <c r="F14" s="389">
        <v>2898</v>
      </c>
      <c r="G14" s="407">
        <v>3108</v>
      </c>
      <c r="H14" s="389">
        <v>2686</v>
      </c>
      <c r="I14" s="389">
        <v>2758</v>
      </c>
      <c r="J14" s="389">
        <v>2650</v>
      </c>
    </row>
    <row r="15" spans="1:10" ht="12" customHeight="1">
      <c r="B15" s="123"/>
      <c r="C15" s="394" t="s">
        <v>128</v>
      </c>
      <c r="D15" s="388">
        <v>5489</v>
      </c>
      <c r="E15" s="389">
        <v>4876</v>
      </c>
      <c r="F15" s="389">
        <v>4755</v>
      </c>
      <c r="G15" s="407">
        <v>4876</v>
      </c>
      <c r="H15" s="389">
        <v>4341</v>
      </c>
      <c r="I15" s="389">
        <v>4279</v>
      </c>
      <c r="J15" s="389">
        <v>3982</v>
      </c>
    </row>
    <row r="16" spans="1:10" ht="12" customHeight="1">
      <c r="B16" s="123"/>
      <c r="C16" s="394" t="s">
        <v>129</v>
      </c>
      <c r="D16" s="388">
        <v>4457</v>
      </c>
      <c r="E16" s="389">
        <v>3863</v>
      </c>
      <c r="F16" s="389">
        <v>3844</v>
      </c>
      <c r="G16" s="407">
        <v>4004</v>
      </c>
      <c r="H16" s="389">
        <v>3646</v>
      </c>
      <c r="I16" s="389">
        <v>3479</v>
      </c>
      <c r="J16" s="389">
        <v>3250</v>
      </c>
    </row>
    <row r="17" spans="2:10" ht="12" customHeight="1">
      <c r="B17" s="123"/>
      <c r="C17" s="394" t="s">
        <v>132</v>
      </c>
      <c r="D17" s="388">
        <v>5312</v>
      </c>
      <c r="E17" s="389">
        <v>4730</v>
      </c>
      <c r="F17" s="389">
        <v>4658</v>
      </c>
      <c r="G17" s="407">
        <v>4728</v>
      </c>
      <c r="H17" s="389">
        <v>4350</v>
      </c>
      <c r="I17" s="389">
        <v>4447</v>
      </c>
      <c r="J17" s="389">
        <v>4170</v>
      </c>
    </row>
    <row r="18" spans="2:10" ht="12" customHeight="1">
      <c r="B18" s="125"/>
      <c r="C18" s="394" t="s">
        <v>141</v>
      </c>
      <c r="D18" s="388">
        <v>6362</v>
      </c>
      <c r="E18" s="389">
        <v>5787</v>
      </c>
      <c r="F18" s="389">
        <v>5504</v>
      </c>
      <c r="G18" s="407">
        <v>6073</v>
      </c>
      <c r="H18" s="389">
        <v>5448</v>
      </c>
      <c r="I18" s="389">
        <v>5529</v>
      </c>
      <c r="J18" s="389">
        <v>5187</v>
      </c>
    </row>
    <row r="19" spans="2:10" ht="12" customHeight="1">
      <c r="B19" s="654" t="s">
        <v>209</v>
      </c>
      <c r="C19" s="655"/>
      <c r="D19" s="391">
        <v>36872</v>
      </c>
      <c r="E19" s="391">
        <v>33041</v>
      </c>
      <c r="F19" s="391">
        <v>32394</v>
      </c>
      <c r="G19" s="409">
        <v>34384</v>
      </c>
      <c r="H19" s="391">
        <v>31291</v>
      </c>
      <c r="I19" s="387">
        <v>30981</v>
      </c>
      <c r="J19" s="387">
        <v>28910</v>
      </c>
    </row>
    <row r="20" spans="2:10" ht="12" customHeight="1">
      <c r="B20" s="123"/>
      <c r="C20" s="394" t="s">
        <v>123</v>
      </c>
      <c r="D20" s="388">
        <v>6483</v>
      </c>
      <c r="E20" s="390">
        <v>5645</v>
      </c>
      <c r="F20" s="390">
        <v>5645</v>
      </c>
      <c r="G20" s="408">
        <v>5992</v>
      </c>
      <c r="H20" s="390">
        <v>5369</v>
      </c>
      <c r="I20" s="390">
        <v>5342</v>
      </c>
      <c r="J20" s="390">
        <v>4981</v>
      </c>
    </row>
    <row r="21" spans="2:10" ht="12" customHeight="1">
      <c r="B21" s="123"/>
      <c r="C21" s="394" t="s">
        <v>133</v>
      </c>
      <c r="D21" s="388">
        <v>13404</v>
      </c>
      <c r="E21" s="390">
        <v>12179</v>
      </c>
      <c r="F21" s="390">
        <v>11861</v>
      </c>
      <c r="G21" s="408">
        <v>13242</v>
      </c>
      <c r="H21" s="390">
        <v>12309</v>
      </c>
      <c r="I21" s="390">
        <v>12304</v>
      </c>
      <c r="J21" s="390">
        <v>11478</v>
      </c>
    </row>
    <row r="22" spans="2:10" ht="12" customHeight="1">
      <c r="B22" s="123"/>
      <c r="C22" s="394" t="s">
        <v>134</v>
      </c>
      <c r="D22" s="388">
        <v>6673</v>
      </c>
      <c r="E22" s="390">
        <v>6030</v>
      </c>
      <c r="F22" s="390">
        <v>5932</v>
      </c>
      <c r="G22" s="408">
        <v>6299</v>
      </c>
      <c r="H22" s="390">
        <v>5578</v>
      </c>
      <c r="I22" s="390">
        <v>5507</v>
      </c>
      <c r="J22" s="390">
        <v>5176</v>
      </c>
    </row>
    <row r="23" spans="2:10" ht="12" customHeight="1">
      <c r="B23" s="123"/>
      <c r="C23" s="394" t="s">
        <v>137</v>
      </c>
      <c r="D23" s="388">
        <v>5295</v>
      </c>
      <c r="E23" s="390">
        <v>4692</v>
      </c>
      <c r="F23" s="390">
        <v>4415</v>
      </c>
      <c r="G23" s="408">
        <v>4260</v>
      </c>
      <c r="H23" s="390">
        <v>3838</v>
      </c>
      <c r="I23" s="390">
        <v>3746</v>
      </c>
      <c r="J23" s="390">
        <v>3418</v>
      </c>
    </row>
    <row r="24" spans="2:10" ht="12" customHeight="1">
      <c r="B24" s="125"/>
      <c r="C24" s="394" t="s">
        <v>139</v>
      </c>
      <c r="D24" s="388">
        <v>5017</v>
      </c>
      <c r="E24" s="389">
        <v>4495</v>
      </c>
      <c r="F24" s="389">
        <v>4541</v>
      </c>
      <c r="G24" s="407">
        <v>4591</v>
      </c>
      <c r="H24" s="389">
        <v>4197</v>
      </c>
      <c r="I24" s="389">
        <v>4082</v>
      </c>
      <c r="J24" s="389">
        <v>3857</v>
      </c>
    </row>
    <row r="25" spans="2:10" ht="12" customHeight="1">
      <c r="B25" s="654" t="s">
        <v>210</v>
      </c>
      <c r="C25" s="655"/>
      <c r="D25" s="391">
        <v>37622</v>
      </c>
      <c r="E25" s="391">
        <v>33452</v>
      </c>
      <c r="F25" s="391">
        <v>31684</v>
      </c>
      <c r="G25" s="409">
        <v>31686</v>
      </c>
      <c r="H25" s="391">
        <v>28163</v>
      </c>
      <c r="I25" s="387">
        <v>27018</v>
      </c>
      <c r="J25" s="387">
        <v>25311</v>
      </c>
    </row>
    <row r="26" spans="2:10" ht="12" customHeight="1">
      <c r="B26" s="123"/>
      <c r="C26" s="394" t="s">
        <v>135</v>
      </c>
      <c r="D26" s="388">
        <v>7280</v>
      </c>
      <c r="E26" s="389">
        <v>6365</v>
      </c>
      <c r="F26" s="389">
        <v>6114</v>
      </c>
      <c r="G26" s="407">
        <v>6070</v>
      </c>
      <c r="H26" s="389">
        <v>5404</v>
      </c>
      <c r="I26" s="389">
        <v>5029</v>
      </c>
      <c r="J26" s="389">
        <v>4735</v>
      </c>
    </row>
    <row r="27" spans="2:10" ht="12" customHeight="1">
      <c r="B27" s="123"/>
      <c r="C27" s="394" t="s">
        <v>136</v>
      </c>
      <c r="D27" s="388">
        <v>12390</v>
      </c>
      <c r="E27" s="389">
        <v>11073</v>
      </c>
      <c r="F27" s="389">
        <v>10478</v>
      </c>
      <c r="G27" s="407">
        <v>9791</v>
      </c>
      <c r="H27" s="389">
        <v>8490</v>
      </c>
      <c r="I27" s="389">
        <v>8047</v>
      </c>
      <c r="J27" s="389">
        <v>7460</v>
      </c>
    </row>
    <row r="28" spans="2:10" ht="12" customHeight="1">
      <c r="B28" s="123"/>
      <c r="C28" s="394" t="s">
        <v>138</v>
      </c>
      <c r="D28" s="388">
        <v>8125</v>
      </c>
      <c r="E28" s="389">
        <v>7282</v>
      </c>
      <c r="F28" s="389">
        <v>6936</v>
      </c>
      <c r="G28" s="407">
        <v>7141</v>
      </c>
      <c r="H28" s="389">
        <v>6347</v>
      </c>
      <c r="I28" s="389">
        <v>5979</v>
      </c>
      <c r="J28" s="389">
        <v>5524</v>
      </c>
    </row>
    <row r="29" spans="2:10" ht="12" customHeight="1">
      <c r="B29" s="125"/>
      <c r="C29" s="394" t="s">
        <v>144</v>
      </c>
      <c r="D29" s="388">
        <v>9827</v>
      </c>
      <c r="E29" s="390">
        <v>8732</v>
      </c>
      <c r="F29" s="390">
        <v>8156</v>
      </c>
      <c r="G29" s="408">
        <v>8684</v>
      </c>
      <c r="H29" s="390">
        <v>7922</v>
      </c>
      <c r="I29" s="390">
        <v>7963</v>
      </c>
      <c r="J29" s="390">
        <v>7592</v>
      </c>
    </row>
    <row r="30" spans="2:10" ht="12" customHeight="1">
      <c r="B30" s="654" t="s">
        <v>212</v>
      </c>
      <c r="C30" s="655"/>
      <c r="D30" s="387">
        <v>30395</v>
      </c>
      <c r="E30" s="387">
        <v>26622</v>
      </c>
      <c r="F30" s="387">
        <v>25494</v>
      </c>
      <c r="G30" s="406">
        <v>25668</v>
      </c>
      <c r="H30" s="387">
        <v>22938</v>
      </c>
      <c r="I30" s="387">
        <v>23413</v>
      </c>
      <c r="J30" s="387">
        <v>21857</v>
      </c>
    </row>
    <row r="31" spans="2:10" ht="12" customHeight="1">
      <c r="B31" s="123"/>
      <c r="C31" s="394" t="s">
        <v>140</v>
      </c>
      <c r="D31" s="388">
        <v>6862</v>
      </c>
      <c r="E31" s="389">
        <v>6061</v>
      </c>
      <c r="F31" s="389">
        <v>5639</v>
      </c>
      <c r="G31" s="407">
        <v>5949</v>
      </c>
      <c r="H31" s="389">
        <v>5609</v>
      </c>
      <c r="I31" s="389">
        <v>5992</v>
      </c>
      <c r="J31" s="389">
        <v>5668</v>
      </c>
    </row>
    <row r="32" spans="2:10" ht="12" customHeight="1">
      <c r="B32" s="123"/>
      <c r="C32" s="394" t="s">
        <v>142</v>
      </c>
      <c r="D32" s="388">
        <v>7344</v>
      </c>
      <c r="E32" s="390">
        <v>6421</v>
      </c>
      <c r="F32" s="390">
        <v>6352</v>
      </c>
      <c r="G32" s="408">
        <v>6368</v>
      </c>
      <c r="H32" s="390">
        <v>5588</v>
      </c>
      <c r="I32" s="390">
        <v>5620</v>
      </c>
      <c r="J32" s="390">
        <v>5215</v>
      </c>
    </row>
    <row r="33" spans="2:10" ht="12" customHeight="1">
      <c r="B33" s="123"/>
      <c r="C33" s="394" t="s">
        <v>143</v>
      </c>
      <c r="D33" s="388">
        <v>8001</v>
      </c>
      <c r="E33" s="389">
        <v>7055</v>
      </c>
      <c r="F33" s="389">
        <v>6836</v>
      </c>
      <c r="G33" s="407">
        <v>6776</v>
      </c>
      <c r="H33" s="389">
        <v>6006</v>
      </c>
      <c r="I33" s="389">
        <v>6023</v>
      </c>
      <c r="J33" s="389">
        <v>5683</v>
      </c>
    </row>
    <row r="34" spans="2:10" ht="12" customHeight="1">
      <c r="B34" s="125"/>
      <c r="C34" s="394" t="s">
        <v>145</v>
      </c>
      <c r="D34" s="388">
        <v>8188</v>
      </c>
      <c r="E34" s="389">
        <v>7085</v>
      </c>
      <c r="F34" s="389">
        <v>6667</v>
      </c>
      <c r="G34" s="407">
        <v>6575</v>
      </c>
      <c r="H34" s="389">
        <v>5735</v>
      </c>
      <c r="I34" s="389">
        <v>5778</v>
      </c>
      <c r="J34" s="389">
        <v>5291</v>
      </c>
    </row>
    <row r="35" spans="2:10">
      <c r="D35" s="81"/>
      <c r="E35" s="81"/>
      <c r="F35" s="81"/>
      <c r="G35" s="81"/>
    </row>
    <row r="36" spans="2:10" ht="13.5" customHeight="1">
      <c r="B36" s="65"/>
      <c r="C36" s="65"/>
      <c r="D36" s="66"/>
      <c r="E36" s="65"/>
      <c r="F36" s="65"/>
      <c r="G36" s="65"/>
      <c r="H36" s="126"/>
      <c r="I36" s="126"/>
      <c r="J36" s="127"/>
    </row>
    <row r="37" spans="2:10" ht="13.5" customHeight="1">
      <c r="B37" s="68"/>
      <c r="C37" s="65"/>
      <c r="D37" s="66"/>
      <c r="E37" s="65"/>
      <c r="F37" s="65"/>
      <c r="G37" s="65"/>
      <c r="H37" s="126"/>
      <c r="I37" s="126"/>
      <c r="J37" s="126"/>
    </row>
    <row r="38" spans="2:10">
      <c r="B38" s="65"/>
    </row>
  </sheetData>
  <mergeCells count="6">
    <mergeCell ref="B19:C19"/>
    <mergeCell ref="B25:C25"/>
    <mergeCell ref="B30:C30"/>
    <mergeCell ref="B5:C5"/>
    <mergeCell ref="B6:C6"/>
    <mergeCell ref="B13:C13"/>
  </mergeCells>
  <phoneticPr fontId="8"/>
  <pageMargins left="0.74803149606299213" right="0.31496062992125984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zoomScaleNormal="100" workbookViewId="0"/>
  </sheetViews>
  <sheetFormatPr defaultRowHeight="12"/>
  <cols>
    <col min="1" max="1" width="1.625" style="44" customWidth="1"/>
    <col min="2" max="2" width="5.25" style="44" customWidth="1"/>
    <col min="3" max="3" width="9.125" style="44" bestFit="1" customWidth="1"/>
    <col min="4" max="7" width="9" style="44"/>
    <col min="8" max="10" width="9" style="46" customWidth="1"/>
    <col min="11" max="12" width="1.625" style="44" customWidth="1"/>
    <col min="13" max="16384" width="9" style="44"/>
  </cols>
  <sheetData>
    <row r="1" spans="1:12" s="41" customFormat="1" ht="13.5" customHeight="1">
      <c r="A1" s="40" t="s">
        <v>213</v>
      </c>
      <c r="H1" s="117"/>
      <c r="I1" s="117"/>
      <c r="J1" s="117"/>
    </row>
    <row r="2" spans="1:12" ht="13.5" customHeight="1">
      <c r="D2" s="81"/>
      <c r="E2" s="81"/>
      <c r="F2" s="81"/>
      <c r="G2" s="81"/>
    </row>
    <row r="3" spans="1:12" ht="13.5" customHeight="1">
      <c r="B3" s="65" t="s">
        <v>198</v>
      </c>
      <c r="C3" s="65"/>
      <c r="D3" s="66"/>
      <c r="E3" s="65"/>
      <c r="F3" s="65"/>
      <c r="H3" s="119"/>
      <c r="I3" s="119"/>
      <c r="J3" s="119" t="s">
        <v>199</v>
      </c>
    </row>
    <row r="4" spans="1:12" ht="12" customHeight="1">
      <c r="B4" s="120"/>
      <c r="C4" s="121"/>
      <c r="D4" s="607" t="s">
        <v>200</v>
      </c>
      <c r="E4" s="607" t="s">
        <v>201</v>
      </c>
      <c r="F4" s="398" t="s">
        <v>202</v>
      </c>
      <c r="G4" s="404" t="s">
        <v>203</v>
      </c>
      <c r="H4" s="607" t="s">
        <v>204</v>
      </c>
      <c r="I4" s="607" t="s">
        <v>205</v>
      </c>
      <c r="J4" s="607" t="s">
        <v>30</v>
      </c>
    </row>
    <row r="5" spans="1:12" ht="12" customHeight="1">
      <c r="B5" s="656" t="s">
        <v>206</v>
      </c>
      <c r="C5" s="658"/>
      <c r="D5" s="385">
        <v>2311158</v>
      </c>
      <c r="E5" s="386">
        <v>2065304</v>
      </c>
      <c r="F5" s="399">
        <v>2121613</v>
      </c>
      <c r="G5" s="405">
        <v>2364216</v>
      </c>
      <c r="H5" s="386">
        <v>2192422</v>
      </c>
      <c r="I5" s="386">
        <v>2267364</v>
      </c>
      <c r="J5" s="386">
        <v>2209412</v>
      </c>
      <c r="L5" s="29"/>
    </row>
    <row r="6" spans="1:12" ht="12" customHeight="1">
      <c r="B6" s="654" t="s">
        <v>207</v>
      </c>
      <c r="C6" s="655"/>
      <c r="D6" s="387">
        <v>1316359</v>
      </c>
      <c r="E6" s="387">
        <v>1162942</v>
      </c>
      <c r="F6" s="400">
        <v>1219407</v>
      </c>
      <c r="G6" s="406">
        <v>1368159</v>
      </c>
      <c r="H6" s="387">
        <v>1264623</v>
      </c>
      <c r="I6" s="387">
        <v>1310726</v>
      </c>
      <c r="J6" s="387">
        <v>1290010</v>
      </c>
      <c r="L6" s="122"/>
    </row>
    <row r="7" spans="1:12" ht="12" customHeight="1">
      <c r="B7" s="123"/>
      <c r="C7" s="394" t="s">
        <v>122</v>
      </c>
      <c r="D7" s="395">
        <v>413010</v>
      </c>
      <c r="E7" s="396">
        <v>386778</v>
      </c>
      <c r="F7" s="401">
        <v>406102</v>
      </c>
      <c r="G7" s="407">
        <v>439698</v>
      </c>
      <c r="H7" s="389">
        <v>411297</v>
      </c>
      <c r="I7" s="389">
        <v>446832</v>
      </c>
      <c r="J7" s="389">
        <v>452361</v>
      </c>
      <c r="L7" s="124"/>
    </row>
    <row r="8" spans="1:12" ht="12" customHeight="1">
      <c r="B8" s="123"/>
      <c r="C8" s="394" t="s">
        <v>124</v>
      </c>
      <c r="D8" s="395">
        <v>66458</v>
      </c>
      <c r="E8" s="396">
        <v>61088</v>
      </c>
      <c r="F8" s="401">
        <v>57781</v>
      </c>
      <c r="G8" s="407">
        <v>63089</v>
      </c>
      <c r="H8" s="389">
        <v>56036</v>
      </c>
      <c r="I8" s="389">
        <v>62627</v>
      </c>
      <c r="J8" s="389">
        <v>56374</v>
      </c>
      <c r="L8" s="124"/>
    </row>
    <row r="9" spans="1:12" ht="12" customHeight="1">
      <c r="B9" s="123"/>
      <c r="C9" s="394" t="s">
        <v>126</v>
      </c>
      <c r="D9" s="395">
        <v>527251</v>
      </c>
      <c r="E9" s="396">
        <v>448495</v>
      </c>
      <c r="F9" s="401">
        <v>477552</v>
      </c>
      <c r="G9" s="407">
        <v>552748</v>
      </c>
      <c r="H9" s="389">
        <v>511441</v>
      </c>
      <c r="I9" s="389">
        <v>512806</v>
      </c>
      <c r="J9" s="389">
        <v>501345</v>
      </c>
      <c r="L9" s="124"/>
    </row>
    <row r="10" spans="1:12" ht="12" customHeight="1">
      <c r="B10" s="123"/>
      <c r="C10" s="394" t="s">
        <v>127</v>
      </c>
      <c r="D10" s="395">
        <v>168799</v>
      </c>
      <c r="E10" s="397">
        <v>146075</v>
      </c>
      <c r="F10" s="402">
        <v>152988</v>
      </c>
      <c r="G10" s="408">
        <v>169806</v>
      </c>
      <c r="H10" s="390">
        <v>153558</v>
      </c>
      <c r="I10" s="390">
        <v>153822</v>
      </c>
      <c r="J10" s="390">
        <v>148280</v>
      </c>
      <c r="L10" s="124"/>
    </row>
    <row r="11" spans="1:12" ht="12" customHeight="1">
      <c r="B11" s="123"/>
      <c r="C11" s="394" t="s">
        <v>130</v>
      </c>
      <c r="D11" s="395">
        <v>70193</v>
      </c>
      <c r="E11" s="397">
        <v>59805</v>
      </c>
      <c r="F11" s="402">
        <v>64569</v>
      </c>
      <c r="G11" s="408">
        <v>68956</v>
      </c>
      <c r="H11" s="390">
        <v>65383</v>
      </c>
      <c r="I11" s="390">
        <v>65503</v>
      </c>
      <c r="J11" s="390">
        <v>64446</v>
      </c>
      <c r="L11" s="124"/>
    </row>
    <row r="12" spans="1:12" ht="12" customHeight="1">
      <c r="B12" s="125"/>
      <c r="C12" s="394" t="s">
        <v>131</v>
      </c>
      <c r="D12" s="395">
        <v>70648</v>
      </c>
      <c r="E12" s="396">
        <v>60701</v>
      </c>
      <c r="F12" s="401">
        <v>60415</v>
      </c>
      <c r="G12" s="407">
        <v>73862</v>
      </c>
      <c r="H12" s="389">
        <v>66908</v>
      </c>
      <c r="I12" s="389">
        <v>69136</v>
      </c>
      <c r="J12" s="389">
        <v>67204</v>
      </c>
      <c r="L12" s="124"/>
    </row>
    <row r="13" spans="1:12" ht="12" customHeight="1">
      <c r="B13" s="654" t="s">
        <v>208</v>
      </c>
      <c r="C13" s="655"/>
      <c r="D13" s="391">
        <v>239420</v>
      </c>
      <c r="E13" s="391">
        <v>216838</v>
      </c>
      <c r="F13" s="403">
        <v>216545</v>
      </c>
      <c r="G13" s="409">
        <v>245532</v>
      </c>
      <c r="H13" s="391">
        <v>227598</v>
      </c>
      <c r="I13" s="387">
        <v>241345</v>
      </c>
      <c r="J13" s="387">
        <v>229453</v>
      </c>
      <c r="L13" s="122"/>
    </row>
    <row r="14" spans="1:12" ht="12" customHeight="1">
      <c r="B14" s="123"/>
      <c r="C14" s="394" t="s">
        <v>125</v>
      </c>
      <c r="D14" s="395">
        <v>41637</v>
      </c>
      <c r="E14" s="396">
        <v>39124</v>
      </c>
      <c r="F14" s="401">
        <v>40290</v>
      </c>
      <c r="G14" s="407">
        <v>43048</v>
      </c>
      <c r="H14" s="389">
        <v>46115</v>
      </c>
      <c r="I14" s="389">
        <v>49285</v>
      </c>
      <c r="J14" s="389">
        <v>44548</v>
      </c>
      <c r="L14" s="124"/>
    </row>
    <row r="15" spans="1:12" ht="12" customHeight="1">
      <c r="B15" s="123"/>
      <c r="C15" s="394" t="s">
        <v>128</v>
      </c>
      <c r="D15" s="395">
        <v>46226</v>
      </c>
      <c r="E15" s="396">
        <v>39469</v>
      </c>
      <c r="F15" s="401">
        <v>39395</v>
      </c>
      <c r="G15" s="407">
        <v>45250</v>
      </c>
      <c r="H15" s="389">
        <v>41665</v>
      </c>
      <c r="I15" s="389">
        <v>42797</v>
      </c>
      <c r="J15" s="389">
        <v>39787</v>
      </c>
      <c r="L15" s="124"/>
    </row>
    <row r="16" spans="1:12" ht="12" customHeight="1">
      <c r="B16" s="123"/>
      <c r="C16" s="394" t="s">
        <v>129</v>
      </c>
      <c r="D16" s="395">
        <v>33692</v>
      </c>
      <c r="E16" s="396">
        <v>29215</v>
      </c>
      <c r="F16" s="401">
        <v>30432</v>
      </c>
      <c r="G16" s="407">
        <v>34727</v>
      </c>
      <c r="H16" s="389">
        <v>29839</v>
      </c>
      <c r="I16" s="389">
        <v>29718</v>
      </c>
      <c r="J16" s="389">
        <v>28894</v>
      </c>
      <c r="L16" s="124"/>
    </row>
    <row r="17" spans="2:12" ht="12" customHeight="1">
      <c r="B17" s="123"/>
      <c r="C17" s="394" t="s">
        <v>132</v>
      </c>
      <c r="D17" s="395">
        <v>50942</v>
      </c>
      <c r="E17" s="396">
        <v>46855</v>
      </c>
      <c r="F17" s="401">
        <v>47066</v>
      </c>
      <c r="G17" s="407">
        <v>49544</v>
      </c>
      <c r="H17" s="389">
        <v>46888</v>
      </c>
      <c r="I17" s="389">
        <v>48893</v>
      </c>
      <c r="J17" s="389">
        <v>48219</v>
      </c>
      <c r="L17" s="124"/>
    </row>
    <row r="18" spans="2:12" ht="12" customHeight="1">
      <c r="B18" s="125"/>
      <c r="C18" s="394" t="s">
        <v>141</v>
      </c>
      <c r="D18" s="395">
        <v>66923</v>
      </c>
      <c r="E18" s="396">
        <v>62175</v>
      </c>
      <c r="F18" s="401">
        <v>59362</v>
      </c>
      <c r="G18" s="407">
        <v>72963</v>
      </c>
      <c r="H18" s="389">
        <v>63091</v>
      </c>
      <c r="I18" s="389">
        <v>70652</v>
      </c>
      <c r="J18" s="389">
        <v>68005</v>
      </c>
      <c r="L18" s="124"/>
    </row>
    <row r="19" spans="2:12" ht="12" customHeight="1">
      <c r="B19" s="654" t="s">
        <v>209</v>
      </c>
      <c r="C19" s="655"/>
      <c r="D19" s="391">
        <v>325550</v>
      </c>
      <c r="E19" s="391">
        <v>298415</v>
      </c>
      <c r="F19" s="403">
        <v>301592</v>
      </c>
      <c r="G19" s="409">
        <v>334725</v>
      </c>
      <c r="H19" s="391">
        <v>312825</v>
      </c>
      <c r="I19" s="387">
        <v>314415</v>
      </c>
      <c r="J19" s="387">
        <v>303406</v>
      </c>
      <c r="L19" s="122"/>
    </row>
    <row r="20" spans="2:12" ht="12" customHeight="1">
      <c r="B20" s="123"/>
      <c r="C20" s="394" t="s">
        <v>123</v>
      </c>
      <c r="D20" s="395">
        <v>51868</v>
      </c>
      <c r="E20" s="397">
        <v>42846</v>
      </c>
      <c r="F20" s="402">
        <v>43374</v>
      </c>
      <c r="G20" s="408">
        <v>50248</v>
      </c>
      <c r="H20" s="390">
        <v>44601</v>
      </c>
      <c r="I20" s="390">
        <v>44829</v>
      </c>
      <c r="J20" s="390">
        <v>43462</v>
      </c>
      <c r="L20" s="124"/>
    </row>
    <row r="21" spans="2:12" ht="12" customHeight="1">
      <c r="B21" s="123"/>
      <c r="C21" s="394" t="s">
        <v>133</v>
      </c>
      <c r="D21" s="395">
        <v>146649</v>
      </c>
      <c r="E21" s="397">
        <v>141029</v>
      </c>
      <c r="F21" s="402">
        <v>142162</v>
      </c>
      <c r="G21" s="408">
        <v>157591</v>
      </c>
      <c r="H21" s="390">
        <v>152303</v>
      </c>
      <c r="I21" s="390">
        <v>155571</v>
      </c>
      <c r="J21" s="390">
        <v>149802</v>
      </c>
      <c r="L21" s="124"/>
    </row>
    <row r="22" spans="2:12" ht="12" customHeight="1">
      <c r="B22" s="123"/>
      <c r="C22" s="394" t="s">
        <v>134</v>
      </c>
      <c r="D22" s="395">
        <v>55203</v>
      </c>
      <c r="E22" s="397">
        <v>49268</v>
      </c>
      <c r="F22" s="402">
        <v>49782</v>
      </c>
      <c r="G22" s="408">
        <v>57618</v>
      </c>
      <c r="H22" s="390">
        <v>53207</v>
      </c>
      <c r="I22" s="390">
        <v>50758</v>
      </c>
      <c r="J22" s="390">
        <v>49182</v>
      </c>
      <c r="L22" s="124"/>
    </row>
    <row r="23" spans="2:12" ht="12" customHeight="1">
      <c r="B23" s="123"/>
      <c r="C23" s="394" t="s">
        <v>137</v>
      </c>
      <c r="D23" s="395">
        <v>32489</v>
      </c>
      <c r="E23" s="397">
        <v>29232</v>
      </c>
      <c r="F23" s="402">
        <v>28917</v>
      </c>
      <c r="G23" s="408">
        <v>28642</v>
      </c>
      <c r="H23" s="390">
        <v>25441</v>
      </c>
      <c r="I23" s="390">
        <v>25582</v>
      </c>
      <c r="J23" s="390">
        <v>24777</v>
      </c>
      <c r="L23" s="124"/>
    </row>
    <row r="24" spans="2:12" ht="12" customHeight="1">
      <c r="B24" s="125"/>
      <c r="C24" s="394" t="s">
        <v>139</v>
      </c>
      <c r="D24" s="395">
        <v>39341</v>
      </c>
      <c r="E24" s="396">
        <v>36040</v>
      </c>
      <c r="F24" s="401">
        <v>37357</v>
      </c>
      <c r="G24" s="407">
        <v>40626</v>
      </c>
      <c r="H24" s="389">
        <v>37273</v>
      </c>
      <c r="I24" s="389">
        <v>37675</v>
      </c>
      <c r="J24" s="389">
        <v>36183</v>
      </c>
      <c r="L24" s="124"/>
    </row>
    <row r="25" spans="2:12" ht="12" customHeight="1">
      <c r="B25" s="654" t="s">
        <v>210</v>
      </c>
      <c r="C25" s="655"/>
      <c r="D25" s="391">
        <v>240631</v>
      </c>
      <c r="E25" s="391">
        <v>219143</v>
      </c>
      <c r="F25" s="403">
        <v>211961</v>
      </c>
      <c r="G25" s="409">
        <v>224664</v>
      </c>
      <c r="H25" s="391">
        <v>207492</v>
      </c>
      <c r="I25" s="387">
        <v>208772</v>
      </c>
      <c r="J25" s="387">
        <v>199706</v>
      </c>
      <c r="L25" s="122"/>
    </row>
    <row r="26" spans="2:12" ht="12" customHeight="1">
      <c r="B26" s="123"/>
      <c r="C26" s="394" t="s">
        <v>135</v>
      </c>
      <c r="D26" s="395">
        <v>48649</v>
      </c>
      <c r="E26" s="396">
        <v>42238</v>
      </c>
      <c r="F26" s="401">
        <v>41428</v>
      </c>
      <c r="G26" s="407">
        <v>44910</v>
      </c>
      <c r="H26" s="389">
        <v>41025</v>
      </c>
      <c r="I26" s="389">
        <v>40426</v>
      </c>
      <c r="J26" s="389">
        <v>40666</v>
      </c>
      <c r="L26" s="124"/>
    </row>
    <row r="27" spans="2:12" ht="12" customHeight="1">
      <c r="B27" s="123"/>
      <c r="C27" s="394" t="s">
        <v>136</v>
      </c>
      <c r="D27" s="395">
        <v>64337</v>
      </c>
      <c r="E27" s="396">
        <v>58375</v>
      </c>
      <c r="F27" s="401">
        <v>56198</v>
      </c>
      <c r="G27" s="407">
        <v>55610</v>
      </c>
      <c r="H27" s="389">
        <v>51028</v>
      </c>
      <c r="I27" s="389">
        <v>49484</v>
      </c>
      <c r="J27" s="389">
        <v>46796</v>
      </c>
      <c r="L27" s="124"/>
    </row>
    <row r="28" spans="2:12" ht="12" customHeight="1">
      <c r="B28" s="123"/>
      <c r="C28" s="394" t="s">
        <v>211</v>
      </c>
      <c r="D28" s="395">
        <v>60047</v>
      </c>
      <c r="E28" s="396">
        <v>55925</v>
      </c>
      <c r="F28" s="401">
        <v>53074</v>
      </c>
      <c r="G28" s="407">
        <v>57030</v>
      </c>
      <c r="H28" s="389">
        <v>51699</v>
      </c>
      <c r="I28" s="389">
        <v>53164</v>
      </c>
      <c r="J28" s="389">
        <v>48358</v>
      </c>
      <c r="L28" s="124"/>
    </row>
    <row r="29" spans="2:12" ht="12" customHeight="1">
      <c r="B29" s="125"/>
      <c r="C29" s="394" t="s">
        <v>144</v>
      </c>
      <c r="D29" s="395">
        <v>67598</v>
      </c>
      <c r="E29" s="397">
        <v>62605</v>
      </c>
      <c r="F29" s="402">
        <v>61261</v>
      </c>
      <c r="G29" s="408">
        <v>67114</v>
      </c>
      <c r="H29" s="390">
        <v>63740</v>
      </c>
      <c r="I29" s="390">
        <v>65698</v>
      </c>
      <c r="J29" s="390">
        <v>63886</v>
      </c>
      <c r="L29" s="124"/>
    </row>
    <row r="30" spans="2:12" ht="12" customHeight="1">
      <c r="B30" s="654" t="s">
        <v>212</v>
      </c>
      <c r="C30" s="655"/>
      <c r="D30" s="387">
        <v>189198</v>
      </c>
      <c r="E30" s="387">
        <v>167966</v>
      </c>
      <c r="F30" s="400">
        <v>172108</v>
      </c>
      <c r="G30" s="406">
        <v>191136</v>
      </c>
      <c r="H30" s="387">
        <v>179884</v>
      </c>
      <c r="I30" s="387">
        <v>192106</v>
      </c>
      <c r="J30" s="387">
        <v>186837</v>
      </c>
      <c r="L30" s="122"/>
    </row>
    <row r="31" spans="2:12" ht="12" customHeight="1">
      <c r="B31" s="123"/>
      <c r="C31" s="394" t="s">
        <v>140</v>
      </c>
      <c r="D31" s="395">
        <v>52989</v>
      </c>
      <c r="E31" s="396">
        <v>44642</v>
      </c>
      <c r="F31" s="401">
        <v>46961</v>
      </c>
      <c r="G31" s="407">
        <v>54095</v>
      </c>
      <c r="H31" s="389">
        <v>53453</v>
      </c>
      <c r="I31" s="389">
        <v>61131</v>
      </c>
      <c r="J31" s="389">
        <v>60609</v>
      </c>
      <c r="L31" s="124"/>
    </row>
    <row r="32" spans="2:12" ht="12" customHeight="1">
      <c r="B32" s="123"/>
      <c r="C32" s="394" t="s">
        <v>142</v>
      </c>
      <c r="D32" s="395">
        <v>42328</v>
      </c>
      <c r="E32" s="397">
        <v>37665</v>
      </c>
      <c r="F32" s="402">
        <v>41138</v>
      </c>
      <c r="G32" s="408">
        <v>45113</v>
      </c>
      <c r="H32" s="390">
        <v>42005</v>
      </c>
      <c r="I32" s="390">
        <v>42485</v>
      </c>
      <c r="J32" s="390">
        <v>42275</v>
      </c>
      <c r="L32" s="124"/>
    </row>
    <row r="33" spans="2:12" ht="12" customHeight="1">
      <c r="B33" s="123"/>
      <c r="C33" s="394" t="s">
        <v>629</v>
      </c>
      <c r="D33" s="395">
        <v>48025</v>
      </c>
      <c r="E33" s="396">
        <v>43589</v>
      </c>
      <c r="F33" s="401">
        <v>43728</v>
      </c>
      <c r="G33" s="407">
        <v>48281</v>
      </c>
      <c r="H33" s="389">
        <v>44111</v>
      </c>
      <c r="I33" s="389">
        <v>45832</v>
      </c>
      <c r="J33" s="389">
        <v>43070</v>
      </c>
      <c r="L33" s="124"/>
    </row>
    <row r="34" spans="2:12" ht="12" customHeight="1">
      <c r="B34" s="125"/>
      <c r="C34" s="394" t="s">
        <v>145</v>
      </c>
      <c r="D34" s="395">
        <v>45856</v>
      </c>
      <c r="E34" s="396">
        <v>42070</v>
      </c>
      <c r="F34" s="401">
        <v>40281</v>
      </c>
      <c r="G34" s="407">
        <v>43647</v>
      </c>
      <c r="H34" s="389">
        <v>40315</v>
      </c>
      <c r="I34" s="389">
        <v>42658</v>
      </c>
      <c r="J34" s="389">
        <v>40883</v>
      </c>
      <c r="L34" s="124"/>
    </row>
    <row r="35" spans="2:12">
      <c r="L35" s="46"/>
    </row>
    <row r="36" spans="2:12" ht="13.5" customHeight="1">
      <c r="B36" s="65"/>
      <c r="C36" s="65" t="s">
        <v>575</v>
      </c>
      <c r="D36" s="66"/>
      <c r="E36" s="65"/>
      <c r="F36" s="65"/>
      <c r="G36" s="65"/>
      <c r="H36" s="126"/>
      <c r="I36" s="126"/>
      <c r="J36" s="126"/>
    </row>
    <row r="37" spans="2:12" ht="13.5" customHeight="1">
      <c r="C37" s="65"/>
      <c r="D37" s="66"/>
      <c r="E37" s="65"/>
      <c r="F37" s="65"/>
      <c r="G37" s="65"/>
      <c r="H37" s="126"/>
      <c r="I37" s="126"/>
      <c r="J37" s="126"/>
    </row>
    <row r="38" spans="2:12" ht="13.5" customHeight="1">
      <c r="B38" s="65"/>
      <c r="C38" s="65"/>
      <c r="D38" s="66"/>
      <c r="E38" s="65"/>
      <c r="F38" s="65"/>
      <c r="G38" s="65"/>
      <c r="H38" s="126"/>
      <c r="I38" s="126"/>
      <c r="J38" s="126"/>
    </row>
    <row r="39" spans="2:12" ht="13.5" customHeight="1">
      <c r="B39" s="65"/>
      <c r="C39" s="65"/>
      <c r="D39" s="66"/>
      <c r="E39" s="65"/>
      <c r="F39" s="65"/>
      <c r="G39" s="65"/>
      <c r="H39" s="126"/>
      <c r="I39" s="126"/>
      <c r="J39" s="126"/>
    </row>
    <row r="40" spans="2:12" ht="13.5" customHeight="1">
      <c r="B40" s="65"/>
      <c r="C40" s="65"/>
      <c r="D40" s="66"/>
      <c r="E40" s="65"/>
      <c r="F40" s="65"/>
      <c r="G40" s="65"/>
      <c r="H40" s="126"/>
      <c r="I40" s="126"/>
      <c r="J40" s="126"/>
    </row>
    <row r="41" spans="2:12" ht="13.5" customHeight="1">
      <c r="B41" s="65"/>
      <c r="J41" s="127"/>
    </row>
    <row r="42" spans="2:12" ht="13.5" customHeight="1">
      <c r="J42" s="126"/>
    </row>
  </sheetData>
  <mergeCells count="6">
    <mergeCell ref="B19:C19"/>
    <mergeCell ref="B25:C25"/>
    <mergeCell ref="B30:C30"/>
    <mergeCell ref="B5:C5"/>
    <mergeCell ref="B6:C6"/>
    <mergeCell ref="B13:C13"/>
  </mergeCells>
  <phoneticPr fontId="8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zoomScaleNormal="100" workbookViewId="0"/>
  </sheetViews>
  <sheetFormatPr defaultRowHeight="13.5"/>
  <cols>
    <col min="1" max="1" width="1.625" style="21" customWidth="1"/>
    <col min="2" max="2" width="1" style="21" customWidth="1"/>
    <col min="3" max="3" width="14.125" style="134" customWidth="1"/>
    <col min="4" max="4" width="7.625" style="21" customWidth="1"/>
    <col min="5" max="5" width="5.625" style="21" customWidth="1"/>
    <col min="6" max="6" width="7.625" style="21" customWidth="1"/>
    <col min="7" max="7" width="5.625" style="21" customWidth="1"/>
    <col min="8" max="8" width="7.625" style="21" customWidth="1"/>
    <col min="9" max="9" width="5.625" style="21" customWidth="1"/>
    <col min="10" max="11" width="2.625" style="21" customWidth="1"/>
  </cols>
  <sheetData>
    <row r="1" spans="1:11" ht="14.25">
      <c r="A1" s="40" t="s">
        <v>253</v>
      </c>
      <c r="B1" s="41"/>
      <c r="C1" s="41"/>
      <c r="D1" s="42"/>
      <c r="E1" s="42"/>
      <c r="F1" s="42"/>
      <c r="G1" s="42"/>
      <c r="H1" s="42"/>
      <c r="I1" s="42"/>
      <c r="J1" s="41"/>
      <c r="K1" s="41"/>
    </row>
    <row r="2" spans="1:11" ht="14.25">
      <c r="A2" s="128"/>
      <c r="B2" s="50"/>
      <c r="C2" s="129"/>
      <c r="D2" s="50"/>
      <c r="E2" s="50"/>
      <c r="F2" s="50"/>
      <c r="G2" s="50"/>
      <c r="H2" s="50"/>
      <c r="I2" s="50"/>
      <c r="J2" s="50"/>
      <c r="K2" s="50"/>
    </row>
    <row r="3" spans="1:11">
      <c r="A3" s="44"/>
      <c r="B3" s="65"/>
      <c r="C3" s="65" t="s">
        <v>146</v>
      </c>
      <c r="D3" s="130"/>
      <c r="E3" s="130"/>
      <c r="F3" s="130"/>
      <c r="G3" s="130"/>
      <c r="H3" s="130"/>
      <c r="I3" s="130" t="s">
        <v>214</v>
      </c>
      <c r="J3" s="44"/>
      <c r="K3" s="44"/>
    </row>
    <row r="4" spans="1:11" ht="12" customHeight="1">
      <c r="A4" s="50"/>
      <c r="B4" s="53"/>
      <c r="C4" s="131"/>
      <c r="D4" s="659" t="s">
        <v>204</v>
      </c>
      <c r="E4" s="659"/>
      <c r="F4" s="659" t="s">
        <v>205</v>
      </c>
      <c r="G4" s="659"/>
      <c r="H4" s="659" t="s">
        <v>30</v>
      </c>
      <c r="I4" s="659"/>
      <c r="J4" s="50"/>
      <c r="K4" s="50"/>
    </row>
    <row r="5" spans="1:11" ht="12" customHeight="1">
      <c r="A5" s="50"/>
      <c r="B5" s="132"/>
      <c r="C5" s="133"/>
      <c r="D5" s="613" t="s">
        <v>86</v>
      </c>
      <c r="E5" s="613" t="s">
        <v>219</v>
      </c>
      <c r="F5" s="613" t="s">
        <v>86</v>
      </c>
      <c r="G5" s="613" t="s">
        <v>219</v>
      </c>
      <c r="H5" s="613" t="s">
        <v>86</v>
      </c>
      <c r="I5" s="613" t="s">
        <v>219</v>
      </c>
      <c r="J5" s="50"/>
      <c r="K5" s="50"/>
    </row>
    <row r="6" spans="1:11" ht="12" customHeight="1">
      <c r="A6" s="50"/>
      <c r="B6" s="416" t="s">
        <v>220</v>
      </c>
      <c r="C6" s="418"/>
      <c r="D6" s="415">
        <v>14360</v>
      </c>
      <c r="E6" s="264">
        <v>100</v>
      </c>
      <c r="F6" s="415">
        <v>18467</v>
      </c>
      <c r="G6" s="264">
        <v>100</v>
      </c>
      <c r="H6" s="415">
        <v>16574</v>
      </c>
      <c r="I6" s="264">
        <v>100</v>
      </c>
      <c r="J6" s="50"/>
      <c r="K6" s="50"/>
    </row>
    <row r="7" spans="1:11" ht="12" customHeight="1">
      <c r="A7" s="50"/>
      <c r="B7" s="419" t="s">
        <v>221</v>
      </c>
      <c r="C7" s="418"/>
      <c r="D7" s="415">
        <v>5773</v>
      </c>
      <c r="E7" s="264">
        <v>40.201949860724234</v>
      </c>
      <c r="F7" s="415">
        <v>7258</v>
      </c>
      <c r="G7" s="264">
        <v>39.302539665349002</v>
      </c>
      <c r="H7" s="415">
        <v>6653</v>
      </c>
      <c r="I7" s="264">
        <v>40.14118498853626</v>
      </c>
      <c r="J7" s="50"/>
      <c r="K7" s="50"/>
    </row>
    <row r="8" spans="1:11" ht="12" customHeight="1">
      <c r="A8" s="50"/>
      <c r="B8" s="416"/>
      <c r="C8" s="418" t="s">
        <v>222</v>
      </c>
      <c r="D8" s="415">
        <v>165</v>
      </c>
      <c r="E8" s="264">
        <v>1.149025069637883</v>
      </c>
      <c r="F8" s="415">
        <v>200</v>
      </c>
      <c r="G8" s="264">
        <v>1.083012942004657</v>
      </c>
      <c r="H8" s="415">
        <v>184</v>
      </c>
      <c r="I8" s="264">
        <v>1.110172559430433</v>
      </c>
      <c r="J8" s="50"/>
      <c r="K8" s="50"/>
    </row>
    <row r="9" spans="1:11" ht="12" customHeight="1">
      <c r="A9" s="50"/>
      <c r="B9" s="416"/>
      <c r="C9" s="418" t="s">
        <v>223</v>
      </c>
      <c r="D9" s="415">
        <v>587</v>
      </c>
      <c r="E9" s="264">
        <v>4.0877437325905293</v>
      </c>
      <c r="F9" s="415">
        <v>667</v>
      </c>
      <c r="G9" s="264">
        <v>3.6118481615855313</v>
      </c>
      <c r="H9" s="415">
        <v>650</v>
      </c>
      <c r="I9" s="264">
        <v>3.9218052371183783</v>
      </c>
      <c r="J9" s="50"/>
      <c r="K9" s="50"/>
    </row>
    <row r="10" spans="1:11" ht="12" customHeight="1">
      <c r="A10" s="50"/>
      <c r="B10" s="416"/>
      <c r="C10" s="418" t="s">
        <v>224</v>
      </c>
      <c r="D10" s="415">
        <v>278</v>
      </c>
      <c r="E10" s="264">
        <v>1.9359331476323121</v>
      </c>
      <c r="F10" s="415">
        <v>585</v>
      </c>
      <c r="G10" s="264">
        <v>3.1678128553636213</v>
      </c>
      <c r="H10" s="415">
        <v>511</v>
      </c>
      <c r="I10" s="264">
        <v>3.0831422710269099</v>
      </c>
      <c r="J10" s="50"/>
      <c r="K10" s="50"/>
    </row>
    <row r="11" spans="1:11" ht="12" customHeight="1">
      <c r="A11" s="50"/>
      <c r="B11" s="416"/>
      <c r="C11" s="418" t="s">
        <v>225</v>
      </c>
      <c r="D11" s="415">
        <v>20</v>
      </c>
      <c r="E11" s="264">
        <v>0.1392757660167131</v>
      </c>
      <c r="F11" s="415">
        <v>34</v>
      </c>
      <c r="G11" s="264">
        <v>0.18411220014079169</v>
      </c>
      <c r="H11" s="415">
        <v>30</v>
      </c>
      <c r="I11" s="264">
        <v>0.18100639555930978</v>
      </c>
      <c r="J11" s="50"/>
      <c r="K11" s="50"/>
    </row>
    <row r="12" spans="1:11" ht="12" customHeight="1">
      <c r="A12" s="50"/>
      <c r="B12" s="416"/>
      <c r="C12" s="418" t="s">
        <v>226</v>
      </c>
      <c r="D12" s="415">
        <v>795</v>
      </c>
      <c r="E12" s="264">
        <v>5.5362116991643449</v>
      </c>
      <c r="F12" s="415">
        <v>1000</v>
      </c>
      <c r="G12" s="264">
        <v>5.4150647100232847</v>
      </c>
      <c r="H12" s="415">
        <v>912</v>
      </c>
      <c r="I12" s="264">
        <v>5.502594425003017</v>
      </c>
      <c r="J12" s="50"/>
      <c r="K12" s="50"/>
    </row>
    <row r="13" spans="1:11" ht="12" customHeight="1">
      <c r="A13" s="50"/>
      <c r="B13" s="416"/>
      <c r="C13" s="418" t="s">
        <v>227</v>
      </c>
      <c r="D13" s="415">
        <v>306</v>
      </c>
      <c r="E13" s="264">
        <v>2.1309192200557101</v>
      </c>
      <c r="F13" s="415">
        <v>363</v>
      </c>
      <c r="G13" s="264">
        <v>1.9656684897384524</v>
      </c>
      <c r="H13" s="415">
        <v>333</v>
      </c>
      <c r="I13" s="264">
        <v>2.0091709907083382</v>
      </c>
      <c r="J13" s="50"/>
      <c r="K13" s="50"/>
    </row>
    <row r="14" spans="1:11" ht="12" customHeight="1">
      <c r="A14" s="50"/>
      <c r="B14" s="416"/>
      <c r="C14" s="418" t="s">
        <v>228</v>
      </c>
      <c r="D14" s="415">
        <v>192</v>
      </c>
      <c r="E14" s="264">
        <v>1.3370473537604457</v>
      </c>
      <c r="F14" s="415">
        <v>266</v>
      </c>
      <c r="G14" s="264">
        <v>1.4404072128661938</v>
      </c>
      <c r="H14" s="415">
        <v>215</v>
      </c>
      <c r="I14" s="264">
        <v>1.2972125015083866</v>
      </c>
      <c r="J14" s="50"/>
      <c r="K14" s="50"/>
    </row>
    <row r="15" spans="1:11" ht="12" customHeight="1">
      <c r="A15" s="50"/>
      <c r="B15" s="416"/>
      <c r="C15" s="418" t="s">
        <v>229</v>
      </c>
      <c r="D15" s="415">
        <v>446</v>
      </c>
      <c r="E15" s="264">
        <v>3.1058495821727017</v>
      </c>
      <c r="F15" s="415">
        <v>542</v>
      </c>
      <c r="G15" s="264">
        <v>2.9349650728326204</v>
      </c>
      <c r="H15" s="415">
        <v>500</v>
      </c>
      <c r="I15" s="264">
        <v>3.0167732593218295</v>
      </c>
      <c r="J15" s="50"/>
      <c r="K15" s="50"/>
    </row>
    <row r="16" spans="1:11" ht="12" customHeight="1">
      <c r="A16" s="50"/>
      <c r="B16" s="416"/>
      <c r="C16" s="418" t="s">
        <v>230</v>
      </c>
      <c r="D16" s="415">
        <v>251</v>
      </c>
      <c r="E16" s="264">
        <v>1.7479108635097491</v>
      </c>
      <c r="F16" s="415">
        <v>277</v>
      </c>
      <c r="G16" s="264">
        <v>1.4999729246764499</v>
      </c>
      <c r="H16" s="415">
        <v>232</v>
      </c>
      <c r="I16" s="264">
        <v>1.399782792325329</v>
      </c>
      <c r="J16" s="50"/>
      <c r="K16" s="50"/>
    </row>
    <row r="17" spans="1:11" ht="12" customHeight="1">
      <c r="A17" s="50"/>
      <c r="B17" s="416"/>
      <c r="C17" s="418" t="s">
        <v>231</v>
      </c>
      <c r="D17" s="415">
        <v>2733</v>
      </c>
      <c r="E17" s="264">
        <v>19.032033426183844</v>
      </c>
      <c r="F17" s="415">
        <v>3324</v>
      </c>
      <c r="G17" s="264">
        <v>17.9996750961174</v>
      </c>
      <c r="H17" s="415">
        <v>3086</v>
      </c>
      <c r="I17" s="264">
        <v>18.61952455653433</v>
      </c>
      <c r="J17" s="50"/>
      <c r="K17" s="50"/>
    </row>
    <row r="18" spans="1:11" ht="12" customHeight="1">
      <c r="A18" s="50"/>
      <c r="B18" s="419" t="s">
        <v>232</v>
      </c>
      <c r="C18" s="418"/>
      <c r="D18" s="415">
        <v>3041</v>
      </c>
      <c r="E18" s="264">
        <v>21.176880222841227</v>
      </c>
      <c r="F18" s="415">
        <v>4016</v>
      </c>
      <c r="G18" s="264">
        <v>21.746899875453511</v>
      </c>
      <c r="H18" s="415">
        <v>3642</v>
      </c>
      <c r="I18" s="264">
        <v>21.974176420900204</v>
      </c>
      <c r="J18" s="50"/>
      <c r="K18" s="50"/>
    </row>
    <row r="19" spans="1:11" ht="12" customHeight="1">
      <c r="A19" s="50"/>
      <c r="B19" s="416"/>
      <c r="C19" s="418" t="s">
        <v>233</v>
      </c>
      <c r="D19" s="415">
        <v>595</v>
      </c>
      <c r="E19" s="264">
        <v>4.1434540389972145</v>
      </c>
      <c r="F19" s="415">
        <v>892</v>
      </c>
      <c r="G19" s="264">
        <v>4.8302377213407706</v>
      </c>
      <c r="H19" s="415">
        <v>753</v>
      </c>
      <c r="I19" s="264">
        <v>4.5432605285386751</v>
      </c>
      <c r="J19" s="50"/>
      <c r="K19" s="50"/>
    </row>
    <row r="20" spans="1:11" ht="12" customHeight="1">
      <c r="A20" s="50"/>
      <c r="B20" s="416"/>
      <c r="C20" s="418" t="s">
        <v>234</v>
      </c>
      <c r="D20" s="415">
        <v>1268</v>
      </c>
      <c r="E20" s="264">
        <v>8.8300835654596099</v>
      </c>
      <c r="F20" s="415">
        <v>1489</v>
      </c>
      <c r="G20" s="264">
        <v>8.0630313532246713</v>
      </c>
      <c r="H20" s="415">
        <v>1400</v>
      </c>
      <c r="I20" s="264">
        <v>8.4469651261011212</v>
      </c>
      <c r="J20" s="50"/>
      <c r="K20" s="50"/>
    </row>
    <row r="21" spans="1:11" ht="12" customHeight="1">
      <c r="A21" s="50"/>
      <c r="B21" s="416"/>
      <c r="C21" s="418" t="s">
        <v>235</v>
      </c>
      <c r="D21" s="415">
        <v>196</v>
      </c>
      <c r="E21" s="264">
        <v>1.3649025069637883</v>
      </c>
      <c r="F21" s="415">
        <v>293</v>
      </c>
      <c r="G21" s="264">
        <v>1.5866139600368225</v>
      </c>
      <c r="H21" s="415">
        <v>284</v>
      </c>
      <c r="I21" s="264">
        <v>1.713527211294799</v>
      </c>
      <c r="J21" s="50"/>
      <c r="K21" s="50"/>
    </row>
    <row r="22" spans="1:11" ht="12" customHeight="1">
      <c r="A22" s="50"/>
      <c r="B22" s="416"/>
      <c r="C22" s="418" t="s">
        <v>236</v>
      </c>
      <c r="D22" s="415">
        <v>123</v>
      </c>
      <c r="E22" s="264">
        <v>0.85654596100278557</v>
      </c>
      <c r="F22" s="415">
        <v>177</v>
      </c>
      <c r="G22" s="264">
        <v>0.95846645367412142</v>
      </c>
      <c r="H22" s="415">
        <v>148</v>
      </c>
      <c r="I22" s="264">
        <v>0.89296488475926139</v>
      </c>
      <c r="J22" s="50"/>
      <c r="K22" s="50"/>
    </row>
    <row r="23" spans="1:11" ht="12" customHeight="1">
      <c r="A23" s="50"/>
      <c r="B23" s="416"/>
      <c r="C23" s="418" t="s">
        <v>237</v>
      </c>
      <c r="D23" s="415">
        <v>582</v>
      </c>
      <c r="E23" s="264">
        <v>4.0529247910863511</v>
      </c>
      <c r="F23" s="415">
        <v>748</v>
      </c>
      <c r="G23" s="264">
        <v>4.0504684030974163</v>
      </c>
      <c r="H23" s="415">
        <v>645</v>
      </c>
      <c r="I23" s="264">
        <v>3.8916375045251597</v>
      </c>
      <c r="J23" s="50"/>
      <c r="K23" s="50"/>
    </row>
    <row r="24" spans="1:11" ht="12" customHeight="1">
      <c r="A24" s="50"/>
      <c r="B24" s="416"/>
      <c r="C24" s="418" t="s">
        <v>238</v>
      </c>
      <c r="D24" s="415">
        <v>31</v>
      </c>
      <c r="E24" s="264">
        <v>0.21587743732590531</v>
      </c>
      <c r="F24" s="415">
        <v>73</v>
      </c>
      <c r="G24" s="264">
        <v>0.39529972383169976</v>
      </c>
      <c r="H24" s="415">
        <v>69</v>
      </c>
      <c r="I24" s="264">
        <v>0.41631470978641244</v>
      </c>
      <c r="J24" s="50"/>
      <c r="K24" s="50"/>
    </row>
    <row r="25" spans="1:11" ht="12" customHeight="1">
      <c r="A25" s="50"/>
      <c r="B25" s="416"/>
      <c r="C25" s="418" t="s">
        <v>239</v>
      </c>
      <c r="D25" s="415">
        <v>246</v>
      </c>
      <c r="E25" s="264">
        <v>1.7130919220055711</v>
      </c>
      <c r="F25" s="415">
        <v>344</v>
      </c>
      <c r="G25" s="264">
        <v>1.86278226024801</v>
      </c>
      <c r="H25" s="415">
        <v>343</v>
      </c>
      <c r="I25" s="264">
        <v>2.0695064558947749</v>
      </c>
      <c r="J25" s="50"/>
      <c r="K25" s="50"/>
    </row>
    <row r="26" spans="1:11" ht="12" customHeight="1">
      <c r="A26" s="50"/>
      <c r="B26" s="419" t="s">
        <v>240</v>
      </c>
      <c r="C26" s="418"/>
      <c r="D26" s="415">
        <v>5546</v>
      </c>
      <c r="E26" s="264">
        <v>38.621169916434539</v>
      </c>
      <c r="F26" s="415">
        <v>7193</v>
      </c>
      <c r="G26" s="264">
        <v>38.950560459197483</v>
      </c>
      <c r="H26" s="415">
        <v>6263</v>
      </c>
      <c r="I26" s="264">
        <v>37.788101846265235</v>
      </c>
      <c r="J26" s="50"/>
      <c r="K26" s="50"/>
    </row>
    <row r="27" spans="1:11" ht="12" customHeight="1">
      <c r="A27" s="50"/>
      <c r="B27" s="416"/>
      <c r="C27" s="418" t="s">
        <v>241</v>
      </c>
      <c r="D27" s="415">
        <v>596</v>
      </c>
      <c r="E27" s="264">
        <v>4.1504178272980505</v>
      </c>
      <c r="F27" s="415">
        <v>881</v>
      </c>
      <c r="G27" s="264">
        <v>4.7706720095305144</v>
      </c>
      <c r="H27" s="415">
        <v>783</v>
      </c>
      <c r="I27" s="264">
        <v>4.7242669240979849</v>
      </c>
      <c r="J27" s="50"/>
      <c r="K27" s="50"/>
    </row>
    <row r="28" spans="1:11" ht="12" customHeight="1">
      <c r="A28" s="50"/>
      <c r="B28" s="416"/>
      <c r="C28" s="418" t="s">
        <v>242</v>
      </c>
      <c r="D28" s="415">
        <v>27</v>
      </c>
      <c r="E28" s="264">
        <v>0.18802228412256267</v>
      </c>
      <c r="F28" s="415">
        <v>54</v>
      </c>
      <c r="G28" s="264">
        <v>0.29241349434125741</v>
      </c>
      <c r="H28" s="415">
        <v>51</v>
      </c>
      <c r="I28" s="264">
        <v>0.30771087245082662</v>
      </c>
      <c r="J28" s="50"/>
      <c r="K28" s="50"/>
    </row>
    <row r="29" spans="1:11" ht="12" customHeight="1">
      <c r="A29" s="50"/>
      <c r="B29" s="416"/>
      <c r="C29" s="418" t="s">
        <v>243</v>
      </c>
      <c r="D29" s="415">
        <v>1300</v>
      </c>
      <c r="E29" s="264">
        <v>9.0529247910863511</v>
      </c>
      <c r="F29" s="415">
        <v>1677</v>
      </c>
      <c r="G29" s="264">
        <v>9.0810635187090476</v>
      </c>
      <c r="H29" s="415">
        <v>1417</v>
      </c>
      <c r="I29" s="264">
        <v>8.5495354169180651</v>
      </c>
      <c r="J29" s="50"/>
      <c r="K29" s="50"/>
    </row>
    <row r="30" spans="1:11" ht="12" customHeight="1">
      <c r="A30" s="50"/>
      <c r="B30" s="416"/>
      <c r="C30" s="418" t="s">
        <v>244</v>
      </c>
      <c r="D30" s="415">
        <v>378</v>
      </c>
      <c r="E30" s="264">
        <v>2.6323119777158772</v>
      </c>
      <c r="F30" s="415">
        <v>479</v>
      </c>
      <c r="G30" s="264">
        <v>2.5938159961011533</v>
      </c>
      <c r="H30" s="415">
        <v>417</v>
      </c>
      <c r="I30" s="264">
        <v>2.5159888982744056</v>
      </c>
      <c r="J30" s="50"/>
      <c r="K30" s="50"/>
    </row>
    <row r="31" spans="1:11" ht="12" customHeight="1">
      <c r="A31" s="50"/>
      <c r="B31" s="416"/>
      <c r="C31" s="418" t="s">
        <v>245</v>
      </c>
      <c r="D31" s="415">
        <v>2017</v>
      </c>
      <c r="E31" s="264">
        <v>14.045961002785514</v>
      </c>
      <c r="F31" s="415">
        <v>2465</v>
      </c>
      <c r="G31" s="264">
        <v>13.348134510207396</v>
      </c>
      <c r="H31" s="415">
        <v>2156</v>
      </c>
      <c r="I31" s="264">
        <v>13.008326294195729</v>
      </c>
      <c r="J31" s="50"/>
      <c r="K31" s="50"/>
    </row>
    <row r="32" spans="1:11" ht="12" customHeight="1">
      <c r="A32" s="50"/>
      <c r="B32" s="416"/>
      <c r="C32" s="418" t="s">
        <v>246</v>
      </c>
      <c r="D32" s="415">
        <v>431</v>
      </c>
      <c r="E32" s="264">
        <v>3.0013927576601671</v>
      </c>
      <c r="F32" s="415">
        <v>501</v>
      </c>
      <c r="G32" s="264">
        <v>2.7129474197216656</v>
      </c>
      <c r="H32" s="415">
        <v>448</v>
      </c>
      <c r="I32" s="264">
        <v>2.7030288403523595</v>
      </c>
      <c r="J32" s="50"/>
      <c r="K32" s="50"/>
    </row>
    <row r="33" spans="1:11" ht="12" customHeight="1">
      <c r="A33" s="50"/>
      <c r="B33" s="417"/>
      <c r="C33" s="418" t="s">
        <v>247</v>
      </c>
      <c r="D33" s="415">
        <v>797</v>
      </c>
      <c r="E33" s="264">
        <v>5.5501392757660168</v>
      </c>
      <c r="F33" s="415">
        <v>1136</v>
      </c>
      <c r="G33" s="264">
        <v>6.1515135105864518</v>
      </c>
      <c r="H33" s="415">
        <v>991</v>
      </c>
      <c r="I33" s="264">
        <v>5.9792445999758659</v>
      </c>
      <c r="J33" s="50"/>
      <c r="K33" s="50"/>
    </row>
    <row r="34" spans="1:11" ht="12" customHeight="1"/>
    <row r="35" spans="1:11" ht="12" customHeight="1">
      <c r="A35" s="44"/>
      <c r="B35" s="49"/>
      <c r="C35" s="49" t="s">
        <v>147</v>
      </c>
      <c r="D35" s="660" t="s">
        <v>718</v>
      </c>
      <c r="E35" s="660"/>
      <c r="F35" s="660"/>
      <c r="G35" s="660"/>
      <c r="H35" s="660"/>
      <c r="I35" s="660"/>
      <c r="J35" s="44"/>
      <c r="K35" s="44"/>
    </row>
    <row r="36" spans="1:11" ht="12" customHeight="1">
      <c r="A36" s="50"/>
      <c r="B36" s="53"/>
      <c r="C36" s="131"/>
      <c r="D36" s="659" t="s">
        <v>204</v>
      </c>
      <c r="E36" s="659"/>
      <c r="F36" s="659" t="s">
        <v>205</v>
      </c>
      <c r="G36" s="659"/>
      <c r="H36" s="659" t="s">
        <v>30</v>
      </c>
      <c r="I36" s="659"/>
      <c r="J36" s="50"/>
      <c r="K36" s="50"/>
    </row>
    <row r="37" spans="1:11" ht="12" customHeight="1">
      <c r="A37" s="50"/>
      <c r="B37" s="132"/>
      <c r="C37" s="133"/>
      <c r="D37" s="613" t="s">
        <v>86</v>
      </c>
      <c r="E37" s="613" t="s">
        <v>219</v>
      </c>
      <c r="F37" s="613" t="s">
        <v>86</v>
      </c>
      <c r="G37" s="613" t="s">
        <v>219</v>
      </c>
      <c r="H37" s="613" t="s">
        <v>86</v>
      </c>
      <c r="I37" s="613" t="s">
        <v>219</v>
      </c>
      <c r="J37" s="50"/>
      <c r="K37" s="50"/>
    </row>
    <row r="38" spans="1:11" ht="12" customHeight="1">
      <c r="A38" s="50"/>
      <c r="B38" s="416" t="s">
        <v>220</v>
      </c>
      <c r="C38" s="418"/>
      <c r="D38" s="415">
        <v>145850</v>
      </c>
      <c r="E38" s="264">
        <v>100</v>
      </c>
      <c r="F38" s="415">
        <v>228246</v>
      </c>
      <c r="G38" s="264">
        <v>100</v>
      </c>
      <c r="H38" s="415">
        <v>199334</v>
      </c>
      <c r="I38" s="264">
        <v>100</v>
      </c>
      <c r="J38" s="50"/>
      <c r="K38" s="50"/>
    </row>
    <row r="39" spans="1:11" ht="12" customHeight="1">
      <c r="A39" s="50"/>
      <c r="B39" s="419" t="s">
        <v>221</v>
      </c>
      <c r="C39" s="418"/>
      <c r="D39" s="415">
        <v>63265</v>
      </c>
      <c r="E39" s="264">
        <v>43.376756942063764</v>
      </c>
      <c r="F39" s="415">
        <v>97206</v>
      </c>
      <c r="G39" s="264">
        <v>42.588260035225147</v>
      </c>
      <c r="H39" s="415">
        <v>83017</v>
      </c>
      <c r="I39" s="264">
        <v>41.64718512647115</v>
      </c>
      <c r="J39" s="50"/>
      <c r="K39" s="50"/>
    </row>
    <row r="40" spans="1:11" ht="12" customHeight="1">
      <c r="A40" s="50"/>
      <c r="B40" s="416"/>
      <c r="C40" s="418" t="s">
        <v>222</v>
      </c>
      <c r="D40" s="415">
        <v>1071</v>
      </c>
      <c r="E40" s="264">
        <v>0.73431607816249567</v>
      </c>
      <c r="F40" s="415">
        <v>1626</v>
      </c>
      <c r="G40" s="264">
        <v>0.71238926421492599</v>
      </c>
      <c r="H40" s="415">
        <v>1173</v>
      </c>
      <c r="I40" s="264">
        <v>0.58845957036932983</v>
      </c>
      <c r="J40" s="50"/>
      <c r="K40" s="50"/>
    </row>
    <row r="41" spans="1:11" ht="12" customHeight="1">
      <c r="A41" s="50"/>
      <c r="B41" s="416"/>
      <c r="C41" s="418" t="s">
        <v>223</v>
      </c>
      <c r="D41" s="415">
        <v>4985</v>
      </c>
      <c r="E41" s="264">
        <v>3.4178950977031199</v>
      </c>
      <c r="F41" s="415">
        <v>6936</v>
      </c>
      <c r="G41" s="264">
        <v>3.0388265292710495</v>
      </c>
      <c r="H41" s="415">
        <v>5699</v>
      </c>
      <c r="I41" s="264">
        <v>2.8590205383928482</v>
      </c>
      <c r="J41" s="50"/>
      <c r="K41" s="50"/>
    </row>
    <row r="42" spans="1:11" ht="12" customHeight="1">
      <c r="A42" s="50"/>
      <c r="B42" s="416"/>
      <c r="C42" s="418" t="s">
        <v>224</v>
      </c>
      <c r="D42" s="415">
        <v>12863</v>
      </c>
      <c r="E42" s="264">
        <v>8.8193349331504969</v>
      </c>
      <c r="F42" s="415">
        <v>29588</v>
      </c>
      <c r="G42" s="264">
        <v>12.963206365062257</v>
      </c>
      <c r="H42" s="415">
        <v>23125</v>
      </c>
      <c r="I42" s="264">
        <v>11.60113176879007</v>
      </c>
      <c r="J42" s="50"/>
      <c r="K42" s="50"/>
    </row>
    <row r="43" spans="1:11" ht="12" customHeight="1">
      <c r="A43" s="50"/>
      <c r="B43" s="416"/>
      <c r="C43" s="418" t="s">
        <v>225</v>
      </c>
      <c r="D43" s="415">
        <v>251</v>
      </c>
      <c r="E43" s="264">
        <v>0.17209461775797052</v>
      </c>
      <c r="F43" s="415">
        <v>375</v>
      </c>
      <c r="G43" s="264">
        <v>0.16429641702373754</v>
      </c>
      <c r="H43" s="415">
        <v>305</v>
      </c>
      <c r="I43" s="264">
        <v>0.15300952170728524</v>
      </c>
      <c r="J43" s="50"/>
      <c r="K43" s="50"/>
    </row>
    <row r="44" spans="1:11" ht="12" customHeight="1">
      <c r="A44" s="50"/>
      <c r="B44" s="416"/>
      <c r="C44" s="418" t="s">
        <v>226</v>
      </c>
      <c r="D44" s="415">
        <v>6888</v>
      </c>
      <c r="E44" s="264">
        <v>4.7226602673980116</v>
      </c>
      <c r="F44" s="415">
        <v>11190</v>
      </c>
      <c r="G44" s="264">
        <v>4.9026050839883286</v>
      </c>
      <c r="H44" s="415">
        <v>9770</v>
      </c>
      <c r="I44" s="264">
        <v>4.9013214002628747</v>
      </c>
      <c r="J44" s="50"/>
      <c r="K44" s="50"/>
    </row>
    <row r="45" spans="1:11" ht="12" customHeight="1">
      <c r="A45" s="50"/>
      <c r="B45" s="416"/>
      <c r="C45" s="418" t="s">
        <v>227</v>
      </c>
      <c r="D45" s="415">
        <v>2455</v>
      </c>
      <c r="E45" s="264">
        <v>1.6832362015769626</v>
      </c>
      <c r="F45" s="415">
        <v>2978</v>
      </c>
      <c r="G45" s="264">
        <v>1.3047326130578412</v>
      </c>
      <c r="H45" s="415">
        <v>2703</v>
      </c>
      <c r="I45" s="264">
        <v>1.3560155317206297</v>
      </c>
      <c r="J45" s="50"/>
      <c r="K45" s="50"/>
    </row>
    <row r="46" spans="1:11" ht="12" customHeight="1">
      <c r="A46" s="50"/>
      <c r="B46" s="416"/>
      <c r="C46" s="418" t="s">
        <v>228</v>
      </c>
      <c r="D46" s="415">
        <v>1831</v>
      </c>
      <c r="E46" s="264">
        <v>1.2553993829276653</v>
      </c>
      <c r="F46" s="415">
        <v>2776</v>
      </c>
      <c r="G46" s="264">
        <v>1.2162316097543879</v>
      </c>
      <c r="H46" s="415">
        <v>2318</v>
      </c>
      <c r="I46" s="264">
        <v>1.1628723649753681</v>
      </c>
      <c r="J46" s="50"/>
      <c r="K46" s="50"/>
    </row>
    <row r="47" spans="1:11" ht="12" customHeight="1">
      <c r="A47" s="50"/>
      <c r="B47" s="416"/>
      <c r="C47" s="418" t="s">
        <v>229</v>
      </c>
      <c r="D47" s="415">
        <v>6929</v>
      </c>
      <c r="E47" s="264">
        <v>4.7507713404182379</v>
      </c>
      <c r="F47" s="415">
        <v>8413</v>
      </c>
      <c r="G47" s="264">
        <v>3.6859353504552104</v>
      </c>
      <c r="H47" s="415">
        <v>7565</v>
      </c>
      <c r="I47" s="264">
        <v>3.7951378089036494</v>
      </c>
      <c r="J47" s="50"/>
      <c r="K47" s="50"/>
    </row>
    <row r="48" spans="1:11" ht="12" customHeight="1">
      <c r="A48" s="50"/>
      <c r="B48" s="416"/>
      <c r="C48" s="418" t="s">
        <v>230</v>
      </c>
      <c r="D48" s="415">
        <v>3407</v>
      </c>
      <c r="E48" s="264">
        <v>2.33596160438807</v>
      </c>
      <c r="F48" s="415">
        <v>4378</v>
      </c>
      <c r="G48" s="264">
        <v>1.9181059032797945</v>
      </c>
      <c r="H48" s="415">
        <v>3434</v>
      </c>
      <c r="I48" s="264">
        <v>1.7227367132551397</v>
      </c>
      <c r="J48" s="50"/>
      <c r="K48" s="50"/>
    </row>
    <row r="49" spans="1:11" ht="12" customHeight="1">
      <c r="A49" s="50"/>
      <c r="B49" s="416"/>
      <c r="C49" s="418" t="s">
        <v>231</v>
      </c>
      <c r="D49" s="415">
        <v>22585</v>
      </c>
      <c r="E49" s="264">
        <v>15.485087418580735</v>
      </c>
      <c r="F49" s="415">
        <v>28946</v>
      </c>
      <c r="G49" s="264">
        <v>12.681930899117619</v>
      </c>
      <c r="H49" s="415">
        <v>26925</v>
      </c>
      <c r="I49" s="264">
        <v>13.507479908093952</v>
      </c>
      <c r="J49" s="50"/>
      <c r="K49" s="50"/>
    </row>
    <row r="50" spans="1:11" ht="12" customHeight="1">
      <c r="A50" s="50"/>
      <c r="B50" s="419" t="s">
        <v>232</v>
      </c>
      <c r="C50" s="418"/>
      <c r="D50" s="415">
        <v>35820</v>
      </c>
      <c r="E50" s="264">
        <v>24.559478916695234</v>
      </c>
      <c r="F50" s="415">
        <v>58159</v>
      </c>
      <c r="G50" s="264">
        <v>25.480840847156138</v>
      </c>
      <c r="H50" s="415">
        <v>55534</v>
      </c>
      <c r="I50" s="264">
        <v>27.859773044237311</v>
      </c>
      <c r="J50" s="50"/>
      <c r="K50" s="50"/>
    </row>
    <row r="51" spans="1:11" ht="12" customHeight="1">
      <c r="A51" s="50"/>
      <c r="B51" s="416"/>
      <c r="C51" s="418" t="s">
        <v>233</v>
      </c>
      <c r="D51" s="415">
        <v>5461</v>
      </c>
      <c r="E51" s="264">
        <v>3.7442577991086732</v>
      </c>
      <c r="F51" s="415">
        <v>10904</v>
      </c>
      <c r="G51" s="264">
        <v>4.777301683271558</v>
      </c>
      <c r="H51" s="415">
        <v>12655</v>
      </c>
      <c r="I51" s="264">
        <v>6.3486409744449013</v>
      </c>
      <c r="J51" s="50"/>
      <c r="K51" s="50"/>
    </row>
    <row r="52" spans="1:11" ht="12" customHeight="1">
      <c r="A52" s="50"/>
      <c r="B52" s="416"/>
      <c r="C52" s="418" t="s">
        <v>234</v>
      </c>
      <c r="D52" s="415">
        <v>12634</v>
      </c>
      <c r="E52" s="264">
        <v>8.662324305793625</v>
      </c>
      <c r="F52" s="415">
        <v>17256</v>
      </c>
      <c r="G52" s="264">
        <v>7.5602639257643069</v>
      </c>
      <c r="H52" s="415">
        <v>16347</v>
      </c>
      <c r="I52" s="264">
        <v>8.2008086929475166</v>
      </c>
      <c r="J52" s="50"/>
      <c r="K52" s="50"/>
    </row>
    <row r="53" spans="1:11" ht="12" customHeight="1">
      <c r="A53" s="50"/>
      <c r="B53" s="416"/>
      <c r="C53" s="418" t="s">
        <v>235</v>
      </c>
      <c r="D53" s="415">
        <v>2771</v>
      </c>
      <c r="E53" s="264">
        <v>1.8998971546109016</v>
      </c>
      <c r="F53" s="415">
        <v>4033</v>
      </c>
      <c r="G53" s="264">
        <v>1.7669531996179562</v>
      </c>
      <c r="H53" s="415">
        <v>3864</v>
      </c>
      <c r="I53" s="264">
        <v>1.9384550553342632</v>
      </c>
      <c r="J53" s="50"/>
      <c r="K53" s="50"/>
    </row>
    <row r="54" spans="1:11" ht="12" customHeight="1">
      <c r="A54" s="50"/>
      <c r="B54" s="416"/>
      <c r="C54" s="418" t="s">
        <v>236</v>
      </c>
      <c r="D54" s="415">
        <v>2317</v>
      </c>
      <c r="E54" s="264">
        <v>1.588618443606445</v>
      </c>
      <c r="F54" s="415">
        <v>3155</v>
      </c>
      <c r="G54" s="264">
        <v>1.3822805218930452</v>
      </c>
      <c r="H54" s="415">
        <v>3157</v>
      </c>
      <c r="I54" s="264">
        <v>1.5837739673111462</v>
      </c>
      <c r="J54" s="50"/>
      <c r="K54" s="50"/>
    </row>
    <row r="55" spans="1:11" ht="12" customHeight="1">
      <c r="A55" s="50"/>
      <c r="B55" s="416"/>
      <c r="C55" s="418" t="s">
        <v>237</v>
      </c>
      <c r="D55" s="415">
        <v>7807</v>
      </c>
      <c r="E55" s="264">
        <v>5.3527596846074736</v>
      </c>
      <c r="F55" s="415">
        <v>12849</v>
      </c>
      <c r="G55" s="264">
        <v>5.6294524329013429</v>
      </c>
      <c r="H55" s="415">
        <v>10401</v>
      </c>
      <c r="I55" s="264">
        <v>5.217875525499915</v>
      </c>
      <c r="J55" s="50"/>
      <c r="K55" s="50"/>
    </row>
    <row r="56" spans="1:11" ht="12" customHeight="1">
      <c r="A56" s="50"/>
      <c r="B56" s="416"/>
      <c r="C56" s="418" t="s">
        <v>238</v>
      </c>
      <c r="D56" s="415">
        <v>1071</v>
      </c>
      <c r="E56" s="264">
        <v>0.73431607816249567</v>
      </c>
      <c r="F56" s="415">
        <v>4368</v>
      </c>
      <c r="G56" s="264">
        <v>1.9137246654924949</v>
      </c>
      <c r="H56" s="415">
        <v>3589</v>
      </c>
      <c r="I56" s="264">
        <v>1.8004956505162188</v>
      </c>
      <c r="J56" s="50"/>
      <c r="K56" s="50"/>
    </row>
    <row r="57" spans="1:11" ht="12" customHeight="1">
      <c r="A57" s="50"/>
      <c r="B57" s="416"/>
      <c r="C57" s="418" t="s">
        <v>239</v>
      </c>
      <c r="D57" s="415">
        <v>3759</v>
      </c>
      <c r="E57" s="264">
        <v>2.5773054508056221</v>
      </c>
      <c r="F57" s="415">
        <v>5594</v>
      </c>
      <c r="G57" s="264">
        <v>2.4508644182154344</v>
      </c>
      <c r="H57" s="415">
        <v>5521</v>
      </c>
      <c r="I57" s="264">
        <v>2.7697231781833507</v>
      </c>
      <c r="J57" s="50"/>
      <c r="K57" s="50"/>
    </row>
    <row r="58" spans="1:11" ht="12" customHeight="1">
      <c r="A58" s="50"/>
      <c r="B58" s="419" t="s">
        <v>240</v>
      </c>
      <c r="C58" s="418"/>
      <c r="D58" s="415">
        <v>46765</v>
      </c>
      <c r="E58" s="264">
        <v>32.063764141241002</v>
      </c>
      <c r="F58" s="415">
        <v>72881</v>
      </c>
      <c r="G58" s="264">
        <v>31.930899117618711</v>
      </c>
      <c r="H58" s="415">
        <v>60613</v>
      </c>
      <c r="I58" s="264">
        <v>30.407757833585841</v>
      </c>
      <c r="J58" s="50"/>
      <c r="K58" s="50"/>
    </row>
    <row r="59" spans="1:11" ht="12" customHeight="1">
      <c r="A59" s="50"/>
      <c r="B59" s="416"/>
      <c r="C59" s="418" t="s">
        <v>241</v>
      </c>
      <c r="D59" s="415">
        <v>13495</v>
      </c>
      <c r="E59" s="264">
        <v>9.2526568392183748</v>
      </c>
      <c r="F59" s="415">
        <v>19412</v>
      </c>
      <c r="G59" s="264">
        <v>8.5048587927061163</v>
      </c>
      <c r="H59" s="415">
        <v>17433</v>
      </c>
      <c r="I59" s="264">
        <v>8.7456229243380452</v>
      </c>
      <c r="J59" s="50"/>
      <c r="K59" s="50"/>
    </row>
    <row r="60" spans="1:11" ht="12" customHeight="1">
      <c r="A60" s="50"/>
      <c r="B60" s="416"/>
      <c r="C60" s="418" t="s">
        <v>242</v>
      </c>
      <c r="D60" s="415">
        <v>265</v>
      </c>
      <c r="E60" s="264">
        <v>0.18169352074048681</v>
      </c>
      <c r="F60" s="415">
        <v>811</v>
      </c>
      <c r="G60" s="264">
        <v>0.35531838455000309</v>
      </c>
      <c r="H60" s="415">
        <v>745</v>
      </c>
      <c r="I60" s="264">
        <v>0.3737445694161558</v>
      </c>
      <c r="J60" s="50"/>
      <c r="K60" s="50"/>
    </row>
    <row r="61" spans="1:11" ht="12" customHeight="1">
      <c r="A61" s="50"/>
      <c r="B61" s="416"/>
      <c r="C61" s="418" t="s">
        <v>243</v>
      </c>
      <c r="D61" s="415">
        <v>6466</v>
      </c>
      <c r="E61" s="264">
        <v>4.4333219060678779</v>
      </c>
      <c r="F61" s="415">
        <v>11940</v>
      </c>
      <c r="G61" s="264">
        <v>5.2311979180358037</v>
      </c>
      <c r="H61" s="415">
        <v>9710</v>
      </c>
      <c r="I61" s="264">
        <v>4.8712211664843927</v>
      </c>
      <c r="J61" s="50"/>
      <c r="K61" s="50"/>
    </row>
    <row r="62" spans="1:11" ht="12" customHeight="1">
      <c r="A62" s="50"/>
      <c r="B62" s="416"/>
      <c r="C62" s="418" t="s">
        <v>244</v>
      </c>
      <c r="D62" s="415">
        <v>2004</v>
      </c>
      <c r="E62" s="264">
        <v>1.3740143983544739</v>
      </c>
      <c r="F62" s="415">
        <v>5844</v>
      </c>
      <c r="G62" s="264">
        <v>2.5603953628979261</v>
      </c>
      <c r="H62" s="415">
        <v>2615</v>
      </c>
      <c r="I62" s="264">
        <v>1.3118685221788555</v>
      </c>
      <c r="J62" s="50"/>
      <c r="K62" s="50"/>
    </row>
    <row r="63" spans="1:11" ht="12" customHeight="1">
      <c r="A63" s="50"/>
      <c r="B63" s="416"/>
      <c r="C63" s="418" t="s">
        <v>245</v>
      </c>
      <c r="D63" s="415">
        <v>17375</v>
      </c>
      <c r="E63" s="264">
        <v>11.912924237230031</v>
      </c>
      <c r="F63" s="415">
        <v>24255</v>
      </c>
      <c r="G63" s="264">
        <v>10.626692253095344</v>
      </c>
      <c r="H63" s="415">
        <v>20468</v>
      </c>
      <c r="I63" s="264">
        <v>10.268193082966278</v>
      </c>
      <c r="J63" s="50"/>
      <c r="K63" s="50"/>
    </row>
    <row r="64" spans="1:11" ht="12" customHeight="1">
      <c r="A64" s="50"/>
      <c r="B64" s="416"/>
      <c r="C64" s="418" t="s">
        <v>246</v>
      </c>
      <c r="D64" s="415">
        <v>1940</v>
      </c>
      <c r="E64" s="264">
        <v>1.3301336990058279</v>
      </c>
      <c r="F64" s="415">
        <v>2765</v>
      </c>
      <c r="G64" s="264">
        <v>1.2114122481883582</v>
      </c>
      <c r="H64" s="415">
        <v>2530</v>
      </c>
      <c r="I64" s="264">
        <v>1.2692265243260055</v>
      </c>
      <c r="J64" s="50"/>
      <c r="K64" s="50"/>
    </row>
    <row r="65" spans="1:11" ht="12" customHeight="1">
      <c r="A65" s="50"/>
      <c r="B65" s="417"/>
      <c r="C65" s="418" t="s">
        <v>247</v>
      </c>
      <c r="D65" s="415">
        <v>5220</v>
      </c>
      <c r="E65" s="264">
        <v>3.5790195406239289</v>
      </c>
      <c r="F65" s="415">
        <v>7854</v>
      </c>
      <c r="G65" s="264">
        <v>3.4410241581451588</v>
      </c>
      <c r="H65" s="415">
        <v>7112</v>
      </c>
      <c r="I65" s="264">
        <v>3.5678810438761075</v>
      </c>
      <c r="J65" s="50"/>
      <c r="K65" s="50"/>
    </row>
    <row r="66" spans="1:11">
      <c r="B66" s="65"/>
    </row>
  </sheetData>
  <mergeCells count="7">
    <mergeCell ref="D4:E4"/>
    <mergeCell ref="F4:G4"/>
    <mergeCell ref="H4:I4"/>
    <mergeCell ref="D35:I35"/>
    <mergeCell ref="D36:E36"/>
    <mergeCell ref="F36:G36"/>
    <mergeCell ref="H36:I36"/>
  </mergeCells>
  <phoneticPr fontId="8"/>
  <pageMargins left="0.74803149606299213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Normal="100" workbookViewId="0"/>
  </sheetViews>
  <sheetFormatPr defaultRowHeight="13.5"/>
  <cols>
    <col min="1" max="1" width="1.5" style="21" customWidth="1"/>
    <col min="2" max="2" width="1" style="21" customWidth="1"/>
    <col min="3" max="3" width="14.125" style="134" customWidth="1"/>
    <col min="4" max="4" width="10.625" style="21" customWidth="1"/>
    <col min="5" max="5" width="5.625" style="21" customWidth="1"/>
    <col min="6" max="6" width="10.625" style="21" customWidth="1"/>
    <col min="7" max="7" width="5.625" style="21" customWidth="1"/>
    <col min="8" max="8" width="10.625" style="21" customWidth="1"/>
    <col min="9" max="9" width="5.625" style="21" customWidth="1"/>
    <col min="10" max="11" width="2.625" style="21" customWidth="1"/>
  </cols>
  <sheetData>
    <row r="1" spans="1:11" ht="14.25">
      <c r="A1" s="40" t="s">
        <v>253</v>
      </c>
      <c r="B1" s="41"/>
      <c r="C1" s="41"/>
      <c r="D1" s="42"/>
      <c r="E1" s="42"/>
      <c r="F1" s="42"/>
      <c r="G1" s="42"/>
      <c r="H1" s="42"/>
      <c r="I1" s="42"/>
      <c r="J1" s="41"/>
      <c r="K1" s="41"/>
    </row>
    <row r="2" spans="1:11" ht="14.25">
      <c r="A2" s="128"/>
      <c r="B2" s="50"/>
      <c r="C2" s="129"/>
      <c r="D2" s="50"/>
      <c r="E2" s="50"/>
      <c r="F2" s="50"/>
      <c r="G2" s="50"/>
      <c r="H2" s="50"/>
      <c r="I2" s="50"/>
      <c r="J2" s="50"/>
      <c r="K2" s="50"/>
    </row>
    <row r="3" spans="1:11">
      <c r="A3" s="44"/>
      <c r="B3" s="50"/>
      <c r="C3" s="129" t="s">
        <v>215</v>
      </c>
      <c r="D3" s="614"/>
      <c r="E3" s="614"/>
      <c r="F3" s="614"/>
      <c r="G3" s="614"/>
      <c r="H3" s="614"/>
      <c r="I3" s="614" t="s">
        <v>719</v>
      </c>
      <c r="J3" s="44"/>
      <c r="K3" s="44"/>
    </row>
    <row r="4" spans="1:11" ht="12" customHeight="1">
      <c r="A4" s="50"/>
      <c r="B4" s="53"/>
      <c r="C4" s="131"/>
      <c r="D4" s="659" t="s">
        <v>216</v>
      </c>
      <c r="E4" s="659"/>
      <c r="F4" s="659" t="s">
        <v>217</v>
      </c>
      <c r="G4" s="659"/>
      <c r="H4" s="659" t="s">
        <v>218</v>
      </c>
      <c r="I4" s="659"/>
      <c r="J4" s="50"/>
      <c r="K4" s="50"/>
    </row>
    <row r="5" spans="1:11" ht="12" customHeight="1">
      <c r="A5" s="50"/>
      <c r="B5" s="132"/>
      <c r="C5" s="133"/>
      <c r="D5" s="613" t="s">
        <v>86</v>
      </c>
      <c r="E5" s="613" t="s">
        <v>219</v>
      </c>
      <c r="F5" s="613" t="s">
        <v>86</v>
      </c>
      <c r="G5" s="613" t="s">
        <v>219</v>
      </c>
      <c r="H5" s="613" t="s">
        <v>86</v>
      </c>
      <c r="I5" s="613" t="s">
        <v>219</v>
      </c>
      <c r="J5" s="50"/>
      <c r="K5" s="50"/>
    </row>
    <row r="6" spans="1:11" ht="12" customHeight="1">
      <c r="A6" s="50"/>
      <c r="B6" s="416" t="s">
        <v>220</v>
      </c>
      <c r="C6" s="418"/>
      <c r="D6" s="415">
        <v>3970377.28</v>
      </c>
      <c r="E6" s="264">
        <v>100</v>
      </c>
      <c r="F6" s="415">
        <v>3485280</v>
      </c>
      <c r="G6" s="264">
        <v>100</v>
      </c>
      <c r="H6" s="415">
        <v>3686994</v>
      </c>
      <c r="I6" s="264">
        <v>100</v>
      </c>
      <c r="J6" s="50"/>
      <c r="K6" s="50"/>
    </row>
    <row r="7" spans="1:11" ht="12" customHeight="1">
      <c r="A7" s="50"/>
      <c r="B7" s="419" t="s">
        <v>221</v>
      </c>
      <c r="C7" s="418"/>
      <c r="D7" s="415">
        <v>2335344</v>
      </c>
      <c r="E7" s="264">
        <v>58.819196144503429</v>
      </c>
      <c r="F7" s="415">
        <v>2010536</v>
      </c>
      <c r="G7" s="264">
        <v>57.686498645732911</v>
      </c>
      <c r="H7" s="415">
        <v>2125785.42</v>
      </c>
      <c r="I7" s="264">
        <v>57.656329790609902</v>
      </c>
      <c r="J7" s="50"/>
      <c r="K7" s="50"/>
    </row>
    <row r="8" spans="1:11" ht="12" customHeight="1">
      <c r="A8" s="50"/>
      <c r="B8" s="416"/>
      <c r="C8" s="418" t="s">
        <v>222</v>
      </c>
      <c r="D8" s="415">
        <v>21762.55</v>
      </c>
      <c r="E8" s="264">
        <v>0.54812297334121352</v>
      </c>
      <c r="F8" s="415">
        <v>23115</v>
      </c>
      <c r="G8" s="264">
        <v>0.66321787632557505</v>
      </c>
      <c r="H8" s="415">
        <v>12122.79</v>
      </c>
      <c r="I8" s="264">
        <v>0.32879874499388934</v>
      </c>
      <c r="J8" s="50"/>
      <c r="K8" s="50"/>
    </row>
    <row r="9" spans="1:11" ht="12" customHeight="1">
      <c r="A9" s="50"/>
      <c r="B9" s="416"/>
      <c r="C9" s="418" t="s">
        <v>223</v>
      </c>
      <c r="D9" s="415">
        <v>117769.08</v>
      </c>
      <c r="E9" s="264">
        <v>2.9661936812211462</v>
      </c>
      <c r="F9" s="415">
        <v>98088</v>
      </c>
      <c r="G9" s="264">
        <v>2.8143506404076573</v>
      </c>
      <c r="H9" s="415">
        <v>100413.82</v>
      </c>
      <c r="I9" s="264">
        <v>2.723460358221359</v>
      </c>
      <c r="J9" s="50"/>
      <c r="K9" s="50"/>
    </row>
    <row r="10" spans="1:11" ht="12" customHeight="1">
      <c r="A10" s="50"/>
      <c r="B10" s="416"/>
      <c r="C10" s="418" t="s">
        <v>224</v>
      </c>
      <c r="D10" s="415">
        <v>885557.8</v>
      </c>
      <c r="E10" s="264">
        <v>22.304122191632128</v>
      </c>
      <c r="F10" s="415">
        <v>732938</v>
      </c>
      <c r="G10" s="264">
        <v>21.029529908644356</v>
      </c>
      <c r="H10" s="415">
        <v>754671.21</v>
      </c>
      <c r="I10" s="264">
        <v>20.46846862240622</v>
      </c>
      <c r="J10" s="50"/>
      <c r="K10" s="50"/>
    </row>
    <row r="11" spans="1:11" ht="12" customHeight="1">
      <c r="A11" s="50"/>
      <c r="B11" s="416"/>
      <c r="C11" s="418" t="s">
        <v>225</v>
      </c>
      <c r="D11" s="415">
        <v>9181.08</v>
      </c>
      <c r="E11" s="264">
        <v>0.23123948563396976</v>
      </c>
      <c r="F11" s="415">
        <v>11139</v>
      </c>
      <c r="G11" s="264">
        <v>0.3196012945875224</v>
      </c>
      <c r="H11" s="415">
        <v>15085.39</v>
      </c>
      <c r="I11" s="264">
        <v>0.40915146593674956</v>
      </c>
      <c r="J11" s="50"/>
      <c r="K11" s="50"/>
    </row>
    <row r="12" spans="1:11" ht="12" customHeight="1">
      <c r="A12" s="50"/>
      <c r="B12" s="416"/>
      <c r="C12" s="418" t="s">
        <v>226</v>
      </c>
      <c r="D12" s="415">
        <v>122792.05</v>
      </c>
      <c r="E12" s="264">
        <v>3.0927048323226356</v>
      </c>
      <c r="F12" s="415">
        <v>110020</v>
      </c>
      <c r="G12" s="264">
        <v>3.1567047697745947</v>
      </c>
      <c r="H12" s="415">
        <v>115979.15</v>
      </c>
      <c r="I12" s="264">
        <v>3.1456289324040125</v>
      </c>
      <c r="J12" s="50"/>
      <c r="K12" s="50"/>
    </row>
    <row r="13" spans="1:11" ht="12" customHeight="1">
      <c r="A13" s="50"/>
      <c r="B13" s="416"/>
      <c r="C13" s="418" t="s">
        <v>227</v>
      </c>
      <c r="D13" s="415">
        <v>37873.79</v>
      </c>
      <c r="E13" s="264">
        <v>0.9539090955104399</v>
      </c>
      <c r="F13" s="415">
        <v>39637</v>
      </c>
      <c r="G13" s="264">
        <v>1.1372687416792913</v>
      </c>
      <c r="H13" s="415">
        <v>35856.94</v>
      </c>
      <c r="I13" s="264">
        <v>0.97252504343646895</v>
      </c>
      <c r="J13" s="50"/>
      <c r="K13" s="50"/>
    </row>
    <row r="14" spans="1:11" ht="12" customHeight="1">
      <c r="A14" s="50"/>
      <c r="B14" s="416"/>
      <c r="C14" s="418" t="s">
        <v>228</v>
      </c>
      <c r="D14" s="415">
        <v>62530.7</v>
      </c>
      <c r="E14" s="264">
        <v>1.5749309345231797</v>
      </c>
      <c r="F14" s="415">
        <v>40891</v>
      </c>
      <c r="G14" s="264">
        <v>1.1732486342560713</v>
      </c>
      <c r="H14" s="415">
        <v>41612.92</v>
      </c>
      <c r="I14" s="264">
        <v>1.128640838580155</v>
      </c>
      <c r="J14" s="50"/>
      <c r="K14" s="50"/>
    </row>
    <row r="15" spans="1:11" ht="12" customHeight="1">
      <c r="A15" s="50"/>
      <c r="B15" s="416"/>
      <c r="C15" s="418" t="s">
        <v>229</v>
      </c>
      <c r="D15" s="415">
        <v>472608.36</v>
      </c>
      <c r="E15" s="264">
        <v>11.90336148609031</v>
      </c>
      <c r="F15" s="415">
        <v>424581</v>
      </c>
      <c r="G15" s="264">
        <v>12.182120231373089</v>
      </c>
      <c r="H15" s="415">
        <v>430420.35</v>
      </c>
      <c r="I15" s="264">
        <v>11.674018183918932</v>
      </c>
      <c r="J15" s="50"/>
      <c r="K15" s="50"/>
    </row>
    <row r="16" spans="1:11" ht="12" customHeight="1">
      <c r="A16" s="50"/>
      <c r="B16" s="416"/>
      <c r="C16" s="418" t="s">
        <v>230</v>
      </c>
      <c r="D16" s="415">
        <v>185304.15</v>
      </c>
      <c r="E16" s="264">
        <v>4.6671672975118375</v>
      </c>
      <c r="F16" s="415">
        <v>159986</v>
      </c>
      <c r="G16" s="264">
        <v>4.5903342055731535</v>
      </c>
      <c r="H16" s="415">
        <v>223263.96</v>
      </c>
      <c r="I16" s="264">
        <v>6.055446794868665</v>
      </c>
      <c r="J16" s="50"/>
      <c r="K16" s="50"/>
    </row>
    <row r="17" spans="1:11" ht="12" customHeight="1">
      <c r="A17" s="50"/>
      <c r="B17" s="416"/>
      <c r="C17" s="418" t="s">
        <v>231</v>
      </c>
      <c r="D17" s="415">
        <v>419964.44</v>
      </c>
      <c r="E17" s="264">
        <v>10.577444166716571</v>
      </c>
      <c r="F17" s="415">
        <v>370141</v>
      </c>
      <c r="G17" s="264">
        <v>10.6201223431116</v>
      </c>
      <c r="H17" s="415">
        <v>396358.89</v>
      </c>
      <c r="I17" s="264">
        <v>10.750190805843459</v>
      </c>
      <c r="J17" s="50"/>
      <c r="K17" s="50"/>
    </row>
    <row r="18" spans="1:11" ht="12" customHeight="1">
      <c r="A18" s="50"/>
      <c r="B18" s="419" t="s">
        <v>232</v>
      </c>
      <c r="C18" s="418"/>
      <c r="D18" s="415">
        <v>846449.50000000012</v>
      </c>
      <c r="E18" s="264">
        <v>21.319120081202968</v>
      </c>
      <c r="F18" s="415">
        <v>816124</v>
      </c>
      <c r="G18" s="264">
        <v>23.416310884634804</v>
      </c>
      <c r="H18" s="415">
        <v>825175.49999999988</v>
      </c>
      <c r="I18" s="264">
        <v>22.380711766821424</v>
      </c>
      <c r="J18" s="50"/>
      <c r="K18" s="50"/>
    </row>
    <row r="19" spans="1:11" ht="12" customHeight="1">
      <c r="A19" s="50"/>
      <c r="B19" s="416"/>
      <c r="C19" s="418" t="s">
        <v>233</v>
      </c>
      <c r="D19" s="415">
        <v>120995.21</v>
      </c>
      <c r="E19" s="264">
        <v>3.0474486797385665</v>
      </c>
      <c r="F19" s="415">
        <v>136182</v>
      </c>
      <c r="G19" s="264">
        <v>3.90734747279989</v>
      </c>
      <c r="H19" s="415">
        <v>123270.87</v>
      </c>
      <c r="I19" s="264">
        <v>3.3433976296137176</v>
      </c>
      <c r="J19" s="50"/>
      <c r="K19" s="50"/>
    </row>
    <row r="20" spans="1:11" ht="12" customHeight="1">
      <c r="A20" s="50"/>
      <c r="B20" s="416"/>
      <c r="C20" s="418" t="s">
        <v>234</v>
      </c>
      <c r="D20" s="415">
        <v>263606.78000000003</v>
      </c>
      <c r="E20" s="264">
        <v>6.6393383149724263</v>
      </c>
      <c r="F20" s="415">
        <v>263020</v>
      </c>
      <c r="G20" s="264">
        <v>7.5465959693338842</v>
      </c>
      <c r="H20" s="415">
        <v>252328.84</v>
      </c>
      <c r="I20" s="264">
        <v>6.8437551023950673</v>
      </c>
      <c r="J20" s="50"/>
      <c r="K20" s="50"/>
    </row>
    <row r="21" spans="1:11" ht="12" customHeight="1">
      <c r="A21" s="50"/>
      <c r="B21" s="416"/>
      <c r="C21" s="418" t="s">
        <v>235</v>
      </c>
      <c r="D21" s="415">
        <v>63490.17</v>
      </c>
      <c r="E21" s="264">
        <v>1.5990966480646394</v>
      </c>
      <c r="F21" s="415">
        <v>42988</v>
      </c>
      <c r="G21" s="264">
        <v>1.2334159665794426</v>
      </c>
      <c r="H21" s="415">
        <v>52782.3</v>
      </c>
      <c r="I21" s="264">
        <v>1.4315808487890136</v>
      </c>
      <c r="J21" s="50"/>
      <c r="K21" s="50"/>
    </row>
    <row r="22" spans="1:11" ht="12" customHeight="1">
      <c r="A22" s="50"/>
      <c r="B22" s="416"/>
      <c r="C22" s="418" t="s">
        <v>236</v>
      </c>
      <c r="D22" s="415">
        <v>62160.39</v>
      </c>
      <c r="E22" s="264">
        <v>1.565604113068066</v>
      </c>
      <c r="F22" s="415">
        <v>24140</v>
      </c>
      <c r="G22" s="264">
        <v>0.69262727815268788</v>
      </c>
      <c r="H22" s="415">
        <v>22198.6</v>
      </c>
      <c r="I22" s="264">
        <v>0.60207854962606389</v>
      </c>
      <c r="J22" s="50"/>
      <c r="K22" s="50"/>
    </row>
    <row r="23" spans="1:11" ht="12" customHeight="1">
      <c r="A23" s="50"/>
      <c r="B23" s="416"/>
      <c r="C23" s="418" t="s">
        <v>237</v>
      </c>
      <c r="D23" s="415">
        <v>165830.89000000001</v>
      </c>
      <c r="E23" s="264">
        <v>4.1767035801695913</v>
      </c>
      <c r="F23" s="415">
        <v>190006</v>
      </c>
      <c r="G23" s="264">
        <v>5.4516710278657667</v>
      </c>
      <c r="H23" s="415">
        <v>190723.28</v>
      </c>
      <c r="I23" s="264">
        <v>5.1728665682667234</v>
      </c>
      <c r="J23" s="50"/>
      <c r="K23" s="50"/>
    </row>
    <row r="24" spans="1:11" ht="12" customHeight="1">
      <c r="A24" s="50"/>
      <c r="B24" s="416"/>
      <c r="C24" s="418" t="s">
        <v>238</v>
      </c>
      <c r="D24" s="415">
        <v>26915.02</v>
      </c>
      <c r="E24" s="264">
        <v>0.67789577921421118</v>
      </c>
      <c r="F24" s="415">
        <v>33389</v>
      </c>
      <c r="G24" s="264">
        <v>0.95800050498094835</v>
      </c>
      <c r="H24" s="415">
        <v>18470.23</v>
      </c>
      <c r="I24" s="264">
        <v>0.50095633461839106</v>
      </c>
      <c r="J24" s="50"/>
      <c r="K24" s="50"/>
    </row>
    <row r="25" spans="1:11" ht="12" customHeight="1">
      <c r="A25" s="50"/>
      <c r="B25" s="416"/>
      <c r="C25" s="418" t="s">
        <v>239</v>
      </c>
      <c r="D25" s="415">
        <v>143451.04</v>
      </c>
      <c r="E25" s="264">
        <v>3.6130329659754654</v>
      </c>
      <c r="F25" s="415">
        <v>126399</v>
      </c>
      <c r="G25" s="264">
        <v>3.6266526649221871</v>
      </c>
      <c r="H25" s="415">
        <v>165401.38</v>
      </c>
      <c r="I25" s="264">
        <v>4.4860767335124496</v>
      </c>
      <c r="J25" s="50"/>
      <c r="K25" s="50"/>
    </row>
    <row r="26" spans="1:11" ht="12" customHeight="1">
      <c r="A26" s="50"/>
      <c r="B26" s="419" t="s">
        <v>240</v>
      </c>
      <c r="C26" s="418"/>
      <c r="D26" s="415">
        <v>788583.78</v>
      </c>
      <c r="E26" s="264">
        <v>19.861683774293613</v>
      </c>
      <c r="F26" s="415">
        <v>658620</v>
      </c>
      <c r="G26" s="264">
        <v>18.897190469632282</v>
      </c>
      <c r="H26" s="415">
        <v>736033.08</v>
      </c>
      <c r="I26" s="264">
        <v>19.962958442568659</v>
      </c>
      <c r="J26" s="50"/>
      <c r="K26" s="50"/>
    </row>
    <row r="27" spans="1:11" ht="12" customHeight="1">
      <c r="A27" s="50"/>
      <c r="B27" s="416"/>
      <c r="C27" s="418" t="s">
        <v>241</v>
      </c>
      <c r="D27" s="415">
        <v>238114.22</v>
      </c>
      <c r="E27" s="264">
        <v>5.9972693577372072</v>
      </c>
      <c r="F27" s="415">
        <v>205247</v>
      </c>
      <c r="G27" s="264">
        <v>5.8889673139604275</v>
      </c>
      <c r="H27" s="415">
        <v>261090.21</v>
      </c>
      <c r="I27" s="264">
        <v>7.0813841845145387</v>
      </c>
      <c r="J27" s="50"/>
      <c r="K27" s="50"/>
    </row>
    <row r="28" spans="1:11" ht="12" customHeight="1">
      <c r="A28" s="50"/>
      <c r="B28" s="416"/>
      <c r="C28" s="418" t="s">
        <v>242</v>
      </c>
      <c r="D28" s="415">
        <v>46991.59</v>
      </c>
      <c r="E28" s="264">
        <v>1.1835547779479536</v>
      </c>
      <c r="F28" s="415">
        <v>35271</v>
      </c>
      <c r="G28" s="264">
        <v>1.011999035945462</v>
      </c>
      <c r="H28" s="415">
        <v>59853.81</v>
      </c>
      <c r="I28" s="264">
        <v>1.623376929824133</v>
      </c>
      <c r="J28" s="50"/>
      <c r="K28" s="50"/>
    </row>
    <row r="29" spans="1:11" ht="12" customHeight="1">
      <c r="A29" s="50"/>
      <c r="B29" s="416"/>
      <c r="C29" s="418" t="s">
        <v>243</v>
      </c>
      <c r="D29" s="415">
        <v>104574.5</v>
      </c>
      <c r="E29" s="264">
        <v>2.6338680841937521</v>
      </c>
      <c r="F29" s="415">
        <v>80504</v>
      </c>
      <c r="G29" s="264">
        <v>2.309828765551118</v>
      </c>
      <c r="H29" s="415">
        <v>65940.53</v>
      </c>
      <c r="I29" s="264">
        <v>1.7884631762351659</v>
      </c>
      <c r="J29" s="50"/>
      <c r="K29" s="50"/>
    </row>
    <row r="30" spans="1:11" ht="12" customHeight="1">
      <c r="A30" s="50"/>
      <c r="B30" s="416"/>
      <c r="C30" s="418" t="s">
        <v>244</v>
      </c>
      <c r="D30" s="415">
        <v>23926.19</v>
      </c>
      <c r="E30" s="264">
        <v>0.60261754268350032</v>
      </c>
      <c r="F30" s="415">
        <v>17372</v>
      </c>
      <c r="G30" s="264">
        <v>0.4984391497957123</v>
      </c>
      <c r="H30" s="415">
        <v>26222.63</v>
      </c>
      <c r="I30" s="264">
        <v>0.71121976330853809</v>
      </c>
      <c r="J30" s="50"/>
      <c r="K30" s="50"/>
    </row>
    <row r="31" spans="1:11" ht="12" customHeight="1">
      <c r="A31" s="50"/>
      <c r="B31" s="416"/>
      <c r="C31" s="418" t="s">
        <v>245</v>
      </c>
      <c r="D31" s="415">
        <v>276425.51</v>
      </c>
      <c r="E31" s="264">
        <v>6.962197557205446</v>
      </c>
      <c r="F31" s="415">
        <v>243849</v>
      </c>
      <c r="G31" s="264">
        <v>6.996539732819171</v>
      </c>
      <c r="H31" s="415">
        <v>252105.56</v>
      </c>
      <c r="I31" s="264">
        <v>6.8376992205574512</v>
      </c>
      <c r="J31" s="50"/>
      <c r="K31" s="50"/>
    </row>
    <row r="32" spans="1:11" ht="12" customHeight="1">
      <c r="A32" s="50"/>
      <c r="B32" s="416"/>
      <c r="C32" s="418" t="s">
        <v>246</v>
      </c>
      <c r="D32" s="415">
        <v>22639.84</v>
      </c>
      <c r="E32" s="264">
        <v>0.57021885839524056</v>
      </c>
      <c r="F32" s="415">
        <v>15978</v>
      </c>
      <c r="G32" s="264">
        <v>0.45844236331083876</v>
      </c>
      <c r="H32" s="415">
        <v>15076.39</v>
      </c>
      <c r="I32" s="264">
        <v>0.4089073646444773</v>
      </c>
      <c r="J32" s="50"/>
      <c r="K32" s="50"/>
    </row>
    <row r="33" spans="1:11" ht="12" customHeight="1">
      <c r="A33" s="50"/>
      <c r="B33" s="417"/>
      <c r="C33" s="418" t="s">
        <v>247</v>
      </c>
      <c r="D33" s="415">
        <v>75911.929999999993</v>
      </c>
      <c r="E33" s="264">
        <v>1.9119575961305117</v>
      </c>
      <c r="F33" s="415">
        <v>60399</v>
      </c>
      <c r="G33" s="264">
        <v>1.7329741082495524</v>
      </c>
      <c r="H33" s="415">
        <v>55743.95</v>
      </c>
      <c r="I33" s="264">
        <v>1.511907803484356</v>
      </c>
      <c r="J33" s="50"/>
      <c r="K33" s="50"/>
    </row>
    <row r="34" spans="1:11" ht="12" customHeight="1"/>
    <row r="35" spans="1:11" ht="12" customHeight="1">
      <c r="A35" s="44"/>
      <c r="B35" s="50"/>
      <c r="C35" s="129" t="s">
        <v>248</v>
      </c>
      <c r="D35" s="614"/>
      <c r="E35" s="614"/>
      <c r="F35" s="614"/>
      <c r="G35" s="614"/>
      <c r="H35" s="614"/>
      <c r="I35" s="614" t="s">
        <v>719</v>
      </c>
      <c r="J35" s="44"/>
      <c r="K35" s="44"/>
    </row>
    <row r="36" spans="1:11" ht="12" customHeight="1">
      <c r="A36" s="50"/>
      <c r="B36" s="53"/>
      <c r="C36" s="131"/>
      <c r="D36" s="659" t="s">
        <v>249</v>
      </c>
      <c r="E36" s="659"/>
      <c r="F36" s="659" t="s">
        <v>250</v>
      </c>
      <c r="G36" s="659"/>
      <c r="H36" s="659" t="s">
        <v>251</v>
      </c>
      <c r="I36" s="659"/>
      <c r="J36" s="50"/>
      <c r="K36" s="50"/>
    </row>
    <row r="37" spans="1:11" ht="12" customHeight="1">
      <c r="A37" s="50"/>
      <c r="B37" s="132"/>
      <c r="C37" s="133"/>
      <c r="D37" s="613" t="s">
        <v>86</v>
      </c>
      <c r="E37" s="613" t="s">
        <v>219</v>
      </c>
      <c r="F37" s="613" t="s">
        <v>86</v>
      </c>
      <c r="G37" s="613" t="s">
        <v>219</v>
      </c>
      <c r="H37" s="613" t="s">
        <v>86</v>
      </c>
      <c r="I37" s="613" t="s">
        <v>219</v>
      </c>
      <c r="J37" s="50"/>
      <c r="K37" s="50"/>
    </row>
    <row r="38" spans="1:11" ht="12" customHeight="1">
      <c r="A38" s="50"/>
      <c r="B38" s="416" t="s">
        <v>220</v>
      </c>
      <c r="C38" s="418"/>
      <c r="D38" s="415">
        <v>1725451</v>
      </c>
      <c r="E38" s="264">
        <v>100</v>
      </c>
      <c r="F38" s="415">
        <v>1439249</v>
      </c>
      <c r="G38" s="264">
        <v>100</v>
      </c>
      <c r="H38" s="415">
        <v>1474412</v>
      </c>
      <c r="I38" s="264">
        <v>100</v>
      </c>
      <c r="J38" s="50"/>
      <c r="K38" s="50"/>
    </row>
    <row r="39" spans="1:11" ht="12" customHeight="1">
      <c r="A39" s="50"/>
      <c r="B39" s="419" t="s">
        <v>221</v>
      </c>
      <c r="C39" s="418"/>
      <c r="D39" s="415">
        <v>1056394</v>
      </c>
      <c r="E39" s="264">
        <v>61.22422485483505</v>
      </c>
      <c r="F39" s="415">
        <v>820939</v>
      </c>
      <c r="G39" s="264">
        <v>57.039400409519139</v>
      </c>
      <c r="H39" s="415">
        <v>839353</v>
      </c>
      <c r="I39" s="264">
        <v>56.92798213796415</v>
      </c>
      <c r="J39" s="50"/>
      <c r="K39" s="50"/>
    </row>
    <row r="40" spans="1:11" ht="12" customHeight="1">
      <c r="A40" s="50"/>
      <c r="B40" s="416"/>
      <c r="C40" s="418" t="s">
        <v>222</v>
      </c>
      <c r="D40" s="415">
        <v>5801</v>
      </c>
      <c r="E40" s="264">
        <v>0.33620195531487129</v>
      </c>
      <c r="F40" s="415">
        <v>7011</v>
      </c>
      <c r="G40" s="264">
        <v>0.48712905133163192</v>
      </c>
      <c r="H40" s="415">
        <v>4664</v>
      </c>
      <c r="I40" s="264">
        <v>0.31632949270624494</v>
      </c>
      <c r="J40" s="50"/>
      <c r="K40" s="50"/>
    </row>
    <row r="41" spans="1:11" ht="12" customHeight="1">
      <c r="A41" s="50"/>
      <c r="B41" s="416"/>
      <c r="C41" s="418" t="s">
        <v>223</v>
      </c>
      <c r="D41" s="415">
        <v>47203</v>
      </c>
      <c r="E41" s="264">
        <v>2.7356905527888071</v>
      </c>
      <c r="F41" s="415">
        <v>36268</v>
      </c>
      <c r="G41" s="264">
        <v>2.5199253221645455</v>
      </c>
      <c r="H41" s="415">
        <v>33718</v>
      </c>
      <c r="I41" s="264">
        <v>2.286877751944504</v>
      </c>
      <c r="J41" s="50"/>
      <c r="K41" s="50"/>
    </row>
    <row r="42" spans="1:11" ht="12" customHeight="1">
      <c r="A42" s="50"/>
      <c r="B42" s="416"/>
      <c r="C42" s="418" t="s">
        <v>224</v>
      </c>
      <c r="D42" s="415">
        <v>604696</v>
      </c>
      <c r="E42" s="264">
        <v>35.045677912615311</v>
      </c>
      <c r="F42" s="415">
        <v>467463</v>
      </c>
      <c r="G42" s="264">
        <v>32.479647371650074</v>
      </c>
      <c r="H42" s="415">
        <v>445279</v>
      </c>
      <c r="I42" s="264">
        <v>30.20044600830704</v>
      </c>
      <c r="J42" s="50"/>
      <c r="K42" s="50"/>
    </row>
    <row r="43" spans="1:11" ht="12" customHeight="1">
      <c r="A43" s="50"/>
      <c r="B43" s="416"/>
      <c r="C43" s="418" t="s">
        <v>225</v>
      </c>
      <c r="D43" s="415">
        <v>1998</v>
      </c>
      <c r="E43" s="264">
        <v>0.11579581222532544</v>
      </c>
      <c r="F43" s="415">
        <v>2575</v>
      </c>
      <c r="G43" s="264">
        <v>0.17891275241462734</v>
      </c>
      <c r="H43" s="415">
        <v>6575</v>
      </c>
      <c r="I43" s="264">
        <v>0.44594048339270159</v>
      </c>
      <c r="J43" s="50"/>
      <c r="K43" s="50"/>
    </row>
    <row r="44" spans="1:11" ht="12" customHeight="1">
      <c r="A44" s="50"/>
      <c r="B44" s="416"/>
      <c r="C44" s="418" t="s">
        <v>226</v>
      </c>
      <c r="D44" s="415">
        <v>49227</v>
      </c>
      <c r="E44" s="264">
        <v>2.8529932174254728</v>
      </c>
      <c r="F44" s="415">
        <v>45335</v>
      </c>
      <c r="G44" s="264">
        <v>3.149906652705682</v>
      </c>
      <c r="H44" s="415">
        <v>45349</v>
      </c>
      <c r="I44" s="264">
        <v>3.0757345979278519</v>
      </c>
      <c r="J44" s="50"/>
      <c r="K44" s="50"/>
    </row>
    <row r="45" spans="1:11" ht="12" customHeight="1">
      <c r="A45" s="50"/>
      <c r="B45" s="416"/>
      <c r="C45" s="418" t="s">
        <v>227</v>
      </c>
      <c r="D45" s="415">
        <v>16510</v>
      </c>
      <c r="E45" s="264">
        <v>0.95685128120126273</v>
      </c>
      <c r="F45" s="415">
        <v>15058</v>
      </c>
      <c r="G45" s="264">
        <v>1.0462400877124112</v>
      </c>
      <c r="H45" s="415">
        <v>13839</v>
      </c>
      <c r="I45" s="264">
        <v>0.93861146002609863</v>
      </c>
      <c r="J45" s="50"/>
      <c r="K45" s="50"/>
    </row>
    <row r="46" spans="1:11" ht="12" customHeight="1">
      <c r="A46" s="50"/>
      <c r="B46" s="416"/>
      <c r="C46" s="418" t="s">
        <v>228</v>
      </c>
      <c r="D46" s="415">
        <v>29779</v>
      </c>
      <c r="E46" s="264">
        <v>1.7258676137427258</v>
      </c>
      <c r="F46" s="415">
        <v>14246</v>
      </c>
      <c r="G46" s="264">
        <v>0.98982177510632285</v>
      </c>
      <c r="H46" s="415">
        <v>16109</v>
      </c>
      <c r="I46" s="264">
        <v>1.0925711402240352</v>
      </c>
      <c r="J46" s="50"/>
      <c r="K46" s="50"/>
    </row>
    <row r="47" spans="1:11" ht="12" customHeight="1">
      <c r="A47" s="50"/>
      <c r="B47" s="416"/>
      <c r="C47" s="418" t="s">
        <v>229</v>
      </c>
      <c r="D47" s="415">
        <v>95886</v>
      </c>
      <c r="E47" s="264">
        <v>5.5571557813000769</v>
      </c>
      <c r="F47" s="415">
        <v>76625</v>
      </c>
      <c r="G47" s="264">
        <v>5.3239571470954639</v>
      </c>
      <c r="H47" s="415">
        <v>96312</v>
      </c>
      <c r="I47" s="264">
        <v>6.532231153843024</v>
      </c>
      <c r="J47" s="50"/>
      <c r="K47" s="50"/>
    </row>
    <row r="48" spans="1:11" ht="12" customHeight="1">
      <c r="A48" s="50"/>
      <c r="B48" s="416"/>
      <c r="C48" s="418" t="s">
        <v>230</v>
      </c>
      <c r="D48" s="415">
        <v>28607</v>
      </c>
      <c r="E48" s="264">
        <v>1.6579433435084507</v>
      </c>
      <c r="F48" s="415">
        <v>6546</v>
      </c>
      <c r="G48" s="264">
        <v>0.45482053487617502</v>
      </c>
      <c r="H48" s="415">
        <v>16581</v>
      </c>
      <c r="I48" s="264">
        <v>1.1245839019215795</v>
      </c>
      <c r="J48" s="50"/>
      <c r="K48" s="50"/>
    </row>
    <row r="49" spans="1:11" ht="12" customHeight="1">
      <c r="A49" s="50"/>
      <c r="B49" s="416"/>
      <c r="C49" s="418" t="s">
        <v>231</v>
      </c>
      <c r="D49" s="415">
        <v>176687</v>
      </c>
      <c r="E49" s="264">
        <v>10.240047384712749</v>
      </c>
      <c r="F49" s="415">
        <v>149812</v>
      </c>
      <c r="G49" s="264">
        <v>10.409039714462196</v>
      </c>
      <c r="H49" s="415">
        <v>160927</v>
      </c>
      <c r="I49" s="264">
        <v>10.914656147671071</v>
      </c>
      <c r="J49" s="50"/>
      <c r="K49" s="50"/>
    </row>
    <row r="50" spans="1:11" ht="12" customHeight="1">
      <c r="A50" s="50"/>
      <c r="B50" s="419" t="s">
        <v>232</v>
      </c>
      <c r="C50" s="418"/>
      <c r="D50" s="415">
        <v>366890</v>
      </c>
      <c r="E50" s="264">
        <v>21.263426199874701</v>
      </c>
      <c r="F50" s="415">
        <v>340996</v>
      </c>
      <c r="G50" s="264">
        <v>23.692634144612921</v>
      </c>
      <c r="H50" s="415">
        <v>342921</v>
      </c>
      <c r="I50" s="264">
        <v>23.258153080685723</v>
      </c>
      <c r="J50" s="50"/>
      <c r="K50" s="50"/>
    </row>
    <row r="51" spans="1:11" ht="12" customHeight="1">
      <c r="A51" s="50"/>
      <c r="B51" s="416"/>
      <c r="C51" s="418" t="s">
        <v>233</v>
      </c>
      <c r="D51" s="415">
        <v>59544</v>
      </c>
      <c r="E51" s="264">
        <v>3.4509238454178068</v>
      </c>
      <c r="F51" s="415">
        <v>64459</v>
      </c>
      <c r="G51" s="264">
        <v>4.4786551875318308</v>
      </c>
      <c r="H51" s="415">
        <v>46740</v>
      </c>
      <c r="I51" s="264">
        <v>3.170077291828878</v>
      </c>
      <c r="J51" s="50"/>
      <c r="K51" s="50"/>
    </row>
    <row r="52" spans="1:11" ht="12" customHeight="1">
      <c r="A52" s="50"/>
      <c r="B52" s="416"/>
      <c r="C52" s="418" t="s">
        <v>234</v>
      </c>
      <c r="D52" s="415">
        <v>113535</v>
      </c>
      <c r="E52" s="264">
        <v>6.5800187892904525</v>
      </c>
      <c r="F52" s="415">
        <v>107397</v>
      </c>
      <c r="G52" s="264">
        <v>7.462016648960673</v>
      </c>
      <c r="H52" s="415">
        <v>114992</v>
      </c>
      <c r="I52" s="264">
        <v>7.7991768922119471</v>
      </c>
      <c r="J52" s="50"/>
      <c r="K52" s="50"/>
    </row>
    <row r="53" spans="1:11" ht="12" customHeight="1">
      <c r="A53" s="50"/>
      <c r="B53" s="416"/>
      <c r="C53" s="418" t="s">
        <v>235</v>
      </c>
      <c r="D53" s="415">
        <v>28877</v>
      </c>
      <c r="E53" s="264">
        <v>1.6735914262416032</v>
      </c>
      <c r="F53" s="415">
        <v>19447</v>
      </c>
      <c r="G53" s="264">
        <v>1.3511907946435955</v>
      </c>
      <c r="H53" s="415">
        <v>22465</v>
      </c>
      <c r="I53" s="264">
        <v>1.5236582447782574</v>
      </c>
      <c r="J53" s="50"/>
      <c r="K53" s="50"/>
    </row>
    <row r="54" spans="1:11" ht="12" customHeight="1">
      <c r="A54" s="50"/>
      <c r="B54" s="416"/>
      <c r="C54" s="418" t="s">
        <v>236</v>
      </c>
      <c r="D54" s="415">
        <v>32581</v>
      </c>
      <c r="E54" s="264">
        <v>1.8882599389956598</v>
      </c>
      <c r="F54" s="415">
        <v>9495</v>
      </c>
      <c r="G54" s="264">
        <v>0.65971906181626672</v>
      </c>
      <c r="H54" s="415">
        <v>8528</v>
      </c>
      <c r="I54" s="264">
        <v>0.57840006728105853</v>
      </c>
      <c r="J54" s="50"/>
      <c r="K54" s="50"/>
    </row>
    <row r="55" spans="1:11" ht="12" customHeight="1">
      <c r="A55" s="50"/>
      <c r="B55" s="416"/>
      <c r="C55" s="418" t="s">
        <v>237</v>
      </c>
      <c r="D55" s="415">
        <v>54390</v>
      </c>
      <c r="E55" s="264">
        <v>3.1522193328005259</v>
      </c>
      <c r="F55" s="415">
        <v>63602</v>
      </c>
      <c r="G55" s="264">
        <v>4.4191102443010211</v>
      </c>
      <c r="H55" s="415">
        <v>66525</v>
      </c>
      <c r="I55" s="264">
        <v>4.5119681608668403</v>
      </c>
      <c r="J55" s="50"/>
      <c r="K55" s="50"/>
    </row>
    <row r="56" spans="1:11" ht="12" customHeight="1">
      <c r="A56" s="50"/>
      <c r="B56" s="416"/>
      <c r="C56" s="418" t="s">
        <v>238</v>
      </c>
      <c r="D56" s="415">
        <v>9745</v>
      </c>
      <c r="E56" s="264">
        <v>0.5647798749428411</v>
      </c>
      <c r="F56" s="415">
        <v>14533</v>
      </c>
      <c r="G56" s="264">
        <v>1.009762730423992</v>
      </c>
      <c r="H56" s="415">
        <v>7318</v>
      </c>
      <c r="I56" s="264">
        <v>0.49633345360726849</v>
      </c>
      <c r="J56" s="50"/>
      <c r="K56" s="50"/>
    </row>
    <row r="57" spans="1:11" ht="12" customHeight="1">
      <c r="A57" s="50"/>
      <c r="B57" s="416"/>
      <c r="C57" s="418" t="s">
        <v>239</v>
      </c>
      <c r="D57" s="415">
        <v>68218</v>
      </c>
      <c r="E57" s="264">
        <v>3.9536329921858111</v>
      </c>
      <c r="F57" s="415">
        <v>62063</v>
      </c>
      <c r="G57" s="264">
        <v>4.3121794769355404</v>
      </c>
      <c r="H57" s="415">
        <v>76353</v>
      </c>
      <c r="I57" s="264">
        <v>5.1785389701114752</v>
      </c>
      <c r="J57" s="50"/>
      <c r="K57" s="50"/>
    </row>
    <row r="58" spans="1:11" ht="12" customHeight="1">
      <c r="A58" s="50"/>
      <c r="B58" s="419" t="s">
        <v>240</v>
      </c>
      <c r="C58" s="418"/>
      <c r="D58" s="415">
        <v>302172</v>
      </c>
      <c r="E58" s="264">
        <v>17.512638724600119</v>
      </c>
      <c r="F58" s="415">
        <v>277314</v>
      </c>
      <c r="G58" s="264">
        <v>19.267965445867947</v>
      </c>
      <c r="H58" s="415">
        <v>292138</v>
      </c>
      <c r="I58" s="264">
        <v>19.813864781350123</v>
      </c>
      <c r="J58" s="50"/>
      <c r="K58" s="50"/>
    </row>
    <row r="59" spans="1:11" ht="12" customHeight="1">
      <c r="A59" s="50"/>
      <c r="B59" s="416"/>
      <c r="C59" s="418" t="s">
        <v>241</v>
      </c>
      <c r="D59" s="415">
        <v>80609</v>
      </c>
      <c r="E59" s="264">
        <v>4.6717640779135428</v>
      </c>
      <c r="F59" s="415">
        <v>78596</v>
      </c>
      <c r="G59" s="264">
        <v>5.4609035684582725</v>
      </c>
      <c r="H59" s="415">
        <v>86313</v>
      </c>
      <c r="I59" s="264">
        <v>5.8540625008477951</v>
      </c>
      <c r="J59" s="50"/>
      <c r="K59" s="50"/>
    </row>
    <row r="60" spans="1:11" ht="12" customHeight="1">
      <c r="A60" s="50"/>
      <c r="B60" s="416"/>
      <c r="C60" s="418" t="s">
        <v>242</v>
      </c>
      <c r="D60" s="415">
        <v>5142</v>
      </c>
      <c r="E60" s="264">
        <v>0.29800904227358527</v>
      </c>
      <c r="F60" s="415">
        <v>11757</v>
      </c>
      <c r="G60" s="264">
        <v>0.81688436121894126</v>
      </c>
      <c r="H60" s="415">
        <v>27743</v>
      </c>
      <c r="I60" s="264">
        <v>1.8816314571503758</v>
      </c>
      <c r="J60" s="50"/>
      <c r="K60" s="50"/>
    </row>
    <row r="61" spans="1:11" ht="12" customHeight="1">
      <c r="A61" s="50"/>
      <c r="B61" s="416"/>
      <c r="C61" s="418" t="s">
        <v>243</v>
      </c>
      <c r="D61" s="415">
        <v>38083</v>
      </c>
      <c r="E61" s="264">
        <v>2.2071330915801144</v>
      </c>
      <c r="F61" s="415">
        <v>35546</v>
      </c>
      <c r="G61" s="264">
        <v>2.4697602708079005</v>
      </c>
      <c r="H61" s="415">
        <v>26004</v>
      </c>
      <c r="I61" s="264">
        <v>1.763686133862177</v>
      </c>
      <c r="J61" s="50"/>
      <c r="K61" s="50"/>
    </row>
    <row r="62" spans="1:11" ht="12" customHeight="1">
      <c r="A62" s="50"/>
      <c r="B62" s="416"/>
      <c r="C62" s="418" t="s">
        <v>244</v>
      </c>
      <c r="D62" s="415">
        <v>11135</v>
      </c>
      <c r="E62" s="264">
        <v>0.64533852308758699</v>
      </c>
      <c r="F62" s="415">
        <v>8701</v>
      </c>
      <c r="G62" s="264">
        <v>0.60455140146006703</v>
      </c>
      <c r="H62" s="415">
        <v>11852</v>
      </c>
      <c r="I62" s="264">
        <v>0.80384587211715586</v>
      </c>
      <c r="J62" s="50"/>
      <c r="K62" s="50"/>
    </row>
    <row r="63" spans="1:11" ht="12" customHeight="1">
      <c r="A63" s="50"/>
      <c r="B63" s="416"/>
      <c r="C63" s="418" t="s">
        <v>245</v>
      </c>
      <c r="D63" s="415">
        <v>123577</v>
      </c>
      <c r="E63" s="264">
        <v>7.1620115552397614</v>
      </c>
      <c r="F63" s="415">
        <v>108994</v>
      </c>
      <c r="G63" s="264">
        <v>7.572977295798017</v>
      </c>
      <c r="H63" s="415">
        <v>111568</v>
      </c>
      <c r="I63" s="264">
        <v>7.5669487226094194</v>
      </c>
      <c r="J63" s="50"/>
      <c r="K63" s="50"/>
    </row>
    <row r="64" spans="1:11" ht="12" customHeight="1">
      <c r="A64" s="50"/>
      <c r="B64" s="416"/>
      <c r="C64" s="418" t="s">
        <v>246</v>
      </c>
      <c r="D64" s="415">
        <v>9223</v>
      </c>
      <c r="E64" s="264">
        <v>0.53452691499208027</v>
      </c>
      <c r="F64" s="415">
        <v>5750</v>
      </c>
      <c r="G64" s="264">
        <v>0.39951391315887658</v>
      </c>
      <c r="H64" s="415">
        <v>6284</v>
      </c>
      <c r="I64" s="264">
        <v>0.42620380192239349</v>
      </c>
      <c r="J64" s="50"/>
      <c r="K64" s="50"/>
    </row>
    <row r="65" spans="1:11" ht="12" customHeight="1">
      <c r="A65" s="50"/>
      <c r="B65" s="417"/>
      <c r="C65" s="418" t="s">
        <v>247</v>
      </c>
      <c r="D65" s="415">
        <v>34403</v>
      </c>
      <c r="E65" s="264">
        <v>1.9938555195134489</v>
      </c>
      <c r="F65" s="415">
        <v>27970</v>
      </c>
      <c r="G65" s="264">
        <v>1.9433746349658745</v>
      </c>
      <c r="H65" s="415">
        <v>22374</v>
      </c>
      <c r="I65" s="264">
        <v>1.517486292840807</v>
      </c>
      <c r="J65" s="50"/>
      <c r="K65" s="50"/>
    </row>
    <row r="66" spans="1:11">
      <c r="D66" s="44"/>
      <c r="E66" s="44"/>
      <c r="F66" s="44"/>
      <c r="G66" s="44"/>
      <c r="H66" s="44"/>
      <c r="I66" s="44"/>
    </row>
    <row r="67" spans="1:11">
      <c r="D67" s="44"/>
      <c r="E67" s="44"/>
      <c r="F67" s="44"/>
      <c r="G67" s="44"/>
      <c r="H67" s="44"/>
      <c r="I67" s="44"/>
    </row>
  </sheetData>
  <mergeCells count="6">
    <mergeCell ref="D36:E36"/>
    <mergeCell ref="F36:G36"/>
    <mergeCell ref="H36:I36"/>
    <mergeCell ref="D4:E4"/>
    <mergeCell ref="F4:G4"/>
    <mergeCell ref="H4:I4"/>
  </mergeCells>
  <phoneticPr fontId="8"/>
  <pageMargins left="0.74803149606299213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zoomScaleNormal="100" workbookViewId="0"/>
  </sheetViews>
  <sheetFormatPr defaultRowHeight="13.5"/>
  <cols>
    <col min="1" max="1" width="1.625" style="136" customWidth="1"/>
    <col min="2" max="2" width="11.75" style="136" customWidth="1"/>
    <col min="3" max="3" width="7.5" style="136" customWidth="1"/>
    <col min="4" max="4" width="7.125" style="136" customWidth="1"/>
    <col min="5" max="5" width="7.875" style="136" customWidth="1"/>
    <col min="6" max="6" width="7.125" style="136" customWidth="1"/>
    <col min="7" max="7" width="11.875" style="136" customWidth="1"/>
    <col min="8" max="8" width="7.125" style="136" customWidth="1"/>
    <col min="9" max="9" width="9.875" style="136" customWidth="1"/>
    <col min="10" max="10" width="7.125" style="136" customWidth="1"/>
    <col min="11" max="11" width="9" style="136"/>
    <col min="12" max="12" width="17" style="136" customWidth="1"/>
    <col min="13" max="16384" width="9" style="136"/>
  </cols>
  <sheetData>
    <row r="1" spans="1:12" s="42" customFormat="1" ht="13.5" customHeight="1">
      <c r="A1" s="43" t="s">
        <v>273</v>
      </c>
      <c r="G1" s="135"/>
    </row>
    <row r="2" spans="1:12" s="42" customFormat="1" ht="13.5" customHeight="1">
      <c r="A2" s="43"/>
      <c r="G2" s="135"/>
    </row>
    <row r="3" spans="1:12" ht="13.5" customHeight="1">
      <c r="B3" s="27"/>
      <c r="C3" s="36"/>
      <c r="D3" s="27"/>
      <c r="E3" s="36"/>
      <c r="F3" s="21"/>
      <c r="G3" s="500"/>
      <c r="H3" s="21"/>
      <c r="I3" s="25"/>
      <c r="J3" s="138" t="s">
        <v>254</v>
      </c>
    </row>
    <row r="4" spans="1:12" s="21" customFormat="1" ht="39" customHeight="1">
      <c r="B4" s="139"/>
      <c r="C4" s="626" t="s">
        <v>255</v>
      </c>
      <c r="D4" s="659"/>
      <c r="E4" s="626" t="s">
        <v>256</v>
      </c>
      <c r="F4" s="659"/>
      <c r="G4" s="626" t="s">
        <v>257</v>
      </c>
      <c r="H4" s="659"/>
      <c r="I4" s="626" t="s">
        <v>258</v>
      </c>
      <c r="J4" s="659"/>
    </row>
    <row r="5" spans="1:12" s="21" customFormat="1" ht="12">
      <c r="B5" s="140"/>
      <c r="C5" s="369" t="s">
        <v>259</v>
      </c>
      <c r="D5" s="369" t="s">
        <v>260</v>
      </c>
      <c r="E5" s="369" t="s">
        <v>261</v>
      </c>
      <c r="F5" s="369" t="s">
        <v>260</v>
      </c>
      <c r="G5" s="369" t="s">
        <v>261</v>
      </c>
      <c r="H5" s="369" t="s">
        <v>260</v>
      </c>
      <c r="I5" s="369" t="s">
        <v>261</v>
      </c>
      <c r="J5" s="369" t="s">
        <v>260</v>
      </c>
    </row>
    <row r="6" spans="1:12" s="21" customFormat="1" ht="13.5" customHeight="1">
      <c r="B6" s="86" t="s">
        <v>262</v>
      </c>
      <c r="C6" s="410">
        <v>16574</v>
      </c>
      <c r="D6" s="411">
        <v>100</v>
      </c>
      <c r="E6" s="412">
        <v>199334</v>
      </c>
      <c r="F6" s="411">
        <v>100</v>
      </c>
      <c r="G6" s="412">
        <v>3686994</v>
      </c>
      <c r="H6" s="411">
        <v>100</v>
      </c>
      <c r="I6" s="412">
        <v>1474412</v>
      </c>
      <c r="J6" s="411">
        <v>100</v>
      </c>
      <c r="L6" s="27"/>
    </row>
    <row r="7" spans="1:12" s="21" customFormat="1" ht="13.5" customHeight="1">
      <c r="B7" s="413" t="s">
        <v>263</v>
      </c>
      <c r="C7" s="410">
        <v>7044</v>
      </c>
      <c r="D7" s="411">
        <v>42.500301677325929</v>
      </c>
      <c r="E7" s="412">
        <v>14075</v>
      </c>
      <c r="F7" s="411">
        <v>7.0610131738689841</v>
      </c>
      <c r="G7" s="412" t="s">
        <v>264</v>
      </c>
      <c r="H7" s="412" t="s">
        <v>264</v>
      </c>
      <c r="I7" s="412" t="s">
        <v>264</v>
      </c>
      <c r="J7" s="412" t="s">
        <v>265</v>
      </c>
      <c r="L7" s="27"/>
    </row>
    <row r="8" spans="1:12" s="21" customFormat="1" ht="13.5" customHeight="1">
      <c r="B8" s="413" t="s">
        <v>266</v>
      </c>
      <c r="C8" s="410">
        <v>5325</v>
      </c>
      <c r="D8" s="411">
        <v>32.128635211777485</v>
      </c>
      <c r="E8" s="412">
        <v>31166</v>
      </c>
      <c r="F8" s="411">
        <v>15.635064765669679</v>
      </c>
      <c r="G8" s="412">
        <v>284858</v>
      </c>
      <c r="H8" s="411">
        <v>7.7260228793429002</v>
      </c>
      <c r="I8" s="412">
        <v>135638</v>
      </c>
      <c r="J8" s="411">
        <v>9.1994639218888619</v>
      </c>
      <c r="L8" s="27"/>
    </row>
    <row r="9" spans="1:12" s="21" customFormat="1" ht="13.5" customHeight="1">
      <c r="B9" s="413" t="s">
        <v>267</v>
      </c>
      <c r="C9" s="410">
        <v>2196</v>
      </c>
      <c r="D9" s="411">
        <v>13.249668154941475</v>
      </c>
      <c r="E9" s="412">
        <v>29578</v>
      </c>
      <c r="F9" s="411">
        <v>14.838411911665847</v>
      </c>
      <c r="G9" s="412">
        <v>380652</v>
      </c>
      <c r="H9" s="411">
        <v>10.324182789557021</v>
      </c>
      <c r="I9" s="412">
        <v>171588</v>
      </c>
      <c r="J9" s="411">
        <v>11.63772405542006</v>
      </c>
      <c r="L9" s="27"/>
    </row>
    <row r="10" spans="1:12" s="21" customFormat="1" ht="13.5" customHeight="1">
      <c r="B10" s="413" t="s">
        <v>268</v>
      </c>
      <c r="C10" s="410">
        <v>820</v>
      </c>
      <c r="D10" s="411">
        <v>4.9475081452878005</v>
      </c>
      <c r="E10" s="412">
        <v>19729</v>
      </c>
      <c r="F10" s="411">
        <v>9.8974585369279708</v>
      </c>
      <c r="G10" s="412">
        <v>326452</v>
      </c>
      <c r="H10" s="411">
        <v>8.8541505627619692</v>
      </c>
      <c r="I10" s="412">
        <v>129576</v>
      </c>
      <c r="J10" s="411">
        <v>8.7883169697479406</v>
      </c>
      <c r="L10" s="27"/>
    </row>
    <row r="11" spans="1:12" s="21" customFormat="1" ht="13.5" customHeight="1">
      <c r="B11" s="413" t="s">
        <v>269</v>
      </c>
      <c r="C11" s="410">
        <v>945</v>
      </c>
      <c r="D11" s="411">
        <v>5.7017014601182572</v>
      </c>
      <c r="E11" s="412">
        <v>47508</v>
      </c>
      <c r="F11" s="411">
        <v>23.833365105802322</v>
      </c>
      <c r="G11" s="412">
        <v>948487</v>
      </c>
      <c r="H11" s="411">
        <v>25.725211378157926</v>
      </c>
      <c r="I11" s="412">
        <v>346177</v>
      </c>
      <c r="J11" s="411">
        <v>23.478986877480651</v>
      </c>
      <c r="L11" s="27"/>
    </row>
    <row r="12" spans="1:12" s="21" customFormat="1" ht="13.5" customHeight="1">
      <c r="B12" s="414" t="s">
        <v>270</v>
      </c>
      <c r="C12" s="410">
        <v>166</v>
      </c>
      <c r="D12" s="411">
        <v>1.0015687220948473</v>
      </c>
      <c r="E12" s="412">
        <v>25487</v>
      </c>
      <c r="F12" s="411">
        <v>12.786077638536325</v>
      </c>
      <c r="G12" s="412">
        <v>642524</v>
      </c>
      <c r="H12" s="411">
        <v>17.426770968436617</v>
      </c>
      <c r="I12" s="412">
        <v>231746</v>
      </c>
      <c r="J12" s="411">
        <v>15.717859051608372</v>
      </c>
      <c r="L12" s="27"/>
    </row>
    <row r="13" spans="1:12" s="21" customFormat="1" ht="13.5" customHeight="1">
      <c r="B13" s="414" t="s">
        <v>271</v>
      </c>
      <c r="C13" s="410">
        <v>48</v>
      </c>
      <c r="D13" s="411">
        <v>0.28961023289489563</v>
      </c>
      <c r="E13" s="412">
        <v>31791</v>
      </c>
      <c r="F13" s="411">
        <v>15.948608867528872</v>
      </c>
      <c r="G13" s="412">
        <v>1104021</v>
      </c>
      <c r="H13" s="411">
        <v>29.943661421743567</v>
      </c>
      <c r="I13" s="412">
        <v>459687</v>
      </c>
      <c r="J13" s="411">
        <v>31.177649123854117</v>
      </c>
      <c r="L13" s="27"/>
    </row>
    <row r="14" spans="1:12" ht="7.5" customHeight="1">
      <c r="B14" s="141"/>
      <c r="C14" s="38"/>
      <c r="D14" s="142"/>
      <c r="E14" s="38"/>
      <c r="F14" s="142"/>
      <c r="G14" s="38"/>
      <c r="H14" s="142"/>
      <c r="I14" s="38"/>
      <c r="J14" s="142"/>
    </row>
    <row r="15" spans="1:12" ht="12.75" customHeight="1">
      <c r="B15" s="143"/>
      <c r="C15" s="38"/>
      <c r="D15" s="38"/>
      <c r="E15" s="38"/>
      <c r="F15" s="38"/>
      <c r="G15" s="38"/>
      <c r="H15" s="38"/>
      <c r="I15" s="38"/>
      <c r="J15" s="38"/>
    </row>
    <row r="16" spans="1:12" ht="12.75" customHeight="1">
      <c r="B16" s="143" t="s">
        <v>272</v>
      </c>
      <c r="C16" s="38"/>
      <c r="D16" s="38"/>
      <c r="E16" s="38"/>
      <c r="F16" s="38"/>
      <c r="G16" s="38"/>
      <c r="H16" s="38"/>
      <c r="I16" s="38"/>
      <c r="J16" s="38"/>
    </row>
    <row r="17" spans="2:10" ht="12.75" customHeight="1">
      <c r="B17" s="21"/>
      <c r="C17" s="38"/>
      <c r="D17" s="38"/>
      <c r="E17" s="38"/>
      <c r="F17" s="38"/>
      <c r="G17" s="38"/>
      <c r="H17" s="38"/>
      <c r="I17" s="38"/>
      <c r="J17" s="38"/>
    </row>
    <row r="18" spans="2:10" ht="12.75" customHeight="1">
      <c r="B18" s="144"/>
      <c r="C18" s="144"/>
      <c r="D18" s="144"/>
      <c r="E18" s="144"/>
      <c r="F18" s="144"/>
      <c r="G18" s="144"/>
      <c r="H18" s="144"/>
      <c r="I18" s="144"/>
      <c r="J18" s="144"/>
    </row>
    <row r="19" spans="2:10" ht="12.75" customHeight="1">
      <c r="B19" s="144"/>
      <c r="C19" s="144"/>
      <c r="D19" s="144"/>
      <c r="E19" s="144"/>
      <c r="F19" s="144"/>
      <c r="G19" s="144"/>
      <c r="H19" s="144"/>
      <c r="I19" s="144"/>
      <c r="J19" s="144"/>
    </row>
    <row r="20" spans="2:10" ht="12.75" customHeight="1">
      <c r="B20" s="49"/>
      <c r="C20" s="48"/>
      <c r="D20" s="48"/>
      <c r="E20" s="48"/>
      <c r="F20" s="48"/>
      <c r="G20" s="48"/>
      <c r="H20" s="49"/>
      <c r="I20" s="49"/>
      <c r="J20" s="49"/>
    </row>
    <row r="21" spans="2:10" ht="12.75" customHeight="1">
      <c r="B21" s="49"/>
      <c r="C21" s="48"/>
      <c r="D21" s="48"/>
      <c r="E21" s="48"/>
      <c r="F21" s="48"/>
      <c r="G21" s="48"/>
      <c r="H21" s="49"/>
      <c r="I21" s="49"/>
      <c r="J21" s="49"/>
    </row>
  </sheetData>
  <mergeCells count="4">
    <mergeCell ref="C4:D4"/>
    <mergeCell ref="E4:F4"/>
    <mergeCell ref="G4:H4"/>
    <mergeCell ref="I4:J4"/>
  </mergeCells>
  <phoneticPr fontId="8"/>
  <pageMargins left="0.74803149606299213" right="0.31496062992125984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Normal="100" workbookViewId="0"/>
  </sheetViews>
  <sheetFormatPr defaultRowHeight="13.5"/>
  <cols>
    <col min="1" max="1" width="1.625" customWidth="1"/>
    <col min="2" max="2" width="4" customWidth="1"/>
    <col min="3" max="3" width="11.375" customWidth="1"/>
    <col min="4" max="4" width="6.25" bestFit="1" customWidth="1"/>
    <col min="5" max="5" width="6.375" customWidth="1"/>
    <col min="6" max="6" width="7.5" bestFit="1" customWidth="1"/>
    <col min="7" max="7" width="6.625" customWidth="1"/>
    <col min="8" max="8" width="7.125" bestFit="1" customWidth="1"/>
    <col min="9" max="9" width="6.625" customWidth="1"/>
    <col min="10" max="10" width="7.125" bestFit="1" customWidth="1"/>
    <col min="11" max="11" width="6.375" customWidth="1"/>
    <col min="12" max="14" width="2.625" customWidth="1"/>
  </cols>
  <sheetData>
    <row r="1" spans="1:19" s="41" customFormat="1" ht="13.5" customHeight="1">
      <c r="A1" s="40" t="s">
        <v>281</v>
      </c>
    </row>
    <row r="2" spans="1:19" s="41" customFormat="1" ht="13.5" customHeight="1">
      <c r="B2" s="40"/>
      <c r="F2" s="145"/>
      <c r="J2" s="145"/>
    </row>
    <row r="3" spans="1:19">
      <c r="F3" s="51"/>
      <c r="G3" s="51" t="s">
        <v>81</v>
      </c>
      <c r="K3" s="51" t="s">
        <v>83</v>
      </c>
      <c r="N3" s="148"/>
      <c r="O3" s="148"/>
    </row>
    <row r="4" spans="1:19">
      <c r="B4" s="149"/>
      <c r="C4" s="150"/>
      <c r="D4" s="659" t="s">
        <v>80</v>
      </c>
      <c r="E4" s="659"/>
      <c r="F4" s="659"/>
      <c r="G4" s="659"/>
      <c r="H4" s="659" t="s">
        <v>198</v>
      </c>
      <c r="I4" s="659"/>
      <c r="J4" s="659"/>
      <c r="K4" s="659"/>
      <c r="M4" s="51"/>
      <c r="N4" s="148"/>
      <c r="O4" s="152"/>
      <c r="S4" s="51"/>
    </row>
    <row r="5" spans="1:19">
      <c r="B5" s="153"/>
      <c r="C5" s="154"/>
      <c r="D5" s="626" t="s">
        <v>205</v>
      </c>
      <c r="E5" s="661"/>
      <c r="F5" s="626" t="s">
        <v>30</v>
      </c>
      <c r="G5" s="661"/>
      <c r="H5" s="626" t="s">
        <v>205</v>
      </c>
      <c r="I5" s="661"/>
      <c r="J5" s="626" t="s">
        <v>30</v>
      </c>
      <c r="K5" s="661"/>
    </row>
    <row r="6" spans="1:19">
      <c r="B6" s="155"/>
      <c r="C6" s="156"/>
      <c r="D6" s="607" t="s">
        <v>86</v>
      </c>
      <c r="E6" s="607" t="s">
        <v>219</v>
      </c>
      <c r="F6" s="607" t="s">
        <v>86</v>
      </c>
      <c r="G6" s="607" t="s">
        <v>219</v>
      </c>
      <c r="H6" s="607" t="s">
        <v>86</v>
      </c>
      <c r="I6" s="607" t="s">
        <v>219</v>
      </c>
      <c r="J6" s="607" t="s">
        <v>86</v>
      </c>
      <c r="K6" s="607" t="s">
        <v>219</v>
      </c>
    </row>
    <row r="7" spans="1:19">
      <c r="B7" s="426" t="s">
        <v>206</v>
      </c>
      <c r="C7" s="427"/>
      <c r="D7" s="421">
        <v>18467</v>
      </c>
      <c r="E7" s="422">
        <v>100</v>
      </c>
      <c r="F7" s="423">
        <v>16574</v>
      </c>
      <c r="G7" s="422">
        <v>100</v>
      </c>
      <c r="H7" s="421">
        <v>228246</v>
      </c>
      <c r="I7" s="422">
        <v>100</v>
      </c>
      <c r="J7" s="423">
        <v>199334</v>
      </c>
      <c r="K7" s="422">
        <v>100</v>
      </c>
    </row>
    <row r="8" spans="1:19">
      <c r="B8" s="428" t="s">
        <v>276</v>
      </c>
      <c r="C8" s="429"/>
      <c r="D8" s="424">
        <v>4355</v>
      </c>
      <c r="E8" s="422">
        <v>23.582606812151404</v>
      </c>
      <c r="F8" s="423">
        <v>3758</v>
      </c>
      <c r="G8" s="422">
        <v>22.67406781706287</v>
      </c>
      <c r="H8" s="424">
        <v>67424</v>
      </c>
      <c r="I8" s="422">
        <v>29.540057657089282</v>
      </c>
      <c r="J8" s="423">
        <v>52481</v>
      </c>
      <c r="K8" s="422">
        <v>26.328172815475533</v>
      </c>
    </row>
    <row r="9" spans="1:19">
      <c r="B9" s="428"/>
      <c r="C9" s="394" t="s">
        <v>122</v>
      </c>
      <c r="D9" s="376">
        <v>958</v>
      </c>
      <c r="E9" s="422">
        <v>5.1876319922023066</v>
      </c>
      <c r="F9" s="423">
        <v>814</v>
      </c>
      <c r="G9" s="422">
        <v>4.9113068661759378</v>
      </c>
      <c r="H9" s="376">
        <v>18190</v>
      </c>
      <c r="I9" s="422">
        <v>7.9694715350980969</v>
      </c>
      <c r="J9" s="423">
        <v>17542</v>
      </c>
      <c r="K9" s="422">
        <v>8.8003050157022873</v>
      </c>
    </row>
    <row r="10" spans="1:19">
      <c r="B10" s="392"/>
      <c r="C10" s="394" t="s">
        <v>124</v>
      </c>
      <c r="D10" s="376">
        <v>415</v>
      </c>
      <c r="E10" s="422">
        <v>2.2472518546596634</v>
      </c>
      <c r="F10" s="423">
        <v>373</v>
      </c>
      <c r="G10" s="422">
        <v>2.2505128514540846</v>
      </c>
      <c r="H10" s="376">
        <v>4623</v>
      </c>
      <c r="I10" s="422">
        <v>2.0254462290686366</v>
      </c>
      <c r="J10" s="423">
        <v>3656</v>
      </c>
      <c r="K10" s="422">
        <v>1.8341075782355241</v>
      </c>
    </row>
    <row r="11" spans="1:19">
      <c r="B11" s="392"/>
      <c r="C11" s="394" t="s">
        <v>126</v>
      </c>
      <c r="D11" s="376">
        <v>1295</v>
      </c>
      <c r="E11" s="422">
        <v>7.0125087994801536</v>
      </c>
      <c r="F11" s="423">
        <v>1073</v>
      </c>
      <c r="G11" s="422">
        <v>6.4739954145046461</v>
      </c>
      <c r="H11" s="376">
        <v>26218</v>
      </c>
      <c r="I11" s="422">
        <v>11.48672923074227</v>
      </c>
      <c r="J11" s="423">
        <v>16491</v>
      </c>
      <c r="K11" s="422">
        <v>8.2730492540158718</v>
      </c>
    </row>
    <row r="12" spans="1:19">
      <c r="B12" s="392"/>
      <c r="C12" s="394" t="s">
        <v>127</v>
      </c>
      <c r="D12" s="376">
        <v>835</v>
      </c>
      <c r="E12" s="422">
        <v>4.5215790328694423</v>
      </c>
      <c r="F12" s="423">
        <v>705</v>
      </c>
      <c r="G12" s="422">
        <v>4.2536502956437792</v>
      </c>
      <c r="H12" s="376">
        <v>8943</v>
      </c>
      <c r="I12" s="422">
        <v>3.918140953182093</v>
      </c>
      <c r="J12" s="423">
        <v>6160</v>
      </c>
      <c r="K12" s="422">
        <v>3.0902906679241875</v>
      </c>
    </row>
    <row r="13" spans="1:19">
      <c r="B13" s="392"/>
      <c r="C13" s="394" t="s">
        <v>130</v>
      </c>
      <c r="D13" s="376">
        <v>490</v>
      </c>
      <c r="E13" s="422">
        <v>2.6533817079114095</v>
      </c>
      <c r="F13" s="423">
        <v>459</v>
      </c>
      <c r="G13" s="422">
        <v>2.7693978520574394</v>
      </c>
      <c r="H13" s="376">
        <v>4630</v>
      </c>
      <c r="I13" s="422">
        <v>2.0285130955197461</v>
      </c>
      <c r="J13" s="423">
        <v>4106</v>
      </c>
      <c r="K13" s="422">
        <v>2.0598593315741418</v>
      </c>
    </row>
    <row r="14" spans="1:19">
      <c r="B14" s="617"/>
      <c r="C14" s="394" t="s">
        <v>131</v>
      </c>
      <c r="D14" s="376">
        <v>362</v>
      </c>
      <c r="E14" s="422">
        <v>1.9602534250284291</v>
      </c>
      <c r="F14" s="423">
        <v>334</v>
      </c>
      <c r="G14" s="422">
        <v>2.0152045372269818</v>
      </c>
      <c r="H14" s="376">
        <v>4820</v>
      </c>
      <c r="I14" s="422">
        <v>2.1117566134784398</v>
      </c>
      <c r="J14" s="423">
        <v>4526</v>
      </c>
      <c r="K14" s="422">
        <v>2.2705609680235184</v>
      </c>
    </row>
    <row r="15" spans="1:19">
      <c r="B15" s="428" t="s">
        <v>277</v>
      </c>
      <c r="C15" s="161"/>
      <c r="D15" s="425">
        <v>2913</v>
      </c>
      <c r="E15" s="422">
        <v>15.774083500297827</v>
      </c>
      <c r="F15" s="423">
        <v>2699</v>
      </c>
      <c r="G15" s="422">
        <v>16.284542053819234</v>
      </c>
      <c r="H15" s="425">
        <v>45331</v>
      </c>
      <c r="I15" s="422">
        <v>19.860589013608124</v>
      </c>
      <c r="J15" s="423">
        <v>43636</v>
      </c>
      <c r="K15" s="422">
        <v>21.890896685964261</v>
      </c>
    </row>
    <row r="16" spans="1:19">
      <c r="B16" s="157"/>
      <c r="C16" s="429" t="s">
        <v>125</v>
      </c>
      <c r="D16" s="376">
        <v>268</v>
      </c>
      <c r="E16" s="422">
        <v>1.4512373422862404</v>
      </c>
      <c r="F16" s="423">
        <v>249</v>
      </c>
      <c r="G16" s="422">
        <v>1.5023530831422711</v>
      </c>
      <c r="H16" s="376">
        <v>8925</v>
      </c>
      <c r="I16" s="422">
        <v>3.9102547251649535</v>
      </c>
      <c r="J16" s="423">
        <v>8810</v>
      </c>
      <c r="K16" s="422">
        <v>4.4197176598071577</v>
      </c>
    </row>
    <row r="17" spans="2:11">
      <c r="B17" s="123"/>
      <c r="C17" s="394" t="s">
        <v>128</v>
      </c>
      <c r="D17" s="376">
        <v>567</v>
      </c>
      <c r="E17" s="422">
        <v>3.0703416905832026</v>
      </c>
      <c r="F17" s="423">
        <v>523</v>
      </c>
      <c r="G17" s="422">
        <v>3.1555448292506338</v>
      </c>
      <c r="H17" s="376">
        <v>4215</v>
      </c>
      <c r="I17" s="422">
        <v>1.8466917273468102</v>
      </c>
      <c r="J17" s="423">
        <v>3572</v>
      </c>
      <c r="K17" s="422">
        <v>1.7919672509456488</v>
      </c>
    </row>
    <row r="18" spans="2:11">
      <c r="B18" s="123"/>
      <c r="C18" s="394" t="s">
        <v>129</v>
      </c>
      <c r="D18" s="376">
        <v>515</v>
      </c>
      <c r="E18" s="422">
        <v>2.7887583256619917</v>
      </c>
      <c r="F18" s="423">
        <v>479</v>
      </c>
      <c r="G18" s="422">
        <v>2.8900687824303128</v>
      </c>
      <c r="H18" s="376">
        <v>6620</v>
      </c>
      <c r="I18" s="422">
        <v>2.9003794151923801</v>
      </c>
      <c r="J18" s="423">
        <v>6173</v>
      </c>
      <c r="K18" s="422">
        <v>3.0968123852428588</v>
      </c>
    </row>
    <row r="19" spans="2:11">
      <c r="B19" s="123"/>
      <c r="C19" s="394" t="s">
        <v>132</v>
      </c>
      <c r="D19" s="376">
        <v>1108</v>
      </c>
      <c r="E19" s="422">
        <v>5.9998916987057997</v>
      </c>
      <c r="F19" s="423">
        <v>1011</v>
      </c>
      <c r="G19" s="422">
        <v>6.0999155303487385</v>
      </c>
      <c r="H19" s="376">
        <v>16388</v>
      </c>
      <c r="I19" s="422">
        <v>7.1799724858266956</v>
      </c>
      <c r="J19" s="423">
        <v>16304</v>
      </c>
      <c r="K19" s="422">
        <v>8.1792368587396034</v>
      </c>
    </row>
    <row r="20" spans="2:11">
      <c r="B20" s="617"/>
      <c r="C20" s="394" t="s">
        <v>141</v>
      </c>
      <c r="D20" s="376">
        <v>455</v>
      </c>
      <c r="E20" s="422">
        <v>2.4638544430605944</v>
      </c>
      <c r="F20" s="423">
        <v>437</v>
      </c>
      <c r="G20" s="422">
        <v>2.6366598286472787</v>
      </c>
      <c r="H20" s="376">
        <v>9183</v>
      </c>
      <c r="I20" s="422">
        <v>4.0232906600772846</v>
      </c>
      <c r="J20" s="423">
        <v>8777</v>
      </c>
      <c r="K20" s="422">
        <v>4.4031625312289924</v>
      </c>
    </row>
    <row r="21" spans="2:11">
      <c r="B21" s="428" t="s">
        <v>278</v>
      </c>
      <c r="C21" s="159"/>
      <c r="D21" s="425">
        <v>3008</v>
      </c>
      <c r="E21" s="422">
        <v>16.288514647750041</v>
      </c>
      <c r="F21" s="423">
        <v>2658</v>
      </c>
      <c r="G21" s="422">
        <v>16.037166646554844</v>
      </c>
      <c r="H21" s="425">
        <v>43742</v>
      </c>
      <c r="I21" s="422">
        <v>19.164410329206209</v>
      </c>
      <c r="J21" s="423">
        <v>37452</v>
      </c>
      <c r="K21" s="422">
        <v>18.78856592452868</v>
      </c>
    </row>
    <row r="22" spans="2:11">
      <c r="B22" s="157"/>
      <c r="C22" s="429" t="s">
        <v>123</v>
      </c>
      <c r="D22" s="376">
        <v>456</v>
      </c>
      <c r="E22" s="422">
        <v>2.4692695077706177</v>
      </c>
      <c r="F22" s="423">
        <v>404</v>
      </c>
      <c r="G22" s="422">
        <v>2.437552793532038</v>
      </c>
      <c r="H22" s="376">
        <v>3883</v>
      </c>
      <c r="I22" s="422">
        <v>1.7012346328084609</v>
      </c>
      <c r="J22" s="423">
        <v>3406</v>
      </c>
      <c r="K22" s="422">
        <v>1.7086899374918478</v>
      </c>
    </row>
    <row r="23" spans="2:11">
      <c r="B23" s="123"/>
      <c r="C23" s="394" t="s">
        <v>133</v>
      </c>
      <c r="D23" s="376">
        <v>1190</v>
      </c>
      <c r="E23" s="422">
        <v>6.4439270049277093</v>
      </c>
      <c r="F23" s="423">
        <v>1056</v>
      </c>
      <c r="G23" s="422">
        <v>6.3714251236877031</v>
      </c>
      <c r="H23" s="376">
        <v>19781</v>
      </c>
      <c r="I23" s="422">
        <v>8.6665264670574729</v>
      </c>
      <c r="J23" s="423">
        <v>17244</v>
      </c>
      <c r="K23" s="422">
        <v>8.6508071879358255</v>
      </c>
    </row>
    <row r="24" spans="2:11">
      <c r="B24" s="123"/>
      <c r="C24" s="394" t="s">
        <v>134</v>
      </c>
      <c r="D24" s="376">
        <v>382</v>
      </c>
      <c r="E24" s="422">
        <v>2.0685547192288949</v>
      </c>
      <c r="F24" s="423">
        <v>343</v>
      </c>
      <c r="G24" s="422">
        <v>2.0695064558947749</v>
      </c>
      <c r="H24" s="376">
        <v>8732</v>
      </c>
      <c r="I24" s="422">
        <v>3.8256968358700703</v>
      </c>
      <c r="J24" s="423">
        <v>7162</v>
      </c>
      <c r="K24" s="422">
        <v>3.5929645720248429</v>
      </c>
    </row>
    <row r="25" spans="2:11">
      <c r="B25" s="123"/>
      <c r="C25" s="394" t="s">
        <v>137</v>
      </c>
      <c r="D25" s="376">
        <v>371</v>
      </c>
      <c r="E25" s="422">
        <v>2.0089890074186387</v>
      </c>
      <c r="F25" s="423">
        <v>304</v>
      </c>
      <c r="G25" s="422">
        <v>1.834198141667672</v>
      </c>
      <c r="H25" s="376">
        <v>3056</v>
      </c>
      <c r="I25" s="422">
        <v>1.3389062677987786</v>
      </c>
      <c r="J25" s="423">
        <v>2638</v>
      </c>
      <c r="K25" s="422">
        <v>1.3234069451272739</v>
      </c>
    </row>
    <row r="26" spans="2:11">
      <c r="B26" s="617"/>
      <c r="C26" s="394" t="s">
        <v>139</v>
      </c>
      <c r="D26" s="376">
        <v>609</v>
      </c>
      <c r="E26" s="422">
        <v>3.2977744084041802</v>
      </c>
      <c r="F26" s="423">
        <v>551</v>
      </c>
      <c r="G26" s="422">
        <v>3.3244841317726559</v>
      </c>
      <c r="H26" s="376">
        <v>8290</v>
      </c>
      <c r="I26" s="422">
        <v>3.6320461256714247</v>
      </c>
      <c r="J26" s="423">
        <v>7002</v>
      </c>
      <c r="K26" s="422">
        <v>3.5126972819488902</v>
      </c>
    </row>
    <row r="27" spans="2:11">
      <c r="B27" s="428" t="s">
        <v>279</v>
      </c>
      <c r="C27" s="158"/>
      <c r="D27" s="425">
        <v>6194</v>
      </c>
      <c r="E27" s="422">
        <v>33.540910813884231</v>
      </c>
      <c r="F27" s="423">
        <v>5660</v>
      </c>
      <c r="G27" s="422">
        <v>34.149873295523108</v>
      </c>
      <c r="H27" s="425">
        <v>53412</v>
      </c>
      <c r="I27" s="422">
        <v>23.401067269524987</v>
      </c>
      <c r="J27" s="423">
        <v>47488</v>
      </c>
      <c r="K27" s="422">
        <v>23.823331694542826</v>
      </c>
    </row>
    <row r="28" spans="2:11">
      <c r="B28" s="157"/>
      <c r="C28" s="429" t="s">
        <v>135</v>
      </c>
      <c r="D28" s="376">
        <v>1131</v>
      </c>
      <c r="E28" s="422">
        <v>6.1244381870363354</v>
      </c>
      <c r="F28" s="423">
        <v>1006</v>
      </c>
      <c r="G28" s="422">
        <v>6.0697477977555208</v>
      </c>
      <c r="H28" s="376">
        <v>9532</v>
      </c>
      <c r="I28" s="422">
        <v>4.1761958588540438</v>
      </c>
      <c r="J28" s="423">
        <v>8602</v>
      </c>
      <c r="K28" s="422">
        <v>4.3153701827084188</v>
      </c>
    </row>
    <row r="29" spans="2:11">
      <c r="B29" s="123"/>
      <c r="C29" s="394" t="s">
        <v>136</v>
      </c>
      <c r="D29" s="376">
        <v>2106</v>
      </c>
      <c r="E29" s="422">
        <v>11.404126279309038</v>
      </c>
      <c r="F29" s="423">
        <v>1962</v>
      </c>
      <c r="G29" s="422">
        <v>11.837818269578857</v>
      </c>
      <c r="H29" s="376">
        <v>15318</v>
      </c>
      <c r="I29" s="422">
        <v>6.7111800425856307</v>
      </c>
      <c r="J29" s="423">
        <v>14207</v>
      </c>
      <c r="K29" s="422">
        <v>7.1272336881816445</v>
      </c>
    </row>
    <row r="30" spans="2:11">
      <c r="B30" s="123"/>
      <c r="C30" s="394" t="s">
        <v>138</v>
      </c>
      <c r="D30" s="376">
        <v>985</v>
      </c>
      <c r="E30" s="422">
        <v>5.3338387393729354</v>
      </c>
      <c r="F30" s="423">
        <v>874</v>
      </c>
      <c r="G30" s="422">
        <v>5.2733196572945573</v>
      </c>
      <c r="H30" s="376">
        <v>10103</v>
      </c>
      <c r="I30" s="422">
        <v>4.4263645365088546</v>
      </c>
      <c r="J30" s="423">
        <v>7592</v>
      </c>
      <c r="K30" s="422">
        <v>3.808682914103966</v>
      </c>
    </row>
    <row r="31" spans="2:11">
      <c r="B31" s="617"/>
      <c r="C31" s="394" t="s">
        <v>144</v>
      </c>
      <c r="D31" s="376">
        <v>1972</v>
      </c>
      <c r="E31" s="422">
        <v>10.678507608165917</v>
      </c>
      <c r="F31" s="423">
        <v>1818</v>
      </c>
      <c r="G31" s="422">
        <v>10.968987570894171</v>
      </c>
      <c r="H31" s="376">
        <v>18459</v>
      </c>
      <c r="I31" s="422">
        <v>8.0873268315764566</v>
      </c>
      <c r="J31" s="423">
        <v>17087</v>
      </c>
      <c r="K31" s="422">
        <v>8.5720449095487972</v>
      </c>
    </row>
    <row r="32" spans="2:11">
      <c r="B32" s="428" t="s">
        <v>280</v>
      </c>
      <c r="C32" s="158"/>
      <c r="D32" s="424">
        <v>1997</v>
      </c>
      <c r="E32" s="422">
        <v>10.8138842259165</v>
      </c>
      <c r="F32" s="423">
        <v>1799</v>
      </c>
      <c r="G32" s="422">
        <v>10.854350187039943</v>
      </c>
      <c r="H32" s="424">
        <v>18337</v>
      </c>
      <c r="I32" s="422">
        <v>8.0338757305714008</v>
      </c>
      <c r="J32" s="423">
        <v>18277</v>
      </c>
      <c r="K32" s="422">
        <v>9.1690328794886984</v>
      </c>
    </row>
    <row r="33" spans="2:11">
      <c r="B33" s="157"/>
      <c r="C33" s="429" t="s">
        <v>140</v>
      </c>
      <c r="D33" s="376">
        <v>317</v>
      </c>
      <c r="E33" s="422">
        <v>1.7165755130773812</v>
      </c>
      <c r="F33" s="423">
        <v>268</v>
      </c>
      <c r="G33" s="422">
        <v>1.6169904669965005</v>
      </c>
      <c r="H33" s="376">
        <v>3168</v>
      </c>
      <c r="I33" s="422">
        <v>1.3879761310165348</v>
      </c>
      <c r="J33" s="423">
        <v>4106</v>
      </c>
      <c r="K33" s="422">
        <v>2.0598593315741418</v>
      </c>
    </row>
    <row r="34" spans="2:11">
      <c r="B34" s="123"/>
      <c r="C34" s="394" t="s">
        <v>142</v>
      </c>
      <c r="D34" s="376">
        <v>274</v>
      </c>
      <c r="E34" s="422">
        <v>1.4837277305463799</v>
      </c>
      <c r="F34" s="423">
        <v>220</v>
      </c>
      <c r="G34" s="422">
        <v>1.327380234101605</v>
      </c>
      <c r="H34" s="376">
        <v>2186</v>
      </c>
      <c r="I34" s="422">
        <v>0.95773858030370729</v>
      </c>
      <c r="J34" s="423">
        <v>1685</v>
      </c>
      <c r="K34" s="422">
        <v>0.8453148986123793</v>
      </c>
    </row>
    <row r="35" spans="2:11">
      <c r="B35" s="123"/>
      <c r="C35" s="394" t="s">
        <v>143</v>
      </c>
      <c r="D35" s="376">
        <v>761</v>
      </c>
      <c r="E35" s="422">
        <v>4.1208642443277199</v>
      </c>
      <c r="F35" s="423">
        <v>701</v>
      </c>
      <c r="G35" s="422">
        <v>4.2295161095692047</v>
      </c>
      <c r="H35" s="376">
        <v>6551</v>
      </c>
      <c r="I35" s="422">
        <v>2.8701488744600123</v>
      </c>
      <c r="J35" s="423">
        <v>6326</v>
      </c>
      <c r="K35" s="422">
        <v>3.1735679813779885</v>
      </c>
    </row>
    <row r="36" spans="2:11">
      <c r="B36" s="125"/>
      <c r="C36" s="394" t="s">
        <v>145</v>
      </c>
      <c r="D36" s="376">
        <v>645</v>
      </c>
      <c r="E36" s="422">
        <v>3.492716737965019</v>
      </c>
      <c r="F36" s="423">
        <v>610</v>
      </c>
      <c r="G36" s="422">
        <v>3.6804633763726322</v>
      </c>
      <c r="H36" s="376">
        <v>6432</v>
      </c>
      <c r="I36" s="422">
        <v>2.8180121447911466</v>
      </c>
      <c r="J36" s="423">
        <v>6160</v>
      </c>
      <c r="K36" s="422">
        <v>3.0902906679241875</v>
      </c>
    </row>
    <row r="37" spans="2:11" ht="6.75" customHeight="1">
      <c r="B37" s="44"/>
      <c r="C37" s="44"/>
      <c r="D37" s="44"/>
      <c r="E37" s="44"/>
      <c r="F37" s="44"/>
      <c r="G37" s="44"/>
      <c r="H37" s="44"/>
      <c r="I37" s="44"/>
      <c r="J37" s="25"/>
      <c r="K37" s="44"/>
    </row>
    <row r="38" spans="2:11">
      <c r="B38" s="430" t="s">
        <v>590</v>
      </c>
      <c r="C38" s="430"/>
      <c r="D38" s="365"/>
      <c r="E38" s="365"/>
      <c r="F38" s="365"/>
      <c r="G38" s="365"/>
      <c r="H38" s="365"/>
      <c r="I38" s="365"/>
      <c r="J38" s="365"/>
    </row>
    <row r="39" spans="2:11" s="44" customFormat="1" ht="12">
      <c r="B39" s="365" t="s">
        <v>591</v>
      </c>
      <c r="C39" s="431"/>
      <c r="D39" s="365"/>
      <c r="E39" s="365"/>
      <c r="F39" s="365"/>
      <c r="G39" s="365"/>
      <c r="H39" s="365"/>
      <c r="I39" s="365"/>
      <c r="J39" s="365"/>
    </row>
    <row r="40" spans="2:11">
      <c r="B40" s="164"/>
      <c r="C40" s="163"/>
    </row>
    <row r="42" spans="2:11">
      <c r="G42" s="165"/>
    </row>
    <row r="47" spans="2:11">
      <c r="F47" s="166"/>
      <c r="G47" s="166"/>
      <c r="J47" s="166"/>
      <c r="K47" s="166"/>
    </row>
  </sheetData>
  <mergeCells count="6">
    <mergeCell ref="D4:G4"/>
    <mergeCell ref="H4:K4"/>
    <mergeCell ref="D5:E5"/>
    <mergeCell ref="F5:G5"/>
    <mergeCell ref="H5:I5"/>
    <mergeCell ref="J5:K5"/>
  </mergeCells>
  <phoneticPr fontId="8"/>
  <pageMargins left="0.70866141732283472" right="0.39370078740157483" top="0.98425196850393704" bottom="1.4566929133858268" header="0.51181102362204722" footer="0.51181102362204722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zoomScaleNormal="100" workbookViewId="0"/>
  </sheetViews>
  <sheetFormatPr defaultRowHeight="13.5"/>
  <cols>
    <col min="1" max="1" width="1.625" customWidth="1"/>
    <col min="2" max="2" width="4" customWidth="1"/>
    <col min="3" max="3" width="11.375" customWidth="1"/>
    <col min="4" max="4" width="8.875" customWidth="1"/>
    <col min="5" max="5" width="6.875" customWidth="1"/>
    <col min="6" max="6" width="8.875" customWidth="1"/>
    <col min="7" max="7" width="6.875" customWidth="1"/>
    <col min="9" max="9" width="6.625" customWidth="1"/>
    <col min="10" max="10" width="9" customWidth="1"/>
    <col min="11" max="11" width="6.625" customWidth="1"/>
    <col min="12" max="12" width="2.625" style="152" customWidth="1"/>
    <col min="13" max="14" width="2.625" customWidth="1"/>
  </cols>
  <sheetData>
    <row r="1" spans="1:20" s="41" customFormat="1" ht="20.25" customHeight="1">
      <c r="A1" s="40" t="s">
        <v>281</v>
      </c>
      <c r="B1" s="40"/>
      <c r="C1"/>
      <c r="D1"/>
      <c r="E1"/>
      <c r="F1"/>
      <c r="G1"/>
      <c r="H1"/>
      <c r="I1"/>
      <c r="J1"/>
      <c r="K1"/>
    </row>
    <row r="2" spans="1:20" s="41" customFormat="1" ht="13.5" customHeight="1">
      <c r="B2" s="40"/>
      <c r="H2" s="146"/>
      <c r="J2" s="64"/>
    </row>
    <row r="3" spans="1:20">
      <c r="E3" s="51"/>
      <c r="G3" s="51" t="s">
        <v>274</v>
      </c>
      <c r="H3" s="147"/>
      <c r="I3" s="51"/>
      <c r="K3" s="51" t="s">
        <v>274</v>
      </c>
      <c r="L3"/>
      <c r="O3" s="148"/>
      <c r="P3" s="148"/>
    </row>
    <row r="4" spans="1:20">
      <c r="B4" s="149"/>
      <c r="C4" s="150"/>
      <c r="D4" s="659" t="s">
        <v>624</v>
      </c>
      <c r="E4" s="659"/>
      <c r="F4" s="659"/>
      <c r="G4" s="659"/>
      <c r="H4" s="659" t="s">
        <v>720</v>
      </c>
      <c r="I4" s="659"/>
      <c r="J4" s="659"/>
      <c r="K4" s="659"/>
      <c r="L4"/>
      <c r="N4" s="51"/>
      <c r="O4" s="148"/>
      <c r="P4" s="152"/>
      <c r="T4" s="51"/>
    </row>
    <row r="5" spans="1:20">
      <c r="B5" s="153"/>
      <c r="C5" s="154"/>
      <c r="D5" s="626" t="s">
        <v>275</v>
      </c>
      <c r="E5" s="661"/>
      <c r="F5" s="626" t="s">
        <v>29</v>
      </c>
      <c r="G5" s="661"/>
      <c r="H5" s="626" t="s">
        <v>275</v>
      </c>
      <c r="I5" s="661"/>
      <c r="J5" s="626" t="s">
        <v>29</v>
      </c>
      <c r="K5" s="661"/>
      <c r="L5"/>
    </row>
    <row r="6" spans="1:20">
      <c r="B6" s="155"/>
      <c r="C6" s="156"/>
      <c r="D6" s="369" t="s">
        <v>86</v>
      </c>
      <c r="E6" s="369" t="s">
        <v>219</v>
      </c>
      <c r="F6" s="369" t="s">
        <v>86</v>
      </c>
      <c r="G6" s="369" t="s">
        <v>219</v>
      </c>
      <c r="H6" s="369" t="s">
        <v>86</v>
      </c>
      <c r="I6" s="369" t="s">
        <v>219</v>
      </c>
      <c r="J6" s="369" t="s">
        <v>86</v>
      </c>
      <c r="K6" s="369" t="s">
        <v>219</v>
      </c>
      <c r="L6"/>
    </row>
    <row r="7" spans="1:20">
      <c r="B7" s="426" t="s">
        <v>206</v>
      </c>
      <c r="C7" s="427"/>
      <c r="D7" s="421">
        <v>3485277.1100000013</v>
      </c>
      <c r="E7" s="422">
        <v>100</v>
      </c>
      <c r="F7" s="423">
        <v>3686994</v>
      </c>
      <c r="G7" s="422">
        <v>100</v>
      </c>
      <c r="H7" s="421">
        <v>1034850.91</v>
      </c>
      <c r="I7" s="422">
        <v>100</v>
      </c>
      <c r="J7" s="423">
        <v>1535623.99</v>
      </c>
      <c r="K7" s="422">
        <v>100</v>
      </c>
      <c r="L7"/>
    </row>
    <row r="8" spans="1:20">
      <c r="B8" s="428" t="s">
        <v>276</v>
      </c>
      <c r="C8" s="429"/>
      <c r="D8" s="424">
        <v>316433.13</v>
      </c>
      <c r="E8" s="422">
        <v>9.079138329979159</v>
      </c>
      <c r="F8" s="423">
        <v>330895.55</v>
      </c>
      <c r="G8" s="422">
        <v>8.9746701513482261</v>
      </c>
      <c r="H8" s="424">
        <v>80682.490000000005</v>
      </c>
      <c r="I8" s="422">
        <v>7.7965327391942871</v>
      </c>
      <c r="J8" s="423">
        <v>144739</v>
      </c>
      <c r="K8" s="422">
        <v>9.4254193046306867</v>
      </c>
      <c r="L8"/>
    </row>
    <row r="9" spans="1:20">
      <c r="B9" s="428"/>
      <c r="C9" s="394" t="s">
        <v>122</v>
      </c>
      <c r="D9" s="376">
        <v>136053.13</v>
      </c>
      <c r="E9" s="422">
        <v>3.9036531588732113</v>
      </c>
      <c r="F9" s="423">
        <v>123499.69</v>
      </c>
      <c r="G9" s="422">
        <v>3.3496037693579104</v>
      </c>
      <c r="H9" s="376">
        <v>46345.38</v>
      </c>
      <c r="I9" s="422">
        <v>4.4784596072877774</v>
      </c>
      <c r="J9" s="423">
        <v>49783.7</v>
      </c>
      <c r="K9" s="422">
        <v>3.2419199181695517</v>
      </c>
      <c r="L9"/>
    </row>
    <row r="10" spans="1:20">
      <c r="B10" s="392"/>
      <c r="C10" s="394" t="s">
        <v>124</v>
      </c>
      <c r="D10" s="376">
        <v>48986.84</v>
      </c>
      <c r="E10" s="422">
        <v>1.4055364452785213</v>
      </c>
      <c r="F10" s="423">
        <v>44015.199999999997</v>
      </c>
      <c r="G10" s="422">
        <v>1.1937963555134616</v>
      </c>
      <c r="H10" s="376">
        <v>10463.870000000001</v>
      </c>
      <c r="I10" s="422">
        <v>1.0111475864673105</v>
      </c>
      <c r="J10" s="423">
        <v>20304.68</v>
      </c>
      <c r="K10" s="422">
        <v>1.3222429534980109</v>
      </c>
      <c r="L10" s="160"/>
    </row>
    <row r="11" spans="1:20">
      <c r="B11" s="392"/>
      <c r="C11" s="394" t="s">
        <v>126</v>
      </c>
      <c r="D11" s="376">
        <v>27829.43</v>
      </c>
      <c r="E11" s="422">
        <v>0.79848543233912306</v>
      </c>
      <c r="F11" s="423">
        <v>49171.91</v>
      </c>
      <c r="G11" s="422">
        <v>1.3336585304993718</v>
      </c>
      <c r="H11" s="376">
        <v>5226.9399999999996</v>
      </c>
      <c r="I11" s="422">
        <v>0.50509111500902093</v>
      </c>
      <c r="J11" s="423">
        <v>26719.45</v>
      </c>
      <c r="K11" s="422">
        <v>1.7399734683748982</v>
      </c>
      <c r="L11"/>
    </row>
    <row r="12" spans="1:20">
      <c r="B12" s="392"/>
      <c r="C12" s="394" t="s">
        <v>127</v>
      </c>
      <c r="D12" s="376">
        <v>30469.65</v>
      </c>
      <c r="E12" s="422">
        <v>0.87423894968282712</v>
      </c>
      <c r="F12" s="423">
        <v>38660.58</v>
      </c>
      <c r="G12" s="422">
        <v>1.0485663931104852</v>
      </c>
      <c r="H12" s="376">
        <v>3556.59</v>
      </c>
      <c r="I12" s="422">
        <v>0.34368139078120924</v>
      </c>
      <c r="J12" s="423">
        <v>17515.98</v>
      </c>
      <c r="K12" s="422">
        <v>1.140642508456774</v>
      </c>
      <c r="L12"/>
    </row>
    <row r="13" spans="1:20">
      <c r="B13" s="392"/>
      <c r="C13" s="394" t="s">
        <v>130</v>
      </c>
      <c r="D13" s="376">
        <v>25605.52</v>
      </c>
      <c r="E13" s="422">
        <v>0.73467673277778456</v>
      </c>
      <c r="F13" s="423">
        <v>28374.86</v>
      </c>
      <c r="G13" s="422">
        <v>0.76959333267154761</v>
      </c>
      <c r="H13" s="376">
        <v>3832.99</v>
      </c>
      <c r="I13" s="422">
        <v>0.37039055220041306</v>
      </c>
      <c r="J13" s="423">
        <v>13315.93</v>
      </c>
      <c r="K13" s="422">
        <v>0.8671347990597621</v>
      </c>
      <c r="L13"/>
    </row>
    <row r="14" spans="1:20">
      <c r="B14" s="617"/>
      <c r="C14" s="394" t="s">
        <v>131</v>
      </c>
      <c r="D14" s="376">
        <v>47488.56</v>
      </c>
      <c r="E14" s="422">
        <v>1.362547611027692</v>
      </c>
      <c r="F14" s="423">
        <v>47173.31</v>
      </c>
      <c r="G14" s="422">
        <v>1.2794517701954491</v>
      </c>
      <c r="H14" s="376">
        <v>11256.72</v>
      </c>
      <c r="I14" s="422">
        <v>1.0877624874485541</v>
      </c>
      <c r="J14" s="423">
        <v>17099.259999999998</v>
      </c>
      <c r="K14" s="422">
        <v>1.1135056570716897</v>
      </c>
      <c r="L14"/>
    </row>
    <row r="15" spans="1:20">
      <c r="B15" s="428" t="s">
        <v>277</v>
      </c>
      <c r="C15" s="161"/>
      <c r="D15" s="425">
        <v>1303326.23</v>
      </c>
      <c r="E15" s="422">
        <v>37.395196676341172</v>
      </c>
      <c r="F15" s="423">
        <v>1440870.65</v>
      </c>
      <c r="G15" s="422">
        <v>39.079820851349361</v>
      </c>
      <c r="H15" s="425">
        <v>254014.86</v>
      </c>
      <c r="I15" s="422">
        <v>24.546034365472025</v>
      </c>
      <c r="J15" s="423">
        <v>456533.19</v>
      </c>
      <c r="K15" s="422">
        <v>29.729490615733351</v>
      </c>
      <c r="L15"/>
    </row>
    <row r="16" spans="1:20">
      <c r="B16" s="157"/>
      <c r="C16" s="429" t="s">
        <v>125</v>
      </c>
      <c r="D16" s="376">
        <v>381308.61</v>
      </c>
      <c r="E16" s="422">
        <v>10.940553590586656</v>
      </c>
      <c r="F16" s="423">
        <v>447156.77</v>
      </c>
      <c r="G16" s="422">
        <v>12.127949489475709</v>
      </c>
      <c r="H16" s="376">
        <v>76047.81</v>
      </c>
      <c r="I16" s="422">
        <v>7.348673056682145</v>
      </c>
      <c r="J16" s="423">
        <v>114029.58</v>
      </c>
      <c r="K16" s="422">
        <v>7.4256185591369928</v>
      </c>
      <c r="L16"/>
    </row>
    <row r="17" spans="2:12">
      <c r="B17" s="123"/>
      <c r="C17" s="394" t="s">
        <v>128</v>
      </c>
      <c r="D17" s="376">
        <v>63712.53</v>
      </c>
      <c r="E17" s="422">
        <v>1.8280477560075552</v>
      </c>
      <c r="F17" s="423">
        <v>80967.78</v>
      </c>
      <c r="G17" s="422">
        <v>2.1960377478238371</v>
      </c>
      <c r="H17" s="376">
        <v>15113.56</v>
      </c>
      <c r="I17" s="422">
        <v>1.4604577194602844</v>
      </c>
      <c r="J17" s="423">
        <v>36416.949999999997</v>
      </c>
      <c r="K17" s="422">
        <v>2.3714757152237507</v>
      </c>
      <c r="L17"/>
    </row>
    <row r="18" spans="2:12">
      <c r="B18" s="123"/>
      <c r="C18" s="394" t="s">
        <v>129</v>
      </c>
      <c r="D18" s="376">
        <v>247995.67</v>
      </c>
      <c r="E18" s="422">
        <v>7.1155223006069646</v>
      </c>
      <c r="F18" s="423">
        <v>277564.36</v>
      </c>
      <c r="G18" s="422">
        <v>7.528202107190844</v>
      </c>
      <c r="H18" s="376">
        <v>32831.879999999997</v>
      </c>
      <c r="I18" s="422">
        <v>3.1726193292906317</v>
      </c>
      <c r="J18" s="423">
        <v>88394.47</v>
      </c>
      <c r="K18" s="422">
        <v>5.7562574286170145</v>
      </c>
      <c r="L18"/>
    </row>
    <row r="19" spans="2:12">
      <c r="B19" s="123"/>
      <c r="C19" s="394" t="s">
        <v>132</v>
      </c>
      <c r="D19" s="376">
        <v>384965.95</v>
      </c>
      <c r="E19" s="422">
        <v>11.045490440213515</v>
      </c>
      <c r="F19" s="423">
        <v>407776.79</v>
      </c>
      <c r="G19" s="422">
        <v>11.059871266402928</v>
      </c>
      <c r="H19" s="376">
        <v>68036.179999999993</v>
      </c>
      <c r="I19" s="422">
        <v>6.5744910056657337</v>
      </c>
      <c r="J19" s="423">
        <v>134470.89000000001</v>
      </c>
      <c r="K19" s="422">
        <v>8.7567588729842658</v>
      </c>
      <c r="L19"/>
    </row>
    <row r="20" spans="2:12">
      <c r="B20" s="617"/>
      <c r="C20" s="394" t="s">
        <v>141</v>
      </c>
      <c r="D20" s="376">
        <v>225343.47</v>
      </c>
      <c r="E20" s="422">
        <v>6.4655825889264769</v>
      </c>
      <c r="F20" s="423">
        <v>227404.95</v>
      </c>
      <c r="G20" s="422">
        <v>6.1677602404560465</v>
      </c>
      <c r="H20" s="376">
        <v>61985.43</v>
      </c>
      <c r="I20" s="422">
        <v>5.9897932543732306</v>
      </c>
      <c r="J20" s="423">
        <v>83221.3</v>
      </c>
      <c r="K20" s="422">
        <v>5.4193800397713243</v>
      </c>
      <c r="L20"/>
    </row>
    <row r="21" spans="2:12">
      <c r="B21" s="428" t="s">
        <v>278</v>
      </c>
      <c r="C21" s="159"/>
      <c r="D21" s="425">
        <v>984807.6</v>
      </c>
      <c r="E21" s="422">
        <v>28.256220923563795</v>
      </c>
      <c r="F21" s="423">
        <v>1062216.27</v>
      </c>
      <c r="G21" s="422">
        <v>28.809818242177776</v>
      </c>
      <c r="H21" s="425">
        <v>488587.31</v>
      </c>
      <c r="I21" s="422">
        <v>47.213304378308948</v>
      </c>
      <c r="J21" s="423">
        <v>569148.47</v>
      </c>
      <c r="K21" s="422">
        <v>37.063009806196114</v>
      </c>
      <c r="L21"/>
    </row>
    <row r="22" spans="2:12">
      <c r="B22" s="157"/>
      <c r="C22" s="429" t="s">
        <v>123</v>
      </c>
      <c r="D22" s="376">
        <v>38253.61</v>
      </c>
      <c r="E22" s="422">
        <v>1.0975772884813737</v>
      </c>
      <c r="F22" s="423">
        <v>38381.230000000003</v>
      </c>
      <c r="G22" s="422">
        <v>1.0409897602220128</v>
      </c>
      <c r="H22" s="376">
        <v>7560.45</v>
      </c>
      <c r="I22" s="422">
        <v>0.73058350018748108</v>
      </c>
      <c r="J22" s="423">
        <v>15375.97</v>
      </c>
      <c r="K22" s="422">
        <v>1.0012848262418719</v>
      </c>
      <c r="L22"/>
    </row>
    <row r="23" spans="2:12">
      <c r="B23" s="123"/>
      <c r="C23" s="394" t="s">
        <v>133</v>
      </c>
      <c r="D23" s="376">
        <v>599342.01</v>
      </c>
      <c r="E23" s="422">
        <v>17.196394750947071</v>
      </c>
      <c r="F23" s="423">
        <v>645869.6</v>
      </c>
      <c r="G23" s="422">
        <v>17.517511555483953</v>
      </c>
      <c r="H23" s="376">
        <v>352133.65</v>
      </c>
      <c r="I23" s="422">
        <v>34.027476479679571</v>
      </c>
      <c r="J23" s="423">
        <v>380571.03</v>
      </c>
      <c r="K23" s="422">
        <v>24.782826556388979</v>
      </c>
      <c r="L23"/>
    </row>
    <row r="24" spans="2:12">
      <c r="B24" s="123"/>
      <c r="C24" s="394" t="s">
        <v>134</v>
      </c>
      <c r="D24" s="376">
        <v>155429.23000000001</v>
      </c>
      <c r="E24" s="422">
        <v>4.4595946059508584</v>
      </c>
      <c r="F24" s="423">
        <v>175840.47</v>
      </c>
      <c r="G24" s="422">
        <v>4.769209551195364</v>
      </c>
      <c r="H24" s="376">
        <v>60279.95</v>
      </c>
      <c r="I24" s="422">
        <v>5.8249888382472399</v>
      </c>
      <c r="J24" s="423">
        <v>86003.199999999997</v>
      </c>
      <c r="K24" s="422">
        <v>5.6005376680784984</v>
      </c>
      <c r="L24"/>
    </row>
    <row r="25" spans="2:12">
      <c r="B25" s="123"/>
      <c r="C25" s="394" t="s">
        <v>137</v>
      </c>
      <c r="D25" s="376">
        <v>35062.080000000002</v>
      </c>
      <c r="E25" s="422">
        <v>1.0060055167320681</v>
      </c>
      <c r="F25" s="423">
        <v>34204.79</v>
      </c>
      <c r="G25" s="422">
        <v>0.92771482676673733</v>
      </c>
      <c r="H25" s="376">
        <v>11180.47</v>
      </c>
      <c r="I25" s="422">
        <v>1.0803942763117442</v>
      </c>
      <c r="J25" s="423">
        <v>18816.53</v>
      </c>
      <c r="K25" s="422">
        <v>1.2253344648516464</v>
      </c>
      <c r="L25"/>
    </row>
    <row r="26" spans="2:12">
      <c r="B26" s="617"/>
      <c r="C26" s="394" t="s">
        <v>139</v>
      </c>
      <c r="D26" s="376">
        <v>156720.67000000001</v>
      </c>
      <c r="E26" s="422">
        <v>4.4966487614524269</v>
      </c>
      <c r="F26" s="423">
        <v>167920.18</v>
      </c>
      <c r="G26" s="422">
        <v>4.554392548509707</v>
      </c>
      <c r="H26" s="376">
        <v>57432.79</v>
      </c>
      <c r="I26" s="422">
        <v>5.5498612838829118</v>
      </c>
      <c r="J26" s="423">
        <v>68381.740000000005</v>
      </c>
      <c r="K26" s="422">
        <v>4.453026290635119</v>
      </c>
      <c r="L26"/>
    </row>
    <row r="27" spans="2:12">
      <c r="B27" s="428" t="s">
        <v>279</v>
      </c>
      <c r="C27" s="158"/>
      <c r="D27" s="425">
        <v>695495.71</v>
      </c>
      <c r="E27" s="422">
        <v>19.955248551240729</v>
      </c>
      <c r="F27" s="423">
        <v>647971.47</v>
      </c>
      <c r="G27" s="422">
        <v>17.57451924250487</v>
      </c>
      <c r="H27" s="425">
        <v>173148.08999999997</v>
      </c>
      <c r="I27" s="422">
        <v>16.731694230234574</v>
      </c>
      <c r="J27" s="423">
        <v>278090.38</v>
      </c>
      <c r="K27" s="422">
        <v>18.109275565563419</v>
      </c>
      <c r="L27"/>
    </row>
    <row r="28" spans="2:12">
      <c r="B28" s="157"/>
      <c r="C28" s="429" t="s">
        <v>135</v>
      </c>
      <c r="D28" s="376">
        <v>155757.44</v>
      </c>
      <c r="E28" s="422">
        <v>4.469011647685023</v>
      </c>
      <c r="F28" s="423">
        <v>134813.70000000001</v>
      </c>
      <c r="G28" s="422">
        <v>3.6564664873335846</v>
      </c>
      <c r="H28" s="376">
        <v>63834.02</v>
      </c>
      <c r="I28" s="422">
        <v>6.1684267156898951</v>
      </c>
      <c r="J28" s="423">
        <v>67185.75</v>
      </c>
      <c r="K28" s="422">
        <v>4.3751432927275378</v>
      </c>
      <c r="L28"/>
    </row>
    <row r="29" spans="2:12">
      <c r="B29" s="123"/>
      <c r="C29" s="394" t="s">
        <v>136</v>
      </c>
      <c r="D29" s="376">
        <v>185271.62</v>
      </c>
      <c r="E29" s="422">
        <v>5.3158361344759735</v>
      </c>
      <c r="F29" s="423">
        <v>171057.41</v>
      </c>
      <c r="G29" s="422">
        <v>4.6394816481936232</v>
      </c>
      <c r="H29" s="376">
        <v>45546.69</v>
      </c>
      <c r="I29" s="422">
        <v>4.4012803738076629</v>
      </c>
      <c r="J29" s="423">
        <v>75512.800000000003</v>
      </c>
      <c r="K29" s="422">
        <v>4.9174016876357873</v>
      </c>
      <c r="L29"/>
    </row>
    <row r="30" spans="2:12">
      <c r="B30" s="123"/>
      <c r="C30" s="394" t="s">
        <v>138</v>
      </c>
      <c r="D30" s="376">
        <v>129990.66</v>
      </c>
      <c r="E30" s="422">
        <v>3.7297080231304749</v>
      </c>
      <c r="F30" s="423">
        <v>120176.46</v>
      </c>
      <c r="G30" s="422">
        <v>3.2594699096337019</v>
      </c>
      <c r="H30" s="376">
        <v>22795.8</v>
      </c>
      <c r="I30" s="422">
        <v>2.2028100646884488</v>
      </c>
      <c r="J30" s="423">
        <v>47172.480000000003</v>
      </c>
      <c r="K30" s="422">
        <v>3.071876989887349</v>
      </c>
      <c r="L30"/>
    </row>
    <row r="31" spans="2:12">
      <c r="B31" s="617"/>
      <c r="C31" s="394" t="s">
        <v>144</v>
      </c>
      <c r="D31" s="376">
        <v>224475.99</v>
      </c>
      <c r="E31" s="422">
        <v>6.4406927459492573</v>
      </c>
      <c r="F31" s="423">
        <v>221923.9</v>
      </c>
      <c r="G31" s="422">
        <v>6.0191011973439608</v>
      </c>
      <c r="H31" s="376">
        <v>40971.58</v>
      </c>
      <c r="I31" s="422">
        <v>3.9591770760485678</v>
      </c>
      <c r="J31" s="423">
        <v>88219.35</v>
      </c>
      <c r="K31" s="422">
        <v>5.7448535953127431</v>
      </c>
      <c r="L31"/>
    </row>
    <row r="32" spans="2:12">
      <c r="B32" s="428" t="s">
        <v>280</v>
      </c>
      <c r="C32" s="158"/>
      <c r="D32" s="424">
        <v>185214.44</v>
      </c>
      <c r="E32" s="422">
        <v>5.3141955188751098</v>
      </c>
      <c r="F32" s="423">
        <v>205040.06</v>
      </c>
      <c r="G32" s="422">
        <v>5.5611715126197652</v>
      </c>
      <c r="H32" s="424">
        <v>38418.159999999996</v>
      </c>
      <c r="I32" s="422">
        <v>3.7124342867901614</v>
      </c>
      <c r="J32" s="423">
        <v>87112.95</v>
      </c>
      <c r="K32" s="422">
        <v>5.6728047078764376</v>
      </c>
      <c r="L32"/>
    </row>
    <row r="33" spans="2:12">
      <c r="B33" s="157"/>
      <c r="C33" s="429" t="s">
        <v>140</v>
      </c>
      <c r="D33" s="376">
        <v>19523.18</v>
      </c>
      <c r="E33" s="422">
        <v>0.56016148454835468</v>
      </c>
      <c r="F33" s="423">
        <v>18718.669999999998</v>
      </c>
      <c r="G33" s="422">
        <v>0.50769461517973713</v>
      </c>
      <c r="H33" s="376">
        <v>3042.88</v>
      </c>
      <c r="I33" s="422">
        <v>0.29404042365870847</v>
      </c>
      <c r="J33" s="423">
        <v>6620.83</v>
      </c>
      <c r="K33" s="422">
        <v>0.43114916432114342</v>
      </c>
      <c r="L33"/>
    </row>
    <row r="34" spans="2:12">
      <c r="B34" s="123"/>
      <c r="C34" s="394" t="s">
        <v>142</v>
      </c>
      <c r="D34" s="376">
        <v>17650.47</v>
      </c>
      <c r="E34" s="422">
        <v>0.50642945863205679</v>
      </c>
      <c r="F34" s="423">
        <v>17568.18</v>
      </c>
      <c r="G34" s="422">
        <v>0.47649060454126047</v>
      </c>
      <c r="H34" s="376">
        <v>3887.02</v>
      </c>
      <c r="I34" s="422">
        <v>0.37561159413774875</v>
      </c>
      <c r="J34" s="423">
        <v>7838.2</v>
      </c>
      <c r="K34" s="422">
        <v>0.51042443013670291</v>
      </c>
      <c r="L34"/>
    </row>
    <row r="35" spans="2:12">
      <c r="B35" s="123"/>
      <c r="C35" s="394" t="s">
        <v>143</v>
      </c>
      <c r="D35" s="376">
        <v>51258.9</v>
      </c>
      <c r="E35" s="422">
        <v>1.470726670568814</v>
      </c>
      <c r="F35" s="423">
        <v>63450.18</v>
      </c>
      <c r="G35" s="422">
        <v>1.7209189925451465</v>
      </c>
      <c r="H35" s="376">
        <v>6840</v>
      </c>
      <c r="I35" s="422">
        <v>0.66096477607581172</v>
      </c>
      <c r="J35" s="423">
        <v>27802.78</v>
      </c>
      <c r="K35" s="422">
        <v>1.8105200349207879</v>
      </c>
      <c r="L35"/>
    </row>
    <row r="36" spans="2:12">
      <c r="B36" s="125"/>
      <c r="C36" s="394" t="s">
        <v>145</v>
      </c>
      <c r="D36" s="376">
        <v>96781.89</v>
      </c>
      <c r="E36" s="422">
        <v>2.7768779051258843</v>
      </c>
      <c r="F36" s="423">
        <v>105303.03</v>
      </c>
      <c r="G36" s="422">
        <v>2.8560673003536214</v>
      </c>
      <c r="H36" s="376">
        <v>24648.26</v>
      </c>
      <c r="I36" s="422">
        <v>2.3818174929178926</v>
      </c>
      <c r="J36" s="423">
        <v>44851.14</v>
      </c>
      <c r="K36" s="422">
        <v>2.9207110784978032</v>
      </c>
      <c r="L36"/>
    </row>
    <row r="37" spans="2:12" ht="6.75" customHeight="1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44"/>
    </row>
    <row r="38" spans="2:12">
      <c r="B38" s="430"/>
      <c r="C38" s="8"/>
      <c r="D38" s="8"/>
      <c r="E38" s="8"/>
      <c r="F38" s="8"/>
      <c r="G38" s="8"/>
      <c r="H38" s="8"/>
      <c r="I38" s="8"/>
      <c r="J38" s="8"/>
      <c r="K38" s="8"/>
      <c r="L38"/>
    </row>
    <row r="39" spans="2:12" s="44" customFormat="1">
      <c r="B39" s="365" t="s">
        <v>721</v>
      </c>
      <c r="C39" s="8"/>
      <c r="D39" s="8"/>
      <c r="E39" s="8"/>
      <c r="F39" s="8"/>
      <c r="G39" s="8"/>
      <c r="H39" s="8"/>
      <c r="I39" s="8"/>
      <c r="J39" s="8"/>
      <c r="K39" s="8"/>
    </row>
    <row r="40" spans="2:12">
      <c r="C40" s="8"/>
      <c r="D40" s="8"/>
      <c r="E40" s="8"/>
      <c r="F40" s="8"/>
      <c r="G40" s="8"/>
      <c r="H40" s="8"/>
      <c r="I40" s="8"/>
      <c r="J40" s="8"/>
      <c r="K40" s="8"/>
      <c r="L40"/>
    </row>
  </sheetData>
  <mergeCells count="6">
    <mergeCell ref="J5:K5"/>
    <mergeCell ref="D4:G4"/>
    <mergeCell ref="H4:K4"/>
    <mergeCell ref="D5:E5"/>
    <mergeCell ref="F5:G5"/>
    <mergeCell ref="H5:I5"/>
  </mergeCells>
  <phoneticPr fontId="8"/>
  <pageMargins left="0.74803149606299213" right="0.31496062992125984" top="0.74803149606299213" bottom="0.74803149606299213" header="0.31496062992125984" footer="0.31496062992125984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showGridLines="0" zoomScaleNormal="100" workbookViewId="0"/>
  </sheetViews>
  <sheetFormatPr defaultRowHeight="12"/>
  <cols>
    <col min="1" max="1" width="1.625" style="167" customWidth="1"/>
    <col min="2" max="2" width="2.625" style="167" customWidth="1"/>
    <col min="3" max="3" width="19.625" style="167" customWidth="1"/>
    <col min="4" max="4" width="7.5" style="167" customWidth="1"/>
    <col min="5" max="5" width="5.875" style="167" customWidth="1"/>
    <col min="6" max="6" width="7.5" style="167" customWidth="1"/>
    <col min="7" max="7" width="5.875" style="167" customWidth="1"/>
    <col min="8" max="8" width="7.5" style="167" customWidth="1"/>
    <col min="9" max="9" width="5.875" style="167" customWidth="1"/>
    <col min="10" max="10" width="7.375" style="167" bestFit="1" customWidth="1"/>
    <col min="11" max="11" width="5.875" style="167" customWidth="1"/>
    <col min="12" max="12" width="7.375" style="167" bestFit="1" customWidth="1"/>
    <col min="13" max="13" width="5.875" style="167" customWidth="1"/>
    <col min="14" max="14" width="7.375" style="167" bestFit="1" customWidth="1"/>
    <col min="15" max="15" width="5.875" style="167" customWidth="1"/>
    <col min="16" max="16384" width="9" style="167"/>
  </cols>
  <sheetData>
    <row r="1" spans="1:15" s="42" customFormat="1" ht="13.5" customHeight="1">
      <c r="A1" s="43" t="s">
        <v>340</v>
      </c>
    </row>
    <row r="2" spans="1:15" s="42" customFormat="1"/>
    <row r="3" spans="1:15">
      <c r="M3" s="168"/>
      <c r="O3" s="168" t="s">
        <v>282</v>
      </c>
    </row>
    <row r="4" spans="1:15" ht="13.5" customHeight="1">
      <c r="B4" s="432"/>
      <c r="C4" s="433"/>
      <c r="D4" s="663" t="s">
        <v>728</v>
      </c>
      <c r="E4" s="663"/>
      <c r="F4" s="663"/>
      <c r="G4" s="663"/>
      <c r="H4" s="663"/>
      <c r="I4" s="664"/>
      <c r="J4" s="663" t="s">
        <v>729</v>
      </c>
      <c r="K4" s="663"/>
      <c r="L4" s="663"/>
      <c r="M4" s="663"/>
      <c r="N4" s="663"/>
      <c r="O4" s="664"/>
    </row>
    <row r="5" spans="1:15" ht="13.5" customHeight="1">
      <c r="B5" s="434"/>
      <c r="C5" s="435"/>
      <c r="D5" s="662" t="s">
        <v>284</v>
      </c>
      <c r="E5" s="662"/>
      <c r="F5" s="662" t="s">
        <v>44</v>
      </c>
      <c r="G5" s="662"/>
      <c r="H5" s="662" t="s">
        <v>46</v>
      </c>
      <c r="I5" s="662"/>
      <c r="J5" s="662" t="s">
        <v>284</v>
      </c>
      <c r="K5" s="662"/>
      <c r="L5" s="662" t="s">
        <v>44</v>
      </c>
      <c r="M5" s="662"/>
      <c r="N5" s="662" t="s">
        <v>46</v>
      </c>
      <c r="O5" s="662"/>
    </row>
    <row r="6" spans="1:15" s="171" customFormat="1" ht="13.5" customHeight="1">
      <c r="B6" s="172"/>
      <c r="C6" s="173"/>
      <c r="D6" s="436" t="s">
        <v>86</v>
      </c>
      <c r="E6" s="436" t="s">
        <v>219</v>
      </c>
      <c r="F6" s="436" t="s">
        <v>86</v>
      </c>
      <c r="G6" s="436" t="s">
        <v>219</v>
      </c>
      <c r="H6" s="436" t="s">
        <v>86</v>
      </c>
      <c r="I6" s="436" t="s">
        <v>219</v>
      </c>
      <c r="J6" s="436" t="s">
        <v>86</v>
      </c>
      <c r="K6" s="436" t="s">
        <v>219</v>
      </c>
      <c r="L6" s="436" t="s">
        <v>86</v>
      </c>
      <c r="M6" s="436" t="s">
        <v>219</v>
      </c>
      <c r="N6" s="436" t="s">
        <v>86</v>
      </c>
      <c r="O6" s="436" t="s">
        <v>219</v>
      </c>
    </row>
    <row r="7" spans="1:15" ht="13.5" customHeight="1">
      <c r="B7" s="441" t="s">
        <v>287</v>
      </c>
      <c r="C7" s="442"/>
      <c r="D7" s="437">
        <v>23843</v>
      </c>
      <c r="E7" s="438">
        <v>100</v>
      </c>
      <c r="F7" s="437">
        <v>23765</v>
      </c>
      <c r="G7" s="438">
        <v>100</v>
      </c>
      <c r="H7" s="437">
        <v>22668</v>
      </c>
      <c r="I7" s="438">
        <v>100</v>
      </c>
      <c r="J7" s="437">
        <v>319038</v>
      </c>
      <c r="K7" s="438">
        <v>100</v>
      </c>
      <c r="L7" s="437">
        <v>312068</v>
      </c>
      <c r="M7" s="438">
        <v>100</v>
      </c>
      <c r="N7" s="437">
        <v>322147</v>
      </c>
      <c r="O7" s="438">
        <v>100</v>
      </c>
    </row>
    <row r="8" spans="1:15" ht="13.5" customHeight="1">
      <c r="B8" s="441" t="s">
        <v>288</v>
      </c>
      <c r="C8" s="442"/>
      <c r="D8" s="437">
        <v>88</v>
      </c>
      <c r="E8" s="438">
        <v>0.4</v>
      </c>
      <c r="F8" s="437">
        <v>71</v>
      </c>
      <c r="G8" s="438">
        <v>0.29875867872922368</v>
      </c>
      <c r="H8" s="437">
        <v>68</v>
      </c>
      <c r="I8" s="438">
        <v>0.29998235397917766</v>
      </c>
      <c r="J8" s="437">
        <v>2259</v>
      </c>
      <c r="K8" s="438">
        <v>0.7</v>
      </c>
      <c r="L8" s="437">
        <v>1771</v>
      </c>
      <c r="M8" s="438">
        <v>0.56750451824602333</v>
      </c>
      <c r="N8" s="437">
        <v>1786</v>
      </c>
      <c r="O8" s="438">
        <v>0.55440528702735081</v>
      </c>
    </row>
    <row r="9" spans="1:15" ht="13.5" customHeight="1">
      <c r="B9" s="182" t="s">
        <v>289</v>
      </c>
      <c r="C9" s="443"/>
      <c r="D9" s="437">
        <v>3696</v>
      </c>
      <c r="E9" s="438">
        <v>15.5</v>
      </c>
      <c r="F9" s="437">
        <v>3693</v>
      </c>
      <c r="G9" s="438">
        <v>15.539659162634125</v>
      </c>
      <c r="H9" s="437">
        <v>3396</v>
      </c>
      <c r="I9" s="438">
        <v>14.981471678136579</v>
      </c>
      <c r="J9" s="437">
        <v>49071</v>
      </c>
      <c r="K9" s="438">
        <v>15.4</v>
      </c>
      <c r="L9" s="437">
        <v>44603</v>
      </c>
      <c r="M9" s="438">
        <v>14.292718253713934</v>
      </c>
      <c r="N9" s="437">
        <v>41527</v>
      </c>
      <c r="O9" s="438">
        <v>12.890698966620828</v>
      </c>
    </row>
    <row r="10" spans="1:15" ht="13.5" customHeight="1">
      <c r="B10" s="434"/>
      <c r="C10" s="444" t="s">
        <v>291</v>
      </c>
      <c r="D10" s="439">
        <v>21</v>
      </c>
      <c r="E10" s="438">
        <v>0.1</v>
      </c>
      <c r="F10" s="439">
        <v>23</v>
      </c>
      <c r="G10" s="438">
        <v>9.6780980433410477E-2</v>
      </c>
      <c r="H10" s="439">
        <v>31</v>
      </c>
      <c r="I10" s="438">
        <v>0.13675666137286041</v>
      </c>
      <c r="J10" s="439">
        <v>94</v>
      </c>
      <c r="K10" s="438">
        <v>0</v>
      </c>
      <c r="L10" s="439">
        <v>150</v>
      </c>
      <c r="M10" s="438">
        <v>4.8066447056410784E-2</v>
      </c>
      <c r="N10" s="439">
        <v>247</v>
      </c>
      <c r="O10" s="438">
        <v>7.6673071610165552E-2</v>
      </c>
    </row>
    <row r="11" spans="1:15" ht="13.5" customHeight="1">
      <c r="B11" s="434"/>
      <c r="C11" s="444" t="s">
        <v>293</v>
      </c>
      <c r="D11" s="437">
        <v>929</v>
      </c>
      <c r="E11" s="438">
        <v>3.9</v>
      </c>
      <c r="F11" s="437">
        <v>885</v>
      </c>
      <c r="G11" s="438">
        <v>3.723963812329055</v>
      </c>
      <c r="H11" s="437">
        <v>788</v>
      </c>
      <c r="I11" s="438">
        <v>3.4762661019940002</v>
      </c>
      <c r="J11" s="437">
        <v>10025</v>
      </c>
      <c r="K11" s="438">
        <v>3.1</v>
      </c>
      <c r="L11" s="437">
        <v>10155</v>
      </c>
      <c r="M11" s="438">
        <v>3.2540984657190104</v>
      </c>
      <c r="N11" s="437">
        <v>10382</v>
      </c>
      <c r="O11" s="438">
        <v>3.2227523459786993</v>
      </c>
    </row>
    <row r="12" spans="1:15" ht="13.5" customHeight="1">
      <c r="B12" s="434"/>
      <c r="C12" s="444" t="s">
        <v>295</v>
      </c>
      <c r="D12" s="437">
        <v>1506</v>
      </c>
      <c r="E12" s="438">
        <v>6.3</v>
      </c>
      <c r="F12" s="437">
        <v>1568</v>
      </c>
      <c r="G12" s="438">
        <v>6.5979381443298974</v>
      </c>
      <c r="H12" s="437">
        <v>1442</v>
      </c>
      <c r="I12" s="438">
        <v>6.3613905064407978</v>
      </c>
      <c r="J12" s="437">
        <v>24250</v>
      </c>
      <c r="K12" s="438">
        <v>7.6</v>
      </c>
      <c r="L12" s="437">
        <v>21096</v>
      </c>
      <c r="M12" s="438">
        <v>6.7600651140136119</v>
      </c>
      <c r="N12" s="437">
        <v>19169</v>
      </c>
      <c r="O12" s="438">
        <v>5.9503891080779896</v>
      </c>
    </row>
    <row r="13" spans="1:15" ht="13.5" customHeight="1">
      <c r="B13" s="434"/>
      <c r="C13" s="444" t="s">
        <v>297</v>
      </c>
      <c r="D13" s="437">
        <v>1240</v>
      </c>
      <c r="E13" s="438">
        <v>5.2</v>
      </c>
      <c r="F13" s="437">
        <v>1217</v>
      </c>
      <c r="G13" s="438">
        <v>5.1209762255417628</v>
      </c>
      <c r="H13" s="437">
        <v>1135</v>
      </c>
      <c r="I13" s="438">
        <v>5.0070584083289216</v>
      </c>
      <c r="J13" s="437">
        <v>14702</v>
      </c>
      <c r="K13" s="438">
        <v>4.5999999999999996</v>
      </c>
      <c r="L13" s="437">
        <v>13202</v>
      </c>
      <c r="M13" s="438">
        <v>4.2304882269249005</v>
      </c>
      <c r="N13" s="437">
        <v>11729</v>
      </c>
      <c r="O13" s="438">
        <v>3.6408844409539745</v>
      </c>
    </row>
    <row r="14" spans="1:15" ht="13.5" customHeight="1">
      <c r="B14" s="194" t="s">
        <v>299</v>
      </c>
      <c r="C14" s="180"/>
      <c r="D14" s="437">
        <v>3152</v>
      </c>
      <c r="E14" s="438">
        <v>13.2</v>
      </c>
      <c r="F14" s="437">
        <v>3247</v>
      </c>
      <c r="G14" s="438">
        <v>13.66294971596886</v>
      </c>
      <c r="H14" s="437">
        <v>3021</v>
      </c>
      <c r="I14" s="438">
        <v>13.327157226045527</v>
      </c>
      <c r="J14" s="437">
        <v>38598</v>
      </c>
      <c r="K14" s="438">
        <v>12.1</v>
      </c>
      <c r="L14" s="437">
        <v>40226</v>
      </c>
      <c r="M14" s="438">
        <v>12.890139328607866</v>
      </c>
      <c r="N14" s="437">
        <v>39588</v>
      </c>
      <c r="O14" s="438">
        <v>12.288799833616331</v>
      </c>
    </row>
    <row r="15" spans="1:15" ht="13.5" customHeight="1">
      <c r="B15" s="182"/>
      <c r="C15" s="444" t="s">
        <v>291</v>
      </c>
      <c r="D15" s="439">
        <v>40</v>
      </c>
      <c r="E15" s="438">
        <v>0.2</v>
      </c>
      <c r="F15" s="439">
        <v>38</v>
      </c>
      <c r="G15" s="438">
        <v>0.15989901115085209</v>
      </c>
      <c r="H15" s="439">
        <v>45</v>
      </c>
      <c r="I15" s="438">
        <v>0.19851773425092642</v>
      </c>
      <c r="J15" s="439">
        <v>606</v>
      </c>
      <c r="K15" s="438">
        <v>0.2</v>
      </c>
      <c r="L15" s="439">
        <v>539</v>
      </c>
      <c r="M15" s="438">
        <v>0.17271876642270273</v>
      </c>
      <c r="N15" s="439">
        <v>693</v>
      </c>
      <c r="O15" s="438">
        <v>0.21511918472001912</v>
      </c>
    </row>
    <row r="16" spans="1:15" ht="13.5" customHeight="1">
      <c r="B16" s="182"/>
      <c r="C16" s="444" t="s">
        <v>301</v>
      </c>
      <c r="D16" s="437">
        <v>1471</v>
      </c>
      <c r="E16" s="438">
        <v>6.2</v>
      </c>
      <c r="F16" s="437">
        <v>1431</v>
      </c>
      <c r="G16" s="438">
        <v>6.0214601304439297</v>
      </c>
      <c r="H16" s="437">
        <v>1291</v>
      </c>
      <c r="I16" s="438">
        <v>5.6952532203987998</v>
      </c>
      <c r="J16" s="437">
        <v>16072</v>
      </c>
      <c r="K16" s="438">
        <v>5</v>
      </c>
      <c r="L16" s="437">
        <v>16387</v>
      </c>
      <c r="M16" s="438">
        <v>5.2510991194226895</v>
      </c>
      <c r="N16" s="437">
        <v>15197</v>
      </c>
      <c r="O16" s="438">
        <v>4.7174116164359754</v>
      </c>
    </row>
    <row r="17" spans="2:15" ht="13.5" customHeight="1">
      <c r="B17" s="182"/>
      <c r="C17" s="444" t="s">
        <v>303</v>
      </c>
      <c r="D17" s="437">
        <v>1641</v>
      </c>
      <c r="E17" s="438">
        <v>6.9</v>
      </c>
      <c r="F17" s="437">
        <v>1778</v>
      </c>
      <c r="G17" s="438">
        <v>7.4815905743740796</v>
      </c>
      <c r="H17" s="437">
        <v>1685</v>
      </c>
      <c r="I17" s="438">
        <v>7.4333862713958005</v>
      </c>
      <c r="J17" s="437">
        <v>21920</v>
      </c>
      <c r="K17" s="438">
        <v>6.9</v>
      </c>
      <c r="L17" s="437">
        <v>23300</v>
      </c>
      <c r="M17" s="438">
        <v>7.4663214427624744</v>
      </c>
      <c r="N17" s="437">
        <v>23698</v>
      </c>
      <c r="O17" s="438">
        <v>7.3562690324603359</v>
      </c>
    </row>
    <row r="18" spans="2:15" ht="13.5" customHeight="1">
      <c r="B18" s="194" t="s">
        <v>307</v>
      </c>
      <c r="C18" s="181"/>
      <c r="D18" s="437">
        <v>5009</v>
      </c>
      <c r="E18" s="438">
        <v>21</v>
      </c>
      <c r="F18" s="437">
        <v>5083</v>
      </c>
      <c r="G18" s="438">
        <v>21.388596675783717</v>
      </c>
      <c r="H18" s="437">
        <v>4872</v>
      </c>
      <c r="I18" s="438">
        <v>21.492853361566965</v>
      </c>
      <c r="J18" s="437">
        <v>59294</v>
      </c>
      <c r="K18" s="438">
        <v>18.600000000000001</v>
      </c>
      <c r="L18" s="437">
        <v>60095</v>
      </c>
      <c r="M18" s="438">
        <v>19.257020905700038</v>
      </c>
      <c r="N18" s="437">
        <v>60561</v>
      </c>
      <c r="O18" s="438">
        <v>18.7991817400131</v>
      </c>
    </row>
    <row r="19" spans="2:15" ht="13.5" customHeight="1">
      <c r="B19" s="182"/>
      <c r="C19" s="444" t="s">
        <v>291</v>
      </c>
      <c r="D19" s="439">
        <v>83</v>
      </c>
      <c r="E19" s="438">
        <v>0.3</v>
      </c>
      <c r="F19" s="439">
        <v>91</v>
      </c>
      <c r="G19" s="438">
        <v>0.38291605301914577</v>
      </c>
      <c r="H19" s="439">
        <v>95</v>
      </c>
      <c r="I19" s="438">
        <v>0.41909299452973353</v>
      </c>
      <c r="J19" s="439">
        <v>1927</v>
      </c>
      <c r="K19" s="438">
        <v>0.6</v>
      </c>
      <c r="L19" s="439">
        <v>714</v>
      </c>
      <c r="M19" s="438">
        <v>0.22879628798851531</v>
      </c>
      <c r="N19" s="439">
        <v>758</v>
      </c>
      <c r="O19" s="438">
        <v>0.23529630882795743</v>
      </c>
    </row>
    <row r="20" spans="2:15" ht="13.5" customHeight="1">
      <c r="B20" s="182"/>
      <c r="C20" s="444" t="s">
        <v>310</v>
      </c>
      <c r="D20" s="437">
        <v>1213</v>
      </c>
      <c r="E20" s="438">
        <v>5.0999999999999996</v>
      </c>
      <c r="F20" s="437">
        <v>1229</v>
      </c>
      <c r="G20" s="438">
        <v>5.1714706501157162</v>
      </c>
      <c r="H20" s="437">
        <v>1158</v>
      </c>
      <c r="I20" s="438">
        <v>5.1085230280571725</v>
      </c>
      <c r="J20" s="437">
        <v>11665</v>
      </c>
      <c r="K20" s="438">
        <v>3.7</v>
      </c>
      <c r="L20" s="437">
        <v>12738</v>
      </c>
      <c r="M20" s="438">
        <v>4.0818026840304036</v>
      </c>
      <c r="N20" s="437">
        <v>12651</v>
      </c>
      <c r="O20" s="438">
        <v>3.9270891859927297</v>
      </c>
    </row>
    <row r="21" spans="2:15" ht="13.5" customHeight="1">
      <c r="B21" s="182"/>
      <c r="C21" s="444" t="s">
        <v>312</v>
      </c>
      <c r="D21" s="437">
        <v>1747</v>
      </c>
      <c r="E21" s="438">
        <v>7.3</v>
      </c>
      <c r="F21" s="437">
        <v>1798</v>
      </c>
      <c r="G21" s="438">
        <v>7.5657479486640016</v>
      </c>
      <c r="H21" s="437">
        <v>1712</v>
      </c>
      <c r="I21" s="438">
        <v>7.5524969119463563</v>
      </c>
      <c r="J21" s="437">
        <v>24673</v>
      </c>
      <c r="K21" s="438">
        <v>7.7</v>
      </c>
      <c r="L21" s="437">
        <v>24351</v>
      </c>
      <c r="M21" s="438">
        <v>7.8031070151377264</v>
      </c>
      <c r="N21" s="437">
        <v>25067</v>
      </c>
      <c r="O21" s="438">
        <v>7.7812303079029146</v>
      </c>
    </row>
    <row r="22" spans="2:15" ht="13.5" customHeight="1">
      <c r="B22" s="182"/>
      <c r="C22" s="444" t="s">
        <v>314</v>
      </c>
      <c r="D22" s="437">
        <v>268</v>
      </c>
      <c r="E22" s="438">
        <v>1.1000000000000001</v>
      </c>
      <c r="F22" s="437">
        <v>266</v>
      </c>
      <c r="G22" s="438">
        <v>1.1192930780559647</v>
      </c>
      <c r="H22" s="437">
        <v>271</v>
      </c>
      <c r="I22" s="438">
        <v>1.1955179107111347</v>
      </c>
      <c r="J22" s="437">
        <v>3348</v>
      </c>
      <c r="K22" s="438">
        <v>1</v>
      </c>
      <c r="L22" s="437">
        <v>3096</v>
      </c>
      <c r="M22" s="438">
        <v>0.99209146724431851</v>
      </c>
      <c r="N22" s="437">
        <v>3427</v>
      </c>
      <c r="O22" s="438">
        <v>1.063800066429301</v>
      </c>
    </row>
    <row r="23" spans="2:15" ht="13.5" customHeight="1">
      <c r="B23" s="182"/>
      <c r="C23" s="444" t="s">
        <v>316</v>
      </c>
      <c r="D23" s="437">
        <v>921</v>
      </c>
      <c r="E23" s="438">
        <v>3.9</v>
      </c>
      <c r="F23" s="437">
        <v>922</v>
      </c>
      <c r="G23" s="438">
        <v>3.8796549547654116</v>
      </c>
      <c r="H23" s="437">
        <v>907</v>
      </c>
      <c r="I23" s="438">
        <v>4.0012352214575619</v>
      </c>
      <c r="J23" s="437">
        <v>11339</v>
      </c>
      <c r="K23" s="438">
        <v>3.6</v>
      </c>
      <c r="L23" s="437">
        <v>12488</v>
      </c>
      <c r="M23" s="438">
        <v>4.0016919389363856</v>
      </c>
      <c r="N23" s="437">
        <v>12295</v>
      </c>
      <c r="O23" s="438">
        <v>3.816580629340022</v>
      </c>
    </row>
    <row r="24" spans="2:15" ht="13.5" customHeight="1">
      <c r="B24" s="182"/>
      <c r="C24" s="444" t="s">
        <v>318</v>
      </c>
      <c r="D24" s="437">
        <v>322</v>
      </c>
      <c r="E24" s="438">
        <v>1.4</v>
      </c>
      <c r="F24" s="437">
        <v>319</v>
      </c>
      <c r="G24" s="438">
        <v>1.3423101199242584</v>
      </c>
      <c r="H24" s="437">
        <v>303</v>
      </c>
      <c r="I24" s="438">
        <v>1.3366860772895712</v>
      </c>
      <c r="J24" s="437">
        <v>3380</v>
      </c>
      <c r="K24" s="438">
        <v>1.1000000000000001</v>
      </c>
      <c r="L24" s="437">
        <v>3710</v>
      </c>
      <c r="M24" s="438">
        <v>1.1888434571952267</v>
      </c>
      <c r="N24" s="437">
        <v>3581</v>
      </c>
      <c r="O24" s="438">
        <v>1.1116043297004163</v>
      </c>
    </row>
    <row r="25" spans="2:15" ht="13.5" customHeight="1">
      <c r="B25" s="182"/>
      <c r="C25" s="444" t="s">
        <v>320</v>
      </c>
      <c r="D25" s="437">
        <v>455</v>
      </c>
      <c r="E25" s="438">
        <v>1.9</v>
      </c>
      <c r="F25" s="437">
        <v>458</v>
      </c>
      <c r="G25" s="438">
        <v>1.9272038712392174</v>
      </c>
      <c r="H25" s="437">
        <v>426</v>
      </c>
      <c r="I25" s="438">
        <v>1.8793012175754367</v>
      </c>
      <c r="J25" s="437">
        <v>2962</v>
      </c>
      <c r="K25" s="438">
        <v>0.9</v>
      </c>
      <c r="L25" s="437">
        <v>2998</v>
      </c>
      <c r="M25" s="438">
        <v>0.96068805516746347</v>
      </c>
      <c r="N25" s="437">
        <v>2782</v>
      </c>
      <c r="O25" s="438">
        <v>0.86358091181975938</v>
      </c>
    </row>
    <row r="26" spans="2:15" ht="13.5" customHeight="1">
      <c r="B26" s="194" t="s">
        <v>322</v>
      </c>
      <c r="C26" s="181"/>
      <c r="D26" s="437">
        <v>5905</v>
      </c>
      <c r="E26" s="438">
        <v>24.8</v>
      </c>
      <c r="F26" s="437">
        <v>6135</v>
      </c>
      <c r="G26" s="438">
        <v>25.815274563433622</v>
      </c>
      <c r="H26" s="437">
        <v>5926</v>
      </c>
      <c r="I26" s="438">
        <v>26.142579848244218</v>
      </c>
      <c r="J26" s="437">
        <v>88604</v>
      </c>
      <c r="K26" s="438">
        <v>27.8</v>
      </c>
      <c r="L26" s="437">
        <v>96442</v>
      </c>
      <c r="M26" s="438">
        <v>30.904161913429125</v>
      </c>
      <c r="N26" s="437">
        <v>103762</v>
      </c>
      <c r="O26" s="438">
        <v>32.209519256736826</v>
      </c>
    </row>
    <row r="27" spans="2:15" ht="13.5" customHeight="1">
      <c r="B27" s="182"/>
      <c r="C27" s="444" t="s">
        <v>291</v>
      </c>
      <c r="D27" s="439">
        <v>78</v>
      </c>
      <c r="E27" s="438">
        <v>0.3</v>
      </c>
      <c r="F27" s="439">
        <v>103</v>
      </c>
      <c r="G27" s="438">
        <v>0.43341047759309903</v>
      </c>
      <c r="H27" s="439">
        <v>128</v>
      </c>
      <c r="I27" s="438">
        <v>0.56467266631374624</v>
      </c>
      <c r="J27" s="439">
        <v>1511</v>
      </c>
      <c r="K27" s="438">
        <v>0.5</v>
      </c>
      <c r="L27" s="439">
        <v>4465</v>
      </c>
      <c r="M27" s="438">
        <v>1.4307779073791609</v>
      </c>
      <c r="N27" s="439">
        <v>4879</v>
      </c>
      <c r="O27" s="438">
        <v>1.5145259772712458</v>
      </c>
    </row>
    <row r="28" spans="2:15" ht="13.5" customHeight="1">
      <c r="B28" s="182"/>
      <c r="C28" s="444" t="s">
        <v>325</v>
      </c>
      <c r="D28" s="439">
        <v>2340</v>
      </c>
      <c r="E28" s="438">
        <v>9.8000000000000007</v>
      </c>
      <c r="F28" s="439">
        <v>2420</v>
      </c>
      <c r="G28" s="438">
        <v>10.18304228908058</v>
      </c>
      <c r="H28" s="439">
        <v>2298</v>
      </c>
      <c r="I28" s="438">
        <v>10.137638962413975</v>
      </c>
      <c r="J28" s="439">
        <v>28030</v>
      </c>
      <c r="K28" s="438">
        <v>8.8000000000000007</v>
      </c>
      <c r="L28" s="439">
        <v>28757</v>
      </c>
      <c r="M28" s="438">
        <v>9.2149787866746991</v>
      </c>
      <c r="N28" s="439">
        <v>33966</v>
      </c>
      <c r="O28" s="438">
        <v>10.543633806926652</v>
      </c>
    </row>
    <row r="29" spans="2:15" ht="13.5" customHeight="1">
      <c r="B29" s="182"/>
      <c r="C29" s="444" t="s">
        <v>327</v>
      </c>
      <c r="D29" s="437">
        <v>608</v>
      </c>
      <c r="E29" s="438">
        <v>2.6</v>
      </c>
      <c r="F29" s="437">
        <v>656</v>
      </c>
      <c r="G29" s="438">
        <v>2.7603618767094469</v>
      </c>
      <c r="H29" s="437">
        <v>613</v>
      </c>
      <c r="I29" s="438">
        <v>2.7042526910181754</v>
      </c>
      <c r="J29" s="437">
        <v>6430</v>
      </c>
      <c r="K29" s="438">
        <v>2</v>
      </c>
      <c r="L29" s="437">
        <v>6561</v>
      </c>
      <c r="M29" s="438">
        <v>2.1024263942474075</v>
      </c>
      <c r="N29" s="437">
        <v>6874</v>
      </c>
      <c r="O29" s="438">
        <v>2.1338084787379676</v>
      </c>
    </row>
    <row r="30" spans="2:15" ht="13.5" customHeight="1">
      <c r="B30" s="182"/>
      <c r="C30" s="444" t="s">
        <v>329</v>
      </c>
      <c r="D30" s="437">
        <v>1890</v>
      </c>
      <c r="E30" s="438">
        <v>7.9</v>
      </c>
      <c r="F30" s="437">
        <v>1913</v>
      </c>
      <c r="G30" s="438">
        <v>8.0496528508310536</v>
      </c>
      <c r="H30" s="437">
        <v>1937</v>
      </c>
      <c r="I30" s="438">
        <v>8.5450855832009882</v>
      </c>
      <c r="J30" s="437">
        <v>39773</v>
      </c>
      <c r="K30" s="438">
        <v>12.5</v>
      </c>
      <c r="L30" s="437">
        <v>41267</v>
      </c>
      <c r="M30" s="438">
        <v>13.223720471179359</v>
      </c>
      <c r="N30" s="437">
        <v>45037</v>
      </c>
      <c r="O30" s="438">
        <v>13.980263668449497</v>
      </c>
    </row>
    <row r="31" spans="2:15" ht="13.5" customHeight="1">
      <c r="B31" s="182"/>
      <c r="C31" s="444" t="s">
        <v>331</v>
      </c>
      <c r="D31" s="437">
        <v>989</v>
      </c>
      <c r="E31" s="438">
        <v>4.0999999999999996</v>
      </c>
      <c r="F31" s="437">
        <v>1043</v>
      </c>
      <c r="G31" s="438">
        <v>4.3888070692194399</v>
      </c>
      <c r="H31" s="437">
        <v>950</v>
      </c>
      <c r="I31" s="438">
        <v>4.1909299452973361</v>
      </c>
      <c r="J31" s="437">
        <v>12860</v>
      </c>
      <c r="K31" s="438">
        <v>4</v>
      </c>
      <c r="L31" s="437">
        <v>15392</v>
      </c>
      <c r="M31" s="438">
        <v>4.9322583539484981</v>
      </c>
      <c r="N31" s="437">
        <v>13006</v>
      </c>
      <c r="O31" s="438">
        <v>4.0372873253514703</v>
      </c>
    </row>
    <row r="32" spans="2:15" ht="13.5" customHeight="1">
      <c r="B32" s="194" t="s">
        <v>332</v>
      </c>
      <c r="C32" s="181"/>
      <c r="D32" s="437">
        <v>5290</v>
      </c>
      <c r="E32" s="438">
        <v>22.2</v>
      </c>
      <c r="F32" s="437">
        <v>5536</v>
      </c>
      <c r="G32" s="438">
        <v>23.294761203450452</v>
      </c>
      <c r="H32" s="437">
        <v>5370</v>
      </c>
      <c r="I32" s="438">
        <v>23.689782953943887</v>
      </c>
      <c r="J32" s="437">
        <v>66474</v>
      </c>
      <c r="K32" s="438">
        <v>20.8</v>
      </c>
      <c r="L32" s="437">
        <v>68931</v>
      </c>
      <c r="M32" s="438">
        <v>22.08845508030301</v>
      </c>
      <c r="N32" s="437">
        <v>74666</v>
      </c>
      <c r="O32" s="438">
        <v>23.177617671435709</v>
      </c>
    </row>
    <row r="33" spans="2:15" ht="13.5" customHeight="1">
      <c r="B33" s="182"/>
      <c r="C33" s="444" t="s">
        <v>291</v>
      </c>
      <c r="D33" s="439">
        <v>53</v>
      </c>
      <c r="E33" s="438">
        <v>0.2</v>
      </c>
      <c r="F33" s="439">
        <v>55</v>
      </c>
      <c r="G33" s="438">
        <v>0.23143277929728595</v>
      </c>
      <c r="H33" s="439">
        <v>70</v>
      </c>
      <c r="I33" s="438">
        <v>0.30880536439033002</v>
      </c>
      <c r="J33" s="439">
        <v>442</v>
      </c>
      <c r="K33" s="438">
        <v>0.1</v>
      </c>
      <c r="L33" s="439">
        <v>694</v>
      </c>
      <c r="M33" s="438">
        <v>0.2223874283809939</v>
      </c>
      <c r="N33" s="439">
        <v>1357</v>
      </c>
      <c r="O33" s="438">
        <v>0.42123626791495811</v>
      </c>
    </row>
    <row r="34" spans="2:15" ht="13.5" customHeight="1">
      <c r="B34" s="182"/>
      <c r="C34" s="444" t="s">
        <v>334</v>
      </c>
      <c r="D34" s="437">
        <v>751</v>
      </c>
      <c r="E34" s="438">
        <v>3.1</v>
      </c>
      <c r="F34" s="437">
        <v>754</v>
      </c>
      <c r="G34" s="438">
        <v>3.1727330107300653</v>
      </c>
      <c r="H34" s="437">
        <v>728</v>
      </c>
      <c r="I34" s="438">
        <v>3.2115757896594319</v>
      </c>
      <c r="J34" s="437">
        <v>8289</v>
      </c>
      <c r="K34" s="438">
        <v>2.6</v>
      </c>
      <c r="L34" s="437">
        <v>8399</v>
      </c>
      <c r="M34" s="438">
        <v>2.6914005921786277</v>
      </c>
      <c r="N34" s="437">
        <v>8997</v>
      </c>
      <c r="O34" s="438">
        <v>2.7928243938326291</v>
      </c>
    </row>
    <row r="35" spans="2:15" ht="13.5" customHeight="1">
      <c r="B35" s="182"/>
      <c r="C35" s="444" t="s">
        <v>335</v>
      </c>
      <c r="D35" s="437">
        <v>955</v>
      </c>
      <c r="E35" s="438">
        <v>4</v>
      </c>
      <c r="F35" s="437">
        <v>1010</v>
      </c>
      <c r="G35" s="438">
        <v>4.2499474016410685</v>
      </c>
      <c r="H35" s="437">
        <v>964</v>
      </c>
      <c r="I35" s="438">
        <v>4.2526910181754012</v>
      </c>
      <c r="J35" s="437">
        <v>23772</v>
      </c>
      <c r="K35" s="438">
        <v>7.5</v>
      </c>
      <c r="L35" s="437">
        <v>23246</v>
      </c>
      <c r="M35" s="438">
        <v>7.4490175218221673</v>
      </c>
      <c r="N35" s="437">
        <v>24428</v>
      </c>
      <c r="O35" s="438">
        <v>7.5828736570571822</v>
      </c>
    </row>
    <row r="36" spans="2:15" ht="13.5" customHeight="1">
      <c r="B36" s="182"/>
      <c r="C36" s="444" t="s">
        <v>337</v>
      </c>
      <c r="D36" s="439">
        <v>585</v>
      </c>
      <c r="E36" s="438">
        <v>2.5</v>
      </c>
      <c r="F36" s="439">
        <v>578</v>
      </c>
      <c r="G36" s="438">
        <v>2.4321481169787504</v>
      </c>
      <c r="H36" s="437">
        <v>555</v>
      </c>
      <c r="I36" s="438">
        <v>2.4483853890947591</v>
      </c>
      <c r="J36" s="439">
        <v>6511</v>
      </c>
      <c r="K36" s="438">
        <v>2</v>
      </c>
      <c r="L36" s="439">
        <v>6658</v>
      </c>
      <c r="M36" s="438">
        <v>2.1335093633438866</v>
      </c>
      <c r="N36" s="439">
        <v>7378</v>
      </c>
      <c r="O36" s="438">
        <v>2.2902587948979813</v>
      </c>
    </row>
    <row r="37" spans="2:15" ht="13.5" customHeight="1">
      <c r="B37" s="182"/>
      <c r="C37" s="444" t="s">
        <v>338</v>
      </c>
      <c r="D37" s="437">
        <v>2946</v>
      </c>
      <c r="E37" s="438">
        <v>12.4</v>
      </c>
      <c r="F37" s="437">
        <v>3139</v>
      </c>
      <c r="G37" s="438">
        <v>13.208499894803282</v>
      </c>
      <c r="H37" s="439">
        <v>3053</v>
      </c>
      <c r="I37" s="438">
        <v>13.468325392623964</v>
      </c>
      <c r="J37" s="437">
        <v>27460</v>
      </c>
      <c r="K37" s="438">
        <v>8.6</v>
      </c>
      <c r="L37" s="437">
        <v>29934</v>
      </c>
      <c r="M37" s="438">
        <v>9.5921401745773363</v>
      </c>
      <c r="N37" s="437">
        <v>32506</v>
      </c>
      <c r="O37" s="438">
        <v>10.090424557732961</v>
      </c>
    </row>
    <row r="38" spans="2:15" ht="13.5" customHeight="1">
      <c r="B38" s="441" t="s">
        <v>630</v>
      </c>
      <c r="C38" s="184"/>
      <c r="D38" s="437">
        <v>703</v>
      </c>
      <c r="E38" s="438">
        <v>2.9</v>
      </c>
      <c r="F38" s="439" t="s">
        <v>264</v>
      </c>
      <c r="G38" s="440" t="s">
        <v>264</v>
      </c>
      <c r="H38" s="439" t="s">
        <v>264</v>
      </c>
      <c r="I38" s="440" t="s">
        <v>264</v>
      </c>
      <c r="J38" s="437">
        <v>14738</v>
      </c>
      <c r="K38" s="438">
        <v>4.5999999999999996</v>
      </c>
      <c r="L38" s="439" t="s">
        <v>264</v>
      </c>
      <c r="M38" s="440" t="s">
        <v>264</v>
      </c>
      <c r="N38" s="439" t="s">
        <v>264</v>
      </c>
      <c r="O38" s="440" t="s">
        <v>264</v>
      </c>
    </row>
    <row r="39" spans="2:15" ht="7.5" customHeight="1">
      <c r="D39" s="169"/>
      <c r="E39" s="169"/>
      <c r="F39" s="169"/>
      <c r="G39" s="169"/>
      <c r="H39" s="169"/>
      <c r="I39" s="169"/>
    </row>
    <row r="40" spans="2:15" ht="30" customHeight="1">
      <c r="B40" s="183"/>
      <c r="C40" s="49"/>
    </row>
    <row r="81" spans="4:4">
      <c r="D81" s="185"/>
    </row>
    <row r="82" spans="4:4">
      <c r="D82" s="185"/>
    </row>
    <row r="84" spans="4:4">
      <c r="D84" s="185"/>
    </row>
    <row r="87" spans="4:4">
      <c r="D87" s="185"/>
    </row>
    <row r="89" spans="4:4">
      <c r="D89" s="185"/>
    </row>
    <row r="90" spans="4:4">
      <c r="D90" s="185"/>
    </row>
    <row r="91" spans="4:4">
      <c r="D91" s="185"/>
    </row>
    <row r="92" spans="4:4">
      <c r="D92" s="185"/>
    </row>
    <row r="94" spans="4:4">
      <c r="D94" s="185"/>
    </row>
    <row r="96" spans="4:4">
      <c r="D96" s="185"/>
    </row>
    <row r="97" spans="4:4">
      <c r="D97" s="185"/>
    </row>
    <row r="98" spans="4:4">
      <c r="D98" s="185"/>
    </row>
    <row r="100" spans="4:4">
      <c r="D100" s="185"/>
    </row>
    <row r="101" spans="4:4">
      <c r="D101" s="185"/>
    </row>
    <row r="103" spans="4:4">
      <c r="D103" s="185"/>
    </row>
    <row r="104" spans="4:4">
      <c r="D104" s="185"/>
    </row>
    <row r="105" spans="4:4">
      <c r="D105" s="185"/>
    </row>
    <row r="106" spans="4:4">
      <c r="D106" s="185"/>
    </row>
    <row r="107" spans="4:4">
      <c r="D107" s="185"/>
    </row>
    <row r="108" spans="4:4">
      <c r="D108" s="185"/>
    </row>
    <row r="109" spans="4:4">
      <c r="D109" s="185"/>
    </row>
    <row r="110" spans="4:4">
      <c r="D110" s="185"/>
    </row>
    <row r="111" spans="4:4">
      <c r="D111" s="185"/>
    </row>
    <row r="112" spans="4:4">
      <c r="D112" s="185"/>
    </row>
    <row r="113" spans="4:4">
      <c r="D113" s="185"/>
    </row>
    <row r="114" spans="4:4">
      <c r="D114" s="185"/>
    </row>
    <row r="115" spans="4:4">
      <c r="D115" s="185"/>
    </row>
    <row r="116" spans="4:4">
      <c r="D116" s="185"/>
    </row>
    <row r="117" spans="4:4">
      <c r="D117" s="185"/>
    </row>
    <row r="118" spans="4:4">
      <c r="D118" s="185"/>
    </row>
    <row r="119" spans="4:4">
      <c r="D119" s="185"/>
    </row>
    <row r="120" spans="4:4">
      <c r="D120" s="185"/>
    </row>
    <row r="122" spans="4:4">
      <c r="D122" s="185"/>
    </row>
  </sheetData>
  <mergeCells count="8">
    <mergeCell ref="N5:O5"/>
    <mergeCell ref="D4:I4"/>
    <mergeCell ref="J4:O4"/>
    <mergeCell ref="D5:E5"/>
    <mergeCell ref="F5:G5"/>
    <mergeCell ref="H5:I5"/>
    <mergeCell ref="J5:K5"/>
    <mergeCell ref="L5:M5"/>
  </mergeCells>
  <phoneticPr fontId="8"/>
  <printOptions gridLinesSet="0"/>
  <pageMargins left="0.74803149606299213" right="0" top="0.3543307086614173" bottom="0.15748031496062992" header="0.31496062992125984" footer="0.31496062992125984"/>
  <pageSetup paperSize="274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workbookViewId="0"/>
  </sheetViews>
  <sheetFormatPr defaultRowHeight="12"/>
  <cols>
    <col min="1" max="1" width="1.625" style="167" customWidth="1"/>
    <col min="2" max="2" width="2.625" style="167" customWidth="1"/>
    <col min="3" max="3" width="17.625" style="167" customWidth="1"/>
    <col min="4" max="4" width="9.25" style="167" bestFit="1" customWidth="1"/>
    <col min="5" max="5" width="5.875" style="167" customWidth="1"/>
    <col min="6" max="6" width="9.25" style="167" bestFit="1" customWidth="1"/>
    <col min="7" max="7" width="5.875" style="167" customWidth="1"/>
    <col min="8" max="8" width="9.25" style="167" bestFit="1" customWidth="1"/>
    <col min="9" max="9" width="5.875" style="167" customWidth="1"/>
    <col min="10" max="16384" width="9" style="167"/>
  </cols>
  <sheetData>
    <row r="1" spans="1:12" s="42" customFormat="1" ht="13.5" customHeight="1">
      <c r="A1" s="43" t="s">
        <v>340</v>
      </c>
      <c r="B1" s="167"/>
      <c r="C1" s="167"/>
      <c r="D1" s="167"/>
      <c r="E1" s="167"/>
      <c r="F1" s="167"/>
      <c r="G1" s="167"/>
      <c r="H1" s="167"/>
      <c r="I1" s="167"/>
    </row>
    <row r="2" spans="1:12" s="42" customFormat="1" ht="13.5" customHeight="1"/>
    <row r="3" spans="1:12" ht="13.5" customHeight="1">
      <c r="B3" s="49"/>
      <c r="C3" s="49"/>
      <c r="D3" s="169"/>
      <c r="E3" s="170"/>
      <c r="F3" s="169"/>
      <c r="G3" s="170"/>
      <c r="H3" s="169"/>
      <c r="I3" s="170" t="s">
        <v>283</v>
      </c>
    </row>
    <row r="4" spans="1:12" ht="14.25" customHeight="1">
      <c r="B4" s="432"/>
      <c r="C4" s="433"/>
      <c r="D4" s="666"/>
      <c r="E4" s="666"/>
      <c r="F4" s="666"/>
      <c r="G4" s="666"/>
      <c r="H4" s="666"/>
      <c r="I4" s="667"/>
    </row>
    <row r="5" spans="1:12" ht="14.25" customHeight="1">
      <c r="B5" s="434"/>
      <c r="C5" s="435"/>
      <c r="D5" s="668" t="s">
        <v>285</v>
      </c>
      <c r="E5" s="668"/>
      <c r="F5" s="669" t="s">
        <v>286</v>
      </c>
      <c r="G5" s="670"/>
      <c r="H5" s="669" t="s">
        <v>45</v>
      </c>
      <c r="I5" s="670"/>
    </row>
    <row r="6" spans="1:12" s="171" customFormat="1">
      <c r="B6" s="177"/>
      <c r="C6" s="178"/>
      <c r="D6" s="179" t="s">
        <v>86</v>
      </c>
      <c r="E6" s="175" t="s">
        <v>219</v>
      </c>
      <c r="F6" s="174" t="s">
        <v>86</v>
      </c>
      <c r="G6" s="176" t="s">
        <v>219</v>
      </c>
      <c r="H6" s="174" t="s">
        <v>86</v>
      </c>
      <c r="I6" s="176" t="s">
        <v>219</v>
      </c>
      <c r="K6" s="49"/>
      <c r="L6" s="49"/>
    </row>
    <row r="7" spans="1:12" ht="14.25" customHeight="1">
      <c r="B7" s="444" t="s">
        <v>287</v>
      </c>
      <c r="C7" s="444"/>
      <c r="D7" s="501">
        <v>34434073</v>
      </c>
      <c r="E7" s="502">
        <v>100</v>
      </c>
      <c r="F7" s="501">
        <v>30805542</v>
      </c>
      <c r="G7" s="502">
        <v>100</v>
      </c>
      <c r="H7" s="501">
        <v>36985516</v>
      </c>
      <c r="I7" s="502">
        <v>100</v>
      </c>
    </row>
    <row r="8" spans="1:12" ht="14.25" customHeight="1">
      <c r="B8" s="444" t="s">
        <v>288</v>
      </c>
      <c r="C8" s="444"/>
      <c r="D8" s="501">
        <v>2305792</v>
      </c>
      <c r="E8" s="502">
        <v>6.7</v>
      </c>
      <c r="F8" s="501">
        <v>580947</v>
      </c>
      <c r="G8" s="502">
        <v>1.8707993743682256</v>
      </c>
      <c r="H8" s="501">
        <v>1498914</v>
      </c>
      <c r="I8" s="502">
        <v>4.0527053887797591</v>
      </c>
    </row>
    <row r="9" spans="1:12" ht="14.25" customHeight="1">
      <c r="B9" s="504" t="s">
        <v>290</v>
      </c>
      <c r="C9" s="444"/>
      <c r="D9" s="501">
        <v>20785728</v>
      </c>
      <c r="E9" s="502">
        <v>60.4</v>
      </c>
      <c r="F9" s="501">
        <v>19338923</v>
      </c>
      <c r="G9" s="502">
        <v>62.192190809318525</v>
      </c>
      <c r="H9" s="501">
        <v>22142925</v>
      </c>
      <c r="I9" s="502">
        <v>59.869179599927712</v>
      </c>
    </row>
    <row r="10" spans="1:12" ht="14.25" customHeight="1">
      <c r="B10" s="505"/>
      <c r="C10" s="444" t="s">
        <v>292</v>
      </c>
      <c r="D10" s="501">
        <v>1086896</v>
      </c>
      <c r="E10" s="502">
        <v>3.2</v>
      </c>
      <c r="F10" s="501">
        <v>1099618</v>
      </c>
      <c r="G10" s="502">
        <v>3.7449993414571865</v>
      </c>
      <c r="H10" s="501">
        <v>1314764</v>
      </c>
      <c r="I10" s="502">
        <v>3.5548077793480024</v>
      </c>
    </row>
    <row r="11" spans="1:12" ht="14.25" customHeight="1">
      <c r="B11" s="505"/>
      <c r="C11" s="444" t="s">
        <v>294</v>
      </c>
      <c r="D11" s="501">
        <v>1346212</v>
      </c>
      <c r="E11" s="502">
        <v>3.9</v>
      </c>
      <c r="F11" s="501">
        <v>1282517</v>
      </c>
      <c r="G11" s="502">
        <v>4.193433184954567</v>
      </c>
      <c r="H11" s="501">
        <v>1513423</v>
      </c>
      <c r="I11" s="502">
        <v>4.0919342588055283</v>
      </c>
    </row>
    <row r="12" spans="1:12" ht="14.25" customHeight="1">
      <c r="B12" s="505"/>
      <c r="C12" s="444" t="s">
        <v>296</v>
      </c>
      <c r="D12" s="501">
        <v>3656762</v>
      </c>
      <c r="E12" s="502">
        <v>10.6</v>
      </c>
      <c r="F12" s="501">
        <v>3991674</v>
      </c>
      <c r="G12" s="502">
        <v>12.691720490599906</v>
      </c>
      <c r="H12" s="501">
        <v>4587114</v>
      </c>
      <c r="I12" s="502">
        <v>12.402460465875343</v>
      </c>
    </row>
    <row r="13" spans="1:12" ht="14.25" customHeight="1">
      <c r="B13" s="505"/>
      <c r="C13" s="503" t="s">
        <v>298</v>
      </c>
      <c r="D13" s="501">
        <v>2235180</v>
      </c>
      <c r="E13" s="502">
        <v>6.5</v>
      </c>
      <c r="F13" s="501">
        <v>1907884</v>
      </c>
      <c r="G13" s="502">
        <v>5.9559062917727879</v>
      </c>
      <c r="H13" s="501">
        <v>1633459</v>
      </c>
      <c r="I13" s="502">
        <v>4.4164829280737905</v>
      </c>
    </row>
    <row r="14" spans="1:12" ht="14.25" customHeight="1">
      <c r="B14" s="505"/>
      <c r="C14" s="503" t="s">
        <v>300</v>
      </c>
      <c r="D14" s="501">
        <v>3468209</v>
      </c>
      <c r="E14" s="502">
        <v>10.1</v>
      </c>
      <c r="F14" s="501">
        <v>3293263</v>
      </c>
      <c r="G14" s="502">
        <v>10.615748801822408</v>
      </c>
      <c r="H14" s="501">
        <v>3315599</v>
      </c>
      <c r="I14" s="502">
        <v>8.9645876510145222</v>
      </c>
    </row>
    <row r="15" spans="1:12" ht="14.25" customHeight="1">
      <c r="B15" s="505"/>
      <c r="C15" s="503" t="s">
        <v>230</v>
      </c>
      <c r="D15" s="501">
        <v>769180</v>
      </c>
      <c r="E15" s="502">
        <v>2.2000000000000002</v>
      </c>
      <c r="F15" s="501">
        <v>776045</v>
      </c>
      <c r="G15" s="502">
        <v>2.5042306142868043</v>
      </c>
      <c r="H15" s="501">
        <v>940536</v>
      </c>
      <c r="I15" s="502">
        <v>2.5429846645914038</v>
      </c>
    </row>
    <row r="16" spans="1:12" ht="14.25" customHeight="1">
      <c r="B16" s="505"/>
      <c r="C16" s="503" t="s">
        <v>302</v>
      </c>
      <c r="D16" s="501">
        <v>349422</v>
      </c>
      <c r="E16" s="502">
        <v>1</v>
      </c>
      <c r="F16" s="501">
        <v>314720</v>
      </c>
      <c r="G16" s="502">
        <v>1.0305051844547828</v>
      </c>
      <c r="H16" s="501">
        <v>259606</v>
      </c>
      <c r="I16" s="502">
        <v>0.70191260816801915</v>
      </c>
    </row>
    <row r="17" spans="2:9" ht="14.25" customHeight="1">
      <c r="B17" s="505"/>
      <c r="C17" s="503" t="s">
        <v>304</v>
      </c>
      <c r="D17" s="439" t="s">
        <v>305</v>
      </c>
      <c r="E17" s="440" t="s">
        <v>305</v>
      </c>
      <c r="F17" s="439" t="s">
        <v>305</v>
      </c>
      <c r="G17" s="440" t="s">
        <v>305</v>
      </c>
      <c r="H17" s="439" t="s">
        <v>305</v>
      </c>
      <c r="I17" s="440" t="s">
        <v>306</v>
      </c>
    </row>
    <row r="18" spans="2:9" ht="14.25" customHeight="1">
      <c r="B18" s="505"/>
      <c r="C18" s="503" t="s">
        <v>308</v>
      </c>
      <c r="D18" s="501">
        <v>2237988</v>
      </c>
      <c r="E18" s="502">
        <v>6.5</v>
      </c>
      <c r="F18" s="501">
        <v>1856035</v>
      </c>
      <c r="G18" s="502">
        <v>5.9931067151723436</v>
      </c>
      <c r="H18" s="501">
        <v>2631035</v>
      </c>
      <c r="I18" s="502">
        <v>7.1136901266971639</v>
      </c>
    </row>
    <row r="19" spans="2:9" ht="14.25" customHeight="1">
      <c r="B19" s="505"/>
      <c r="C19" s="503" t="s">
        <v>309</v>
      </c>
      <c r="D19" s="501">
        <v>671744</v>
      </c>
      <c r="E19" s="502">
        <v>2</v>
      </c>
      <c r="F19" s="501">
        <v>535785</v>
      </c>
      <c r="G19" s="502">
        <v>1.5732603923369444</v>
      </c>
      <c r="H19" s="501">
        <v>759470</v>
      </c>
      <c r="I19" s="502">
        <v>2.053425454440057</v>
      </c>
    </row>
    <row r="20" spans="2:9" ht="14.25" customHeight="1">
      <c r="B20" s="505"/>
      <c r="C20" s="503" t="s">
        <v>311</v>
      </c>
      <c r="D20" s="501">
        <v>4147760</v>
      </c>
      <c r="E20" s="502">
        <v>12</v>
      </c>
      <c r="F20" s="501">
        <v>3466999</v>
      </c>
      <c r="G20" s="502">
        <v>11.265281333032346</v>
      </c>
      <c r="H20" s="501">
        <v>4199029</v>
      </c>
      <c r="I20" s="502">
        <v>11.353171333340327</v>
      </c>
    </row>
    <row r="21" spans="2:9" ht="14.25" customHeight="1">
      <c r="B21" s="506"/>
      <c r="C21" s="503" t="s">
        <v>313</v>
      </c>
      <c r="D21" s="501">
        <v>816375</v>
      </c>
      <c r="E21" s="502">
        <v>2.4</v>
      </c>
      <c r="F21" s="501">
        <v>814383</v>
      </c>
      <c r="G21" s="502">
        <v>2.6239984594284493</v>
      </c>
      <c r="H21" s="501">
        <v>988890</v>
      </c>
      <c r="I21" s="502">
        <v>2.6737223295735553</v>
      </c>
    </row>
    <row r="22" spans="2:9" ht="14.25" customHeight="1">
      <c r="B22" s="504" t="s">
        <v>315</v>
      </c>
      <c r="C22" s="444"/>
      <c r="D22" s="501">
        <v>9822579</v>
      </c>
      <c r="E22" s="502">
        <v>28.5</v>
      </c>
      <c r="F22" s="501">
        <v>8794044</v>
      </c>
      <c r="G22" s="502">
        <v>35.937006596054985</v>
      </c>
      <c r="H22" s="501">
        <v>11408667</v>
      </c>
      <c r="I22" s="502">
        <v>30.846310215058242</v>
      </c>
    </row>
    <row r="23" spans="2:9" ht="14.25" customHeight="1">
      <c r="B23" s="505"/>
      <c r="C23" s="503" t="s">
        <v>317</v>
      </c>
      <c r="D23" s="501">
        <v>1054541</v>
      </c>
      <c r="E23" s="502">
        <v>3.1</v>
      </c>
      <c r="F23" s="501">
        <v>1015571</v>
      </c>
      <c r="G23" s="502">
        <v>3.224821364223768</v>
      </c>
      <c r="H23" s="501">
        <v>918796</v>
      </c>
      <c r="I23" s="502">
        <v>2.4842048979389664</v>
      </c>
    </row>
    <row r="24" spans="2:9" ht="14.25" customHeight="1">
      <c r="B24" s="505"/>
      <c r="C24" s="503" t="s">
        <v>319</v>
      </c>
      <c r="D24" s="501">
        <v>475507</v>
      </c>
      <c r="E24" s="502">
        <v>1.4</v>
      </c>
      <c r="F24" s="501">
        <v>467850</v>
      </c>
      <c r="G24" s="502">
        <v>1.5076315290333655</v>
      </c>
      <c r="H24" s="501">
        <v>566215</v>
      </c>
      <c r="I24" s="502">
        <v>1.5309101000510579</v>
      </c>
    </row>
    <row r="25" spans="2:9" ht="14.25" customHeight="1">
      <c r="B25" s="505"/>
      <c r="C25" s="503" t="s">
        <v>321</v>
      </c>
      <c r="D25" s="501">
        <v>1734439</v>
      </c>
      <c r="E25" s="502">
        <v>5</v>
      </c>
      <c r="F25" s="501">
        <v>1820393</v>
      </c>
      <c r="G25" s="502">
        <v>5.876935898505188</v>
      </c>
      <c r="H25" s="501">
        <v>2732427</v>
      </c>
      <c r="I25" s="502">
        <v>7.3878298737267851</v>
      </c>
    </row>
    <row r="26" spans="2:9" ht="14.25" customHeight="1">
      <c r="B26" s="505"/>
      <c r="C26" s="503" t="s">
        <v>323</v>
      </c>
      <c r="D26" s="501">
        <v>3223419</v>
      </c>
      <c r="E26" s="502">
        <v>9.4</v>
      </c>
      <c r="F26" s="501">
        <v>2966779</v>
      </c>
      <c r="G26" s="502">
        <v>9.5748582844846997</v>
      </c>
      <c r="H26" s="501">
        <v>3967144</v>
      </c>
      <c r="I26" s="502">
        <v>10.726209687056954</v>
      </c>
    </row>
    <row r="27" spans="2:9" ht="14.25" customHeight="1">
      <c r="B27" s="505"/>
      <c r="C27" s="503" t="s">
        <v>324</v>
      </c>
      <c r="D27" s="501">
        <v>392347</v>
      </c>
      <c r="E27" s="502">
        <v>1.1000000000000001</v>
      </c>
      <c r="F27" s="501">
        <v>336857</v>
      </c>
      <c r="G27" s="502">
        <v>1.0734473283288373</v>
      </c>
      <c r="H27" s="501">
        <v>511898</v>
      </c>
      <c r="I27" s="502">
        <v>1.3840499075367774</v>
      </c>
    </row>
    <row r="28" spans="2:9" ht="14.25" customHeight="1">
      <c r="B28" s="505"/>
      <c r="C28" s="503" t="s">
        <v>326</v>
      </c>
      <c r="D28" s="501">
        <v>1798477</v>
      </c>
      <c r="E28" s="502">
        <v>5.2</v>
      </c>
      <c r="F28" s="501">
        <v>1341190</v>
      </c>
      <c r="G28" s="502">
        <v>4.4580643478445685</v>
      </c>
      <c r="H28" s="501">
        <v>1701726</v>
      </c>
      <c r="I28" s="502">
        <v>4.6010605881502364</v>
      </c>
    </row>
    <row r="29" spans="2:9" ht="14.25" customHeight="1">
      <c r="B29" s="505"/>
      <c r="C29" s="503" t="s">
        <v>328</v>
      </c>
      <c r="D29" s="501">
        <v>1143849</v>
      </c>
      <c r="E29" s="502">
        <v>3.3</v>
      </c>
      <c r="F29" s="501">
        <v>845404</v>
      </c>
      <c r="G29" s="502">
        <v>3.2830114309507392</v>
      </c>
      <c r="H29" s="501">
        <v>1010461</v>
      </c>
      <c r="I29" s="502">
        <v>2.7320451605974618</v>
      </c>
    </row>
    <row r="30" spans="2:9" ht="14.25" customHeight="1">
      <c r="B30" s="665" t="s">
        <v>330</v>
      </c>
      <c r="C30" s="665"/>
      <c r="D30" s="501">
        <v>1519972</v>
      </c>
      <c r="E30" s="502">
        <v>4.4000000000000004</v>
      </c>
      <c r="F30" s="501">
        <v>2091625</v>
      </c>
      <c r="G30" s="502">
        <v>6.9382364126838247</v>
      </c>
      <c r="H30" s="501">
        <v>1935011</v>
      </c>
      <c r="I30" s="502">
        <v>5.2318074999954032</v>
      </c>
    </row>
    <row r="31" spans="2:9" ht="14.25" customHeight="1"/>
    <row r="32" spans="2:9" ht="14.25" customHeight="1">
      <c r="C32" s="49"/>
    </row>
    <row r="33" spans="2:8" ht="14.25" customHeight="1">
      <c r="B33" s="183" t="s">
        <v>333</v>
      </c>
      <c r="C33" s="49"/>
    </row>
    <row r="34" spans="2:8" ht="14.25" customHeight="1">
      <c r="B34" s="183"/>
      <c r="C34" s="49"/>
    </row>
    <row r="35" spans="2:8" ht="14.25" customHeight="1">
      <c r="B35" s="49" t="s">
        <v>336</v>
      </c>
      <c r="C35" s="49"/>
    </row>
    <row r="36" spans="2:8" ht="14.25" customHeight="1">
      <c r="C36" s="49"/>
    </row>
    <row r="37" spans="2:8" ht="14.25" customHeight="1">
      <c r="B37" s="167" t="s">
        <v>339</v>
      </c>
    </row>
    <row r="38" spans="2:8" ht="14.25" customHeight="1">
      <c r="E38" s="169"/>
      <c r="F38" s="169"/>
      <c r="H38" s="169"/>
    </row>
    <row r="39" spans="2:8" ht="7.5" customHeight="1">
      <c r="E39" s="169"/>
    </row>
    <row r="40" spans="2:8" ht="13.5" customHeight="1">
      <c r="E40" s="169"/>
    </row>
    <row r="41" spans="2:8" ht="13.5" customHeight="1">
      <c r="E41" s="169"/>
    </row>
    <row r="42" spans="2:8" ht="13.5" customHeight="1">
      <c r="E42" s="169"/>
    </row>
    <row r="43" spans="2:8" ht="13.5" customHeight="1"/>
    <row r="48" spans="2:8">
      <c r="D48" s="186"/>
    </row>
    <row r="49" spans="4:4">
      <c r="D49" s="186"/>
    </row>
    <row r="50" spans="4:4">
      <c r="D50" s="186"/>
    </row>
    <row r="51" spans="4:4">
      <c r="D51" s="186"/>
    </row>
    <row r="52" spans="4:4">
      <c r="D52" s="186"/>
    </row>
    <row r="53" spans="4:4">
      <c r="D53" s="186"/>
    </row>
    <row r="54" spans="4:4">
      <c r="D54" s="186"/>
    </row>
    <row r="55" spans="4:4">
      <c r="D55" s="186"/>
    </row>
    <row r="56" spans="4:4">
      <c r="D56" s="186"/>
    </row>
    <row r="57" spans="4:4">
      <c r="D57" s="186"/>
    </row>
    <row r="58" spans="4:4">
      <c r="D58" s="186"/>
    </row>
    <row r="59" spans="4:4">
      <c r="D59" s="186"/>
    </row>
    <row r="60" spans="4:4">
      <c r="D60" s="186"/>
    </row>
    <row r="61" spans="4:4">
      <c r="D61" s="186"/>
    </row>
    <row r="62" spans="4:4">
      <c r="D62" s="186"/>
    </row>
    <row r="63" spans="4:4">
      <c r="D63" s="186"/>
    </row>
    <row r="64" spans="4:4">
      <c r="D64" s="186"/>
    </row>
    <row r="65" spans="4:4">
      <c r="D65" s="186"/>
    </row>
    <row r="66" spans="4:4">
      <c r="D66" s="186"/>
    </row>
    <row r="67" spans="4:4">
      <c r="D67" s="186"/>
    </row>
    <row r="68" spans="4:4">
      <c r="D68" s="186"/>
    </row>
  </sheetData>
  <mergeCells count="5">
    <mergeCell ref="B30:C30"/>
    <mergeCell ref="D4:I4"/>
    <mergeCell ref="D5:E5"/>
    <mergeCell ref="F5:G5"/>
    <mergeCell ref="H5:I5"/>
  </mergeCells>
  <phoneticPr fontId="8"/>
  <printOptions gridLinesSet="0"/>
  <pageMargins left="0.74803149606299213" right="0.31496062992125984" top="0.3543307086614173" bottom="0.354330708661417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5"/>
  <sheetViews>
    <sheetView zoomScaleNormal="100" workbookViewId="0"/>
  </sheetViews>
  <sheetFormatPr defaultRowHeight="13.5"/>
  <cols>
    <col min="1" max="1" width="1.625" style="39" customWidth="1"/>
    <col min="2" max="2" width="9" style="39"/>
    <col min="3" max="3" width="5.625" style="39" customWidth="1"/>
    <col min="4" max="6" width="9" style="39"/>
    <col min="7" max="11" width="9" style="39" customWidth="1"/>
    <col min="12" max="13" width="2.625" style="39" customWidth="1"/>
    <col min="14" max="15" width="9.25" style="39" bestFit="1" customWidth="1"/>
    <col min="16" max="16384" width="9" style="39"/>
  </cols>
  <sheetData>
    <row r="1" spans="1:16" s="21" customFormat="1" ht="14.25">
      <c r="A1" s="20" t="s">
        <v>565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s="21" customFormat="1" ht="13.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s="21" customFormat="1" ht="30.75" customHeight="1">
      <c r="B3" s="53"/>
      <c r="C3" s="458"/>
      <c r="D3" s="626" t="s">
        <v>564</v>
      </c>
      <c r="E3" s="626"/>
      <c r="F3" s="626"/>
      <c r="G3" s="626"/>
      <c r="H3" s="626"/>
      <c r="I3" s="626"/>
      <c r="J3" s="626"/>
      <c r="K3" s="369" t="s">
        <v>563</v>
      </c>
    </row>
    <row r="4" spans="1:16" s="21" customFormat="1" ht="30" customHeight="1">
      <c r="B4" s="428" t="s">
        <v>26</v>
      </c>
      <c r="C4" s="459"/>
      <c r="D4" s="420" t="s">
        <v>562</v>
      </c>
      <c r="E4" s="420" t="s">
        <v>27</v>
      </c>
      <c r="F4" s="420" t="s">
        <v>28</v>
      </c>
      <c r="G4" s="420" t="s">
        <v>29</v>
      </c>
      <c r="H4" s="420" t="s">
        <v>30</v>
      </c>
      <c r="I4" s="420" t="s">
        <v>31</v>
      </c>
      <c r="J4" s="420" t="s">
        <v>32</v>
      </c>
      <c r="K4" s="420" t="s">
        <v>31</v>
      </c>
    </row>
    <row r="5" spans="1:16" s="21" customFormat="1" ht="17.25" customHeight="1">
      <c r="B5" s="622" t="s">
        <v>33</v>
      </c>
      <c r="C5" s="623"/>
      <c r="D5" s="415">
        <v>126926</v>
      </c>
      <c r="E5" s="415">
        <v>127768</v>
      </c>
      <c r="F5" s="460">
        <v>128057</v>
      </c>
      <c r="G5" s="460">
        <v>127094.745</v>
      </c>
      <c r="H5" s="460">
        <v>126930</v>
      </c>
      <c r="I5" s="460">
        <v>126720</v>
      </c>
      <c r="J5" s="460">
        <v>126440</v>
      </c>
      <c r="K5" s="415">
        <v>377973.89</v>
      </c>
      <c r="M5" s="22"/>
      <c r="N5" s="22"/>
    </row>
    <row r="6" spans="1:16" s="21" customFormat="1" ht="17.25" customHeight="1">
      <c r="B6" s="622"/>
      <c r="C6" s="623"/>
      <c r="D6" s="264">
        <v>100</v>
      </c>
      <c r="E6" s="264">
        <v>100</v>
      </c>
      <c r="F6" s="264">
        <v>100</v>
      </c>
      <c r="G6" s="264">
        <v>100</v>
      </c>
      <c r="H6" s="264">
        <v>100</v>
      </c>
      <c r="I6" s="264">
        <v>100</v>
      </c>
      <c r="J6" s="264">
        <v>100</v>
      </c>
      <c r="K6" s="264">
        <v>100</v>
      </c>
      <c r="M6" s="23"/>
      <c r="N6" s="24"/>
    </row>
    <row r="7" spans="1:16" s="21" customFormat="1" ht="17.25" customHeight="1">
      <c r="B7" s="622" t="s">
        <v>34</v>
      </c>
      <c r="C7" s="623"/>
      <c r="D7" s="415">
        <v>23542</v>
      </c>
      <c r="E7" s="415">
        <v>23581</v>
      </c>
      <c r="F7" s="415">
        <v>23564.210999999999</v>
      </c>
      <c r="G7" s="415">
        <v>23328.038000000004</v>
      </c>
      <c r="H7" s="415">
        <v>23278.266</v>
      </c>
      <c r="I7" s="415">
        <v>23216.69</v>
      </c>
      <c r="J7" s="415">
        <v>23150.903999999999</v>
      </c>
      <c r="K7" s="415">
        <v>37316.159999999996</v>
      </c>
      <c r="M7" s="23"/>
      <c r="N7" s="24"/>
    </row>
    <row r="8" spans="1:16" s="21" customFormat="1" ht="17.25" customHeight="1">
      <c r="B8" s="622"/>
      <c r="C8" s="623"/>
      <c r="D8" s="264">
        <v>18.54781526243638</v>
      </c>
      <c r="E8" s="264">
        <v>18.456107945651492</v>
      </c>
      <c r="F8" s="264">
        <v>18.401345494584444</v>
      </c>
      <c r="G8" s="264">
        <v>18.354840713516523</v>
      </c>
      <c r="H8" s="264">
        <v>18.339451666272748</v>
      </c>
      <c r="I8" s="264">
        <v>18.321251578282826</v>
      </c>
      <c r="J8" s="264">
        <v>18.309794368870609</v>
      </c>
      <c r="K8" s="264">
        <v>9.8726819463640716</v>
      </c>
      <c r="M8" s="23"/>
      <c r="N8" s="24"/>
      <c r="O8" s="23"/>
      <c r="P8" s="23"/>
    </row>
    <row r="9" spans="1:16" s="21" customFormat="1" ht="17.25" customHeight="1">
      <c r="B9" s="627" t="s">
        <v>35</v>
      </c>
      <c r="C9" s="628"/>
      <c r="D9" s="415">
        <v>20856</v>
      </c>
      <c r="E9" s="415">
        <v>20893</v>
      </c>
      <c r="F9" s="415">
        <v>20903.172999999999</v>
      </c>
      <c r="G9" s="415">
        <v>20725.433000000001</v>
      </c>
      <c r="H9" s="415">
        <v>20688.071</v>
      </c>
      <c r="I9" s="415">
        <v>20639.474999999999</v>
      </c>
      <c r="J9" s="415">
        <v>20586.796999999999</v>
      </c>
      <c r="K9" s="415">
        <v>27351.239999999998</v>
      </c>
      <c r="M9" s="23"/>
      <c r="N9" s="24"/>
    </row>
    <row r="10" spans="1:16" s="21" customFormat="1" ht="17.25" customHeight="1">
      <c r="B10" s="627"/>
      <c r="C10" s="628"/>
      <c r="D10" s="264">
        <v>16.431621574775853</v>
      </c>
      <c r="E10" s="264">
        <v>16.352294784296536</v>
      </c>
      <c r="F10" s="264">
        <v>16.323334921167916</v>
      </c>
      <c r="G10" s="264">
        <v>16.307073120922507</v>
      </c>
      <c r="H10" s="264">
        <v>16.298803277396988</v>
      </c>
      <c r="I10" s="264">
        <v>16.287464488636363</v>
      </c>
      <c r="J10" s="264">
        <v>16.281870452388482</v>
      </c>
      <c r="K10" s="264">
        <v>7.2362776169539105</v>
      </c>
      <c r="M10" s="23"/>
      <c r="N10" s="24"/>
    </row>
    <row r="11" spans="1:16" s="21" customFormat="1" ht="17.25" customHeight="1">
      <c r="B11" s="622" t="s">
        <v>36</v>
      </c>
      <c r="C11" s="623"/>
      <c r="D11" s="415">
        <v>17000</v>
      </c>
      <c r="E11" s="415">
        <v>17055</v>
      </c>
      <c r="F11" s="415">
        <v>17088.777000000002</v>
      </c>
      <c r="G11" s="415">
        <v>16984.621999999999</v>
      </c>
      <c r="H11" s="415">
        <v>16964.117999999999</v>
      </c>
      <c r="I11" s="415">
        <v>16933.941999999999</v>
      </c>
      <c r="J11" s="415">
        <v>16899.794999999998</v>
      </c>
      <c r="K11" s="415">
        <v>14918.279999999999</v>
      </c>
      <c r="M11" s="23"/>
      <c r="N11" s="24"/>
    </row>
    <row r="12" spans="1:16" s="21" customFormat="1" ht="17.25" customHeight="1">
      <c r="B12" s="622"/>
      <c r="C12" s="623"/>
      <c r="D12" s="264">
        <v>13.393630934560294</v>
      </c>
      <c r="E12" s="264">
        <v>13.348412748105943</v>
      </c>
      <c r="F12" s="264">
        <v>13.344664485346373</v>
      </c>
      <c r="G12" s="264">
        <v>13.363748438222208</v>
      </c>
      <c r="H12" s="264">
        <v>13.364939730560149</v>
      </c>
      <c r="I12" s="264">
        <v>13.363274936868685</v>
      </c>
      <c r="J12" s="264">
        <v>13.365861278076558</v>
      </c>
      <c r="K12" s="264">
        <v>3.9469075496193664</v>
      </c>
      <c r="M12" s="23"/>
      <c r="N12" s="24"/>
    </row>
    <row r="13" spans="1:16" s="21" customFormat="1" ht="17.25" customHeight="1">
      <c r="B13" s="622" t="s">
        <v>37</v>
      </c>
      <c r="C13" s="623"/>
      <c r="D13" s="415">
        <v>8805</v>
      </c>
      <c r="E13" s="415">
        <v>8817</v>
      </c>
      <c r="F13" s="415">
        <v>8865</v>
      </c>
      <c r="G13" s="415">
        <v>8839.4689999999991</v>
      </c>
      <c r="H13" s="415">
        <v>8837.8119999999999</v>
      </c>
      <c r="I13" s="415">
        <v>8831.6419999999998</v>
      </c>
      <c r="J13" s="415">
        <v>8824.5660000000007</v>
      </c>
      <c r="K13" s="415">
        <v>1905.14</v>
      </c>
      <c r="M13" s="23"/>
      <c r="N13" s="24"/>
    </row>
    <row r="14" spans="1:16" s="21" customFormat="1" ht="17.25" customHeight="1">
      <c r="B14" s="622"/>
      <c r="C14" s="623"/>
      <c r="D14" s="264">
        <v>6.9371129634590227</v>
      </c>
      <c r="E14" s="264">
        <v>6.9007889299355085</v>
      </c>
      <c r="F14" s="264">
        <v>6.9226984858305283</v>
      </c>
      <c r="G14" s="264">
        <v>6.9550231994249643</v>
      </c>
      <c r="H14" s="264">
        <v>6.9627448199795161</v>
      </c>
      <c r="I14" s="264">
        <v>6.9694144570707062</v>
      </c>
      <c r="J14" s="264">
        <v>6.9792518190446078</v>
      </c>
      <c r="K14" s="264">
        <v>0.50404010710898584</v>
      </c>
      <c r="M14" s="23"/>
      <c r="N14" s="23"/>
      <c r="O14" s="23"/>
      <c r="P14" s="23"/>
    </row>
    <row r="15" spans="1:16" s="21" customFormat="1" ht="17.25" customHeight="1">
      <c r="B15" s="622" t="s">
        <v>38</v>
      </c>
      <c r="C15" s="623"/>
      <c r="D15" s="415">
        <v>2599</v>
      </c>
      <c r="E15" s="415">
        <v>2629</v>
      </c>
      <c r="F15" s="415">
        <v>2665.3139999999999</v>
      </c>
      <c r="G15" s="415">
        <v>2691.1849999999999</v>
      </c>
      <c r="H15" s="415">
        <v>2702.0329999999999</v>
      </c>
      <c r="I15" s="415">
        <v>2713.1570000000002</v>
      </c>
      <c r="J15" s="415">
        <v>2725.0059999999999</v>
      </c>
      <c r="K15" s="415">
        <v>225.21</v>
      </c>
      <c r="M15" s="23"/>
    </row>
    <row r="16" spans="1:16" s="21" customFormat="1" ht="17.25" customHeight="1">
      <c r="B16" s="622"/>
      <c r="C16" s="623"/>
      <c r="D16" s="264">
        <v>2.047649811701306</v>
      </c>
      <c r="E16" s="264">
        <v>2.0576357147329536</v>
      </c>
      <c r="F16" s="264">
        <v>2.0813497114566171</v>
      </c>
      <c r="G16" s="264">
        <v>2.117463629200405</v>
      </c>
      <c r="H16" s="264">
        <v>2.1287583707555342</v>
      </c>
      <c r="I16" s="264">
        <v>2.141064551767677</v>
      </c>
      <c r="J16" s="264">
        <v>2.1551771591268585</v>
      </c>
      <c r="K16" s="264">
        <v>5.9583480753128214E-2</v>
      </c>
      <c r="M16" s="23"/>
      <c r="N16" s="24"/>
    </row>
    <row r="17" spans="2:15" s="21" customFormat="1" ht="17.25" customHeight="1">
      <c r="B17" s="622" t="s">
        <v>39</v>
      </c>
      <c r="C17" s="623"/>
      <c r="D17" s="415">
        <v>33418</v>
      </c>
      <c r="E17" s="415">
        <v>34436.036999999997</v>
      </c>
      <c r="F17" s="415">
        <v>35618.563999999998</v>
      </c>
      <c r="G17" s="415">
        <v>36130.684999999998</v>
      </c>
      <c r="H17" s="415">
        <v>36310.283000000003</v>
      </c>
      <c r="I17" s="415">
        <v>36467.5</v>
      </c>
      <c r="J17" s="415">
        <v>36614.468000000001</v>
      </c>
      <c r="K17" s="415">
        <v>13565.49</v>
      </c>
      <c r="M17" s="23"/>
      <c r="N17" s="24"/>
    </row>
    <row r="18" spans="2:15" s="21" customFormat="1" ht="17.25" customHeight="1">
      <c r="B18" s="622"/>
      <c r="C18" s="623"/>
      <c r="D18" s="264">
        <v>26.328726974772703</v>
      </c>
      <c r="E18" s="264">
        <v>26.95200441425083</v>
      </c>
      <c r="F18" s="264">
        <v>27.814616928399072</v>
      </c>
      <c r="G18" s="264">
        <v>28.428150196139107</v>
      </c>
      <c r="H18" s="264">
        <v>28.606541400772084</v>
      </c>
      <c r="I18" s="264">
        <v>28.778014520202021</v>
      </c>
      <c r="J18" s="264">
        <v>28.957978487820313</v>
      </c>
      <c r="K18" s="264">
        <v>3.5890018752353501</v>
      </c>
      <c r="M18" s="23"/>
      <c r="N18" s="24"/>
    </row>
    <row r="19" spans="2:15" s="21" customFormat="1" ht="17.25" customHeight="1">
      <c r="B19" s="622" t="s">
        <v>40</v>
      </c>
      <c r="C19" s="623"/>
      <c r="D19" s="415">
        <v>12064</v>
      </c>
      <c r="E19" s="415">
        <v>12576.601000000001</v>
      </c>
      <c r="F19" s="415">
        <v>13159</v>
      </c>
      <c r="G19" s="415">
        <v>13515.271000000001</v>
      </c>
      <c r="H19" s="415">
        <v>13636.222</v>
      </c>
      <c r="I19" s="415">
        <v>13742.906000000001</v>
      </c>
      <c r="J19" s="415">
        <v>13843.403</v>
      </c>
      <c r="K19" s="415">
        <v>2193.96</v>
      </c>
      <c r="M19" s="23"/>
      <c r="N19" s="24"/>
    </row>
    <row r="20" spans="2:15" s="21" customFormat="1" ht="17.25" customHeight="1">
      <c r="B20" s="622"/>
      <c r="C20" s="623"/>
      <c r="D20" s="264">
        <v>9.5047507996785541</v>
      </c>
      <c r="E20" s="264">
        <v>9.8433105315885054</v>
      </c>
      <c r="F20" s="264">
        <v>10.275892766502418</v>
      </c>
      <c r="G20" s="264">
        <v>10.634012444810367</v>
      </c>
      <c r="H20" s="264">
        <v>10.743104073111164</v>
      </c>
      <c r="I20" s="264">
        <v>10.845096275252526</v>
      </c>
      <c r="J20" s="264">
        <v>10.948594590319519</v>
      </c>
      <c r="K20" s="264">
        <v>0.58045279265189453</v>
      </c>
      <c r="M20" s="23"/>
      <c r="N20" s="23"/>
    </row>
    <row r="21" spans="2:15" s="21" customFormat="1" ht="17.25" customHeight="1">
      <c r="B21" s="622" t="s">
        <v>41</v>
      </c>
      <c r="C21" s="623"/>
      <c r="D21" s="415">
        <v>8135</v>
      </c>
      <c r="E21" s="415">
        <v>8489.6530000000002</v>
      </c>
      <c r="F21" s="415">
        <v>8946</v>
      </c>
      <c r="G21" s="415">
        <v>9272.74</v>
      </c>
      <c r="H21" s="415">
        <v>9375.2790000000005</v>
      </c>
      <c r="I21" s="415">
        <v>9467.49</v>
      </c>
      <c r="J21" s="415">
        <v>9555.9189999999999</v>
      </c>
      <c r="K21" s="415">
        <v>627.57000000000005</v>
      </c>
    </row>
    <row r="22" spans="2:15" s="21" customFormat="1" ht="17.25" customHeight="1">
      <c r="B22" s="622"/>
      <c r="C22" s="623"/>
      <c r="D22" s="264">
        <v>6.4092463325087055</v>
      </c>
      <c r="E22" s="264">
        <v>6.6445847160478371</v>
      </c>
      <c r="F22" s="264">
        <v>6.9859515684421778</v>
      </c>
      <c r="G22" s="264">
        <v>7.2959271447454412</v>
      </c>
      <c r="H22" s="264">
        <v>7.3861805719688016</v>
      </c>
      <c r="I22" s="264">
        <v>7.4711884469696965</v>
      </c>
      <c r="J22" s="264">
        <v>7.5576708320151855</v>
      </c>
      <c r="K22" s="264">
        <v>0.16603527825691874</v>
      </c>
      <c r="M22" s="23"/>
      <c r="N22" s="24"/>
    </row>
    <row r="23" spans="2:15" s="21" customFormat="1" ht="17.25" customHeight="1">
      <c r="B23" s="622" t="s">
        <v>42</v>
      </c>
      <c r="C23" s="623"/>
      <c r="D23" s="415">
        <v>8901</v>
      </c>
      <c r="E23" s="415">
        <v>9122</v>
      </c>
      <c r="F23" s="415">
        <v>9265.4429999999993</v>
      </c>
      <c r="G23" s="415">
        <v>9298.9930000000004</v>
      </c>
      <c r="H23" s="415">
        <v>9315.3019999999997</v>
      </c>
      <c r="I23" s="415">
        <v>9325.7970000000005</v>
      </c>
      <c r="J23" s="415">
        <v>9329.5609999999997</v>
      </c>
      <c r="K23" s="415">
        <v>10947.33</v>
      </c>
      <c r="M23" s="23"/>
      <c r="N23" s="24"/>
    </row>
    <row r="24" spans="2:15" s="21" customFormat="1" ht="17.25" customHeight="1">
      <c r="B24" s="622"/>
      <c r="C24" s="623"/>
      <c r="D24" s="264">
        <v>7.0127475852071282</v>
      </c>
      <c r="E24" s="264">
        <v>7.1395028489136561</v>
      </c>
      <c r="F24" s="264">
        <v>7.2354053273151795</v>
      </c>
      <c r="G24" s="264">
        <v>7.3165833882431572</v>
      </c>
      <c r="H24" s="264">
        <v>7.3389285432915772</v>
      </c>
      <c r="I24" s="264">
        <v>7.3593726325757585</v>
      </c>
      <c r="J24" s="264">
        <v>7.3786467889908254</v>
      </c>
      <c r="K24" s="264">
        <v>2.896319108179668</v>
      </c>
      <c r="M24" s="23"/>
      <c r="N24" s="23"/>
    </row>
    <row r="25" spans="2:15" s="21" customFormat="1" ht="17.25" customHeight="1">
      <c r="B25" s="624" t="s">
        <v>43</v>
      </c>
      <c r="C25" s="625"/>
      <c r="D25" s="415">
        <v>67607</v>
      </c>
      <c r="E25" s="415">
        <v>67154.963000000003</v>
      </c>
      <c r="F25" s="415">
        <v>66084.216</v>
      </c>
      <c r="G25" s="415">
        <v>64680.444999999992</v>
      </c>
      <c r="H25" s="415">
        <v>64340.296999999991</v>
      </c>
      <c r="I25" s="415">
        <v>63992.761000000006</v>
      </c>
      <c r="J25" s="415">
        <v>63596.175999999992</v>
      </c>
      <c r="K25" s="415">
        <v>338542.79</v>
      </c>
    </row>
    <row r="26" spans="2:15" s="21" customFormat="1" ht="18" customHeight="1">
      <c r="B26" s="624"/>
      <c r="C26" s="625"/>
      <c r="D26" s="264">
        <v>53.264894505459871</v>
      </c>
      <c r="E26" s="264">
        <v>52.560079988729584</v>
      </c>
      <c r="F26" s="264">
        <v>51.605313258939375</v>
      </c>
      <c r="G26" s="264">
        <v>50.891517977395516</v>
      </c>
      <c r="H26" s="264">
        <v>50.689590325376187</v>
      </c>
      <c r="I26" s="264">
        <v>50.499337910353539</v>
      </c>
      <c r="J26" s="264">
        <v>50.297513445112294</v>
      </c>
      <c r="K26" s="264">
        <v>89.56777146696561</v>
      </c>
    </row>
    <row r="27" spans="2:15" s="21" customFormat="1" ht="18" customHeight="1"/>
    <row r="28" spans="2:15" s="21" customFormat="1" ht="12">
      <c r="E28" s="25"/>
      <c r="F28" s="25"/>
      <c r="G28" s="26"/>
      <c r="H28" s="26"/>
      <c r="I28" s="26"/>
      <c r="J28" s="26"/>
    </row>
    <row r="29" spans="2:15" s="21" customFormat="1" ht="12">
      <c r="B29" s="21" t="s">
        <v>561</v>
      </c>
      <c r="D29" s="27"/>
      <c r="E29" s="28"/>
      <c r="F29" s="29"/>
      <c r="G29" s="26"/>
      <c r="H29" s="26"/>
      <c r="I29" s="26"/>
      <c r="J29" s="26"/>
      <c r="L29" s="26"/>
      <c r="M29" s="30"/>
      <c r="O29" s="25"/>
    </row>
    <row r="30" spans="2:15" s="21" customFormat="1" ht="12">
      <c r="B30" s="21" t="s">
        <v>561</v>
      </c>
      <c r="G30" s="26"/>
      <c r="H30" s="26"/>
      <c r="I30" s="26"/>
      <c r="J30" s="26"/>
      <c r="L30" s="31"/>
      <c r="M30" s="32"/>
      <c r="N30" s="33"/>
    </row>
    <row r="31" spans="2:15" s="21" customFormat="1" ht="12">
      <c r="B31" s="21" t="s">
        <v>561</v>
      </c>
      <c r="F31" s="25"/>
      <c r="G31" s="26"/>
      <c r="H31" s="26"/>
      <c r="I31" s="26"/>
      <c r="J31" s="26"/>
      <c r="L31" s="31"/>
      <c r="M31" s="34"/>
      <c r="N31" s="33"/>
      <c r="O31" s="25"/>
    </row>
    <row r="32" spans="2:15" s="21" customFormat="1" ht="12">
      <c r="B32" s="21" t="s">
        <v>561</v>
      </c>
      <c r="G32" s="26"/>
      <c r="H32" s="26"/>
      <c r="I32" s="26"/>
      <c r="J32" s="26"/>
      <c r="L32" s="31"/>
      <c r="M32" s="34"/>
      <c r="N32" s="33"/>
    </row>
    <row r="33" spans="2:15" s="21" customFormat="1" ht="12">
      <c r="B33" s="21" t="s">
        <v>561</v>
      </c>
      <c r="G33" s="26"/>
      <c r="H33" s="26"/>
      <c r="I33" s="26"/>
      <c r="J33" s="26"/>
      <c r="L33" s="31"/>
      <c r="M33" s="34"/>
      <c r="N33" s="33"/>
    </row>
    <row r="34" spans="2:15" s="21" customFormat="1" ht="12">
      <c r="D34" s="27"/>
      <c r="E34" s="27"/>
      <c r="F34" s="27"/>
      <c r="G34" s="26"/>
      <c r="H34" s="26"/>
      <c r="I34" s="26"/>
      <c r="J34" s="26"/>
      <c r="L34" s="31"/>
      <c r="M34" s="34"/>
      <c r="N34" s="33"/>
    </row>
    <row r="35" spans="2:15" s="21" customFormat="1" ht="12">
      <c r="D35" s="27"/>
      <c r="E35" s="28"/>
      <c r="F35" s="28"/>
      <c r="G35" s="26"/>
      <c r="H35" s="26"/>
      <c r="I35" s="26"/>
      <c r="J35" s="26"/>
      <c r="L35" s="31"/>
      <c r="M35" s="32"/>
      <c r="N35" s="33"/>
      <c r="O35" s="35"/>
    </row>
    <row r="36" spans="2:15" s="21" customFormat="1" ht="12">
      <c r="D36" s="36"/>
      <c r="E36" s="28"/>
      <c r="F36" s="28"/>
      <c r="G36" s="37"/>
      <c r="H36" s="37"/>
      <c r="I36" s="37"/>
      <c r="J36" s="37"/>
      <c r="L36" s="31"/>
      <c r="M36" s="32"/>
      <c r="N36" s="33"/>
      <c r="O36" s="25"/>
    </row>
    <row r="37" spans="2:15" s="21" customFormat="1" ht="18" customHeight="1">
      <c r="D37" s="27"/>
      <c r="E37" s="38"/>
      <c r="F37" s="38"/>
      <c r="G37" s="37"/>
      <c r="H37" s="37"/>
      <c r="I37" s="37"/>
      <c r="J37" s="37"/>
      <c r="L37" s="37"/>
      <c r="M37" s="32"/>
      <c r="N37" s="33"/>
    </row>
    <row r="38" spans="2:15" s="21" customFormat="1" ht="18" customHeight="1">
      <c r="D38" s="27"/>
      <c r="E38" s="38"/>
      <c r="F38" s="38"/>
      <c r="G38" s="37"/>
      <c r="H38" s="37"/>
      <c r="I38" s="37"/>
      <c r="J38" s="37"/>
      <c r="L38" s="37"/>
      <c r="M38" s="32"/>
      <c r="N38" s="33"/>
      <c r="O38" s="25"/>
    </row>
    <row r="39" spans="2:15" s="21" customFormat="1" ht="18" customHeight="1">
      <c r="C39" s="337"/>
      <c r="D39" s="27"/>
      <c r="E39" s="28"/>
      <c r="F39" s="28"/>
      <c r="G39" s="34"/>
      <c r="H39" s="34"/>
      <c r="I39" s="34"/>
      <c r="J39" s="34"/>
      <c r="L39" s="37"/>
      <c r="M39" s="32"/>
      <c r="N39" s="33"/>
    </row>
    <row r="40" spans="2:15" s="21" customFormat="1" ht="18" customHeight="1">
      <c r="C40" s="33"/>
      <c r="G40" s="336"/>
      <c r="H40" s="336"/>
      <c r="I40" s="336"/>
      <c r="J40" s="336"/>
      <c r="L40" s="34"/>
      <c r="M40" s="32"/>
      <c r="N40" s="33"/>
    </row>
    <row r="41" spans="2:15" s="21" customFormat="1" ht="18" customHeight="1">
      <c r="C41" s="33"/>
      <c r="G41" s="34"/>
      <c r="H41" s="34"/>
      <c r="I41" s="34"/>
      <c r="J41" s="34"/>
      <c r="L41" s="336"/>
      <c r="M41" s="34"/>
      <c r="N41" s="33"/>
    </row>
    <row r="42" spans="2:15" s="21" customFormat="1" ht="18" customHeight="1">
      <c r="C42" s="33"/>
      <c r="G42" s="34"/>
      <c r="H42" s="34"/>
      <c r="I42" s="34"/>
      <c r="J42" s="34"/>
      <c r="L42" s="34"/>
      <c r="M42" s="34"/>
      <c r="N42" s="33"/>
    </row>
    <row r="43" spans="2:15" s="21" customFormat="1" ht="18" customHeight="1">
      <c r="C43" s="33"/>
      <c r="G43" s="34"/>
      <c r="H43" s="34"/>
      <c r="I43" s="34"/>
      <c r="J43" s="34"/>
      <c r="L43" s="34"/>
      <c r="M43" s="34"/>
      <c r="N43" s="33"/>
    </row>
    <row r="44" spans="2:15" s="21" customFormat="1" ht="18" customHeight="1">
      <c r="C44" s="33"/>
      <c r="G44" s="34"/>
      <c r="H44" s="34"/>
      <c r="I44" s="34"/>
      <c r="J44" s="34"/>
      <c r="L44" s="34"/>
      <c r="M44" s="34"/>
      <c r="N44" s="33"/>
    </row>
    <row r="45" spans="2:15" s="21" customFormat="1" ht="18" customHeight="1">
      <c r="C45" s="33"/>
      <c r="G45" s="34"/>
      <c r="H45" s="34"/>
      <c r="I45" s="34"/>
      <c r="J45" s="34"/>
      <c r="L45" s="34"/>
      <c r="M45" s="34"/>
      <c r="N45" s="33"/>
    </row>
    <row r="46" spans="2:15" s="21" customFormat="1" ht="18" customHeight="1">
      <c r="I46" s="34"/>
      <c r="J46" s="34"/>
      <c r="L46" s="34"/>
      <c r="M46" s="34"/>
      <c r="N46" s="33"/>
      <c r="O46" s="25"/>
    </row>
    <row r="47" spans="2:15" s="21" customFormat="1" ht="18" customHeight="1">
      <c r="I47" s="34"/>
      <c r="J47" s="34"/>
      <c r="L47" s="34"/>
      <c r="M47" s="34"/>
      <c r="N47" s="33"/>
      <c r="O47" s="35"/>
    </row>
    <row r="48" spans="2:15" s="21" customFormat="1" ht="19.5" customHeight="1">
      <c r="I48" s="34"/>
      <c r="J48" s="34"/>
      <c r="K48" s="34"/>
      <c r="L48" s="34"/>
      <c r="M48" s="32"/>
      <c r="N48" s="33"/>
    </row>
    <row r="49" spans="9:11" s="21" customFormat="1" ht="19.5" customHeight="1">
      <c r="I49" s="34"/>
      <c r="J49" s="34"/>
      <c r="K49" s="34"/>
    </row>
    <row r="50" spans="9:11" s="21" customFormat="1" ht="19.5" customHeight="1">
      <c r="I50" s="34"/>
      <c r="J50" s="34"/>
      <c r="K50" s="34"/>
    </row>
    <row r="51" spans="9:11" s="21" customFormat="1" ht="19.5" customHeight="1">
      <c r="I51" s="34"/>
      <c r="J51" s="34"/>
      <c r="K51" s="34"/>
    </row>
    <row r="52" spans="9:11" s="21" customFormat="1" ht="19.5" customHeight="1">
      <c r="I52" s="34"/>
      <c r="J52" s="34"/>
      <c r="K52" s="34"/>
    </row>
    <row r="53" spans="9:11" s="21" customFormat="1" ht="19.5" customHeight="1">
      <c r="I53" s="34"/>
      <c r="J53" s="34"/>
      <c r="K53" s="34"/>
    </row>
    <row r="54" spans="9:11" s="21" customFormat="1" ht="19.5" customHeight="1">
      <c r="I54" s="34"/>
      <c r="J54" s="34"/>
      <c r="K54" s="34"/>
    </row>
    <row r="55" spans="9:11" s="21" customFormat="1" ht="19.5" customHeight="1">
      <c r="I55" s="34"/>
      <c r="J55" s="34"/>
      <c r="K55" s="34"/>
    </row>
    <row r="56" spans="9:11" s="21" customFormat="1" ht="19.5" customHeight="1">
      <c r="I56" s="34"/>
      <c r="J56" s="34"/>
      <c r="K56" s="34"/>
    </row>
    <row r="57" spans="9:11" s="21" customFormat="1" ht="19.5" customHeight="1">
      <c r="I57" s="34"/>
      <c r="J57" s="34"/>
      <c r="K57" s="34"/>
    </row>
    <row r="58" spans="9:11" s="21" customFormat="1" ht="19.5" customHeight="1">
      <c r="I58" s="34"/>
      <c r="J58" s="34"/>
      <c r="K58" s="34"/>
    </row>
    <row r="59" spans="9:11" s="21" customFormat="1" ht="19.5" customHeight="1">
      <c r="I59" s="34"/>
      <c r="J59" s="34"/>
      <c r="K59" s="34"/>
    </row>
    <row r="60" spans="9:11" s="21" customFormat="1" ht="19.5" customHeight="1">
      <c r="I60" s="34"/>
      <c r="J60" s="34"/>
      <c r="K60" s="34"/>
    </row>
    <row r="61" spans="9:11" s="21" customFormat="1" ht="19.5" customHeight="1">
      <c r="I61" s="34"/>
      <c r="J61" s="34"/>
      <c r="K61" s="34"/>
    </row>
    <row r="62" spans="9:11" s="21" customFormat="1" ht="19.5" customHeight="1">
      <c r="I62" s="34"/>
      <c r="J62" s="34"/>
      <c r="K62" s="34"/>
    </row>
    <row r="63" spans="9:11" s="21" customFormat="1" ht="19.5" customHeight="1">
      <c r="I63" s="34"/>
      <c r="J63" s="34"/>
      <c r="K63" s="34"/>
    </row>
    <row r="64" spans="9:11" s="21" customFormat="1" ht="19.5" customHeight="1">
      <c r="I64" s="34"/>
      <c r="J64" s="34"/>
      <c r="K64" s="34"/>
    </row>
    <row r="65" spans="7:11" s="21" customFormat="1" ht="19.5" customHeight="1">
      <c r="I65" s="34"/>
      <c r="J65" s="34"/>
      <c r="K65" s="34"/>
    </row>
    <row r="66" spans="7:11" s="21" customFormat="1" ht="19.5" customHeight="1">
      <c r="I66" s="34"/>
      <c r="J66" s="34"/>
      <c r="K66" s="34"/>
    </row>
    <row r="67" spans="7:11" s="21" customFormat="1" ht="19.5" customHeight="1">
      <c r="I67" s="34"/>
      <c r="J67" s="34"/>
      <c r="K67" s="34"/>
    </row>
    <row r="68" spans="7:11" s="21" customFormat="1" ht="19.5" customHeight="1">
      <c r="I68" s="34"/>
      <c r="J68" s="34"/>
      <c r="K68" s="34"/>
    </row>
    <row r="69" spans="7:11" s="21" customFormat="1" ht="19.5" customHeight="1">
      <c r="I69" s="26"/>
      <c r="J69" s="26"/>
      <c r="K69" s="26"/>
    </row>
    <row r="70" spans="7:11" s="21" customFormat="1" ht="19.5" customHeight="1">
      <c r="I70" s="26"/>
      <c r="J70" s="26"/>
      <c r="K70" s="26"/>
    </row>
    <row r="71" spans="7:11" s="21" customFormat="1" ht="19.5" customHeight="1">
      <c r="G71" s="34"/>
      <c r="H71" s="34"/>
      <c r="I71" s="26"/>
      <c r="J71" s="26"/>
      <c r="K71" s="26"/>
    </row>
    <row r="72" spans="7:11" s="21" customFormat="1" ht="19.5" customHeight="1">
      <c r="G72" s="34"/>
      <c r="H72" s="34"/>
      <c r="I72" s="26"/>
      <c r="J72" s="26"/>
      <c r="K72" s="26"/>
    </row>
    <row r="73" spans="7:11" s="21" customFormat="1" ht="19.5" customHeight="1">
      <c r="G73" s="34"/>
      <c r="H73" s="34"/>
      <c r="I73" s="34"/>
      <c r="J73" s="34"/>
      <c r="K73" s="34"/>
    </row>
    <row r="74" spans="7:11" s="21" customFormat="1" ht="19.5" customHeight="1">
      <c r="G74" s="34"/>
      <c r="H74" s="34"/>
      <c r="I74" s="34"/>
      <c r="J74" s="34"/>
      <c r="K74" s="34"/>
    </row>
    <row r="75" spans="7:11" s="21" customFormat="1" ht="19.5" customHeight="1">
      <c r="G75" s="34"/>
      <c r="H75" s="34"/>
      <c r="I75" s="26"/>
      <c r="J75" s="26"/>
      <c r="K75" s="26"/>
    </row>
    <row r="76" spans="7:11" s="21" customFormat="1" ht="19.5" customHeight="1">
      <c r="G76" s="34"/>
      <c r="H76" s="34"/>
      <c r="I76" s="26"/>
      <c r="J76" s="26"/>
      <c r="K76" s="26"/>
    </row>
    <row r="77" spans="7:11" s="21" customFormat="1" ht="19.5" customHeight="1">
      <c r="G77" s="34"/>
      <c r="H77" s="34"/>
    </row>
    <row r="78" spans="7:11" s="21" customFormat="1" ht="19.5" customHeight="1">
      <c r="G78" s="34"/>
      <c r="H78" s="34"/>
    </row>
    <row r="79" spans="7:11" s="21" customFormat="1" ht="19.5" customHeight="1">
      <c r="G79" s="34"/>
      <c r="H79" s="34"/>
    </row>
    <row r="80" spans="7:11" s="21" customFormat="1" ht="19.5" customHeight="1">
      <c r="G80" s="34"/>
      <c r="H80" s="34"/>
    </row>
    <row r="81" spans="2:14" s="21" customFormat="1" ht="12">
      <c r="G81" s="26"/>
      <c r="H81" s="26"/>
    </row>
    <row r="82" spans="2:14" s="21" customFormat="1" ht="12">
      <c r="G82" s="26"/>
      <c r="H82" s="26"/>
    </row>
    <row r="83" spans="2:14" s="21" customFormat="1" ht="12">
      <c r="G83" s="26"/>
      <c r="H83" s="26"/>
    </row>
    <row r="84" spans="2:14">
      <c r="B84" s="21"/>
      <c r="C84" s="21"/>
      <c r="D84" s="21"/>
      <c r="E84" s="21"/>
      <c r="F84" s="21"/>
      <c r="G84" s="26"/>
      <c r="H84" s="26"/>
      <c r="L84" s="21"/>
      <c r="M84" s="21"/>
      <c r="N84" s="21"/>
    </row>
    <row r="85" spans="2:14">
      <c r="B85" s="21"/>
      <c r="C85" s="21"/>
      <c r="D85" s="21"/>
      <c r="E85" s="21"/>
      <c r="F85" s="21"/>
      <c r="G85" s="34"/>
      <c r="H85" s="34"/>
    </row>
    <row r="86" spans="2:14">
      <c r="B86" s="21"/>
      <c r="C86" s="21"/>
      <c r="D86" s="21"/>
      <c r="E86" s="21"/>
      <c r="F86" s="21"/>
      <c r="G86" s="34"/>
      <c r="H86" s="34"/>
    </row>
    <row r="87" spans="2:14">
      <c r="B87" s="21"/>
      <c r="C87" s="21"/>
      <c r="D87" s="21"/>
      <c r="E87" s="21"/>
      <c r="F87" s="21"/>
      <c r="G87" s="26"/>
      <c r="H87" s="26"/>
    </row>
    <row r="88" spans="2:14">
      <c r="B88" s="21"/>
      <c r="C88" s="21"/>
      <c r="D88" s="21"/>
      <c r="E88" s="21"/>
      <c r="F88" s="21"/>
      <c r="G88" s="26"/>
      <c r="H88" s="26"/>
    </row>
    <row r="89" spans="2:14">
      <c r="B89" s="21"/>
      <c r="C89" s="21"/>
      <c r="D89" s="21"/>
      <c r="E89" s="21"/>
      <c r="F89" s="21"/>
      <c r="G89" s="21"/>
      <c r="H89" s="21"/>
    </row>
    <row r="90" spans="2:14">
      <c r="B90" s="21"/>
      <c r="C90" s="21"/>
      <c r="D90" s="21"/>
      <c r="E90" s="21"/>
      <c r="F90" s="21"/>
      <c r="G90" s="21"/>
      <c r="H90" s="21"/>
    </row>
    <row r="91" spans="2:14">
      <c r="B91" s="21"/>
      <c r="C91" s="21"/>
      <c r="D91" s="21"/>
      <c r="E91" s="21"/>
      <c r="F91" s="21"/>
      <c r="G91" s="21"/>
      <c r="H91" s="21"/>
    </row>
    <row r="92" spans="2:14">
      <c r="B92" s="21"/>
      <c r="C92" s="21"/>
      <c r="D92" s="21"/>
      <c r="E92" s="21"/>
      <c r="F92" s="21"/>
      <c r="G92" s="21"/>
      <c r="H92" s="21"/>
    </row>
    <row r="93" spans="2:14">
      <c r="B93" s="21"/>
      <c r="C93" s="21"/>
      <c r="D93" s="21"/>
      <c r="E93" s="21"/>
      <c r="F93" s="21"/>
      <c r="G93" s="21"/>
      <c r="H93" s="21"/>
    </row>
    <row r="94" spans="2:14">
      <c r="B94" s="21"/>
      <c r="C94" s="21"/>
      <c r="D94" s="21"/>
      <c r="E94" s="21"/>
      <c r="F94" s="21"/>
      <c r="G94" s="21"/>
      <c r="H94" s="21"/>
    </row>
    <row r="95" spans="2:14">
      <c r="B95" s="21"/>
      <c r="C95" s="21"/>
      <c r="D95" s="21"/>
      <c r="E95" s="21"/>
      <c r="F95" s="21"/>
      <c r="G95" s="21"/>
      <c r="H95" s="21"/>
    </row>
  </sheetData>
  <mergeCells count="12">
    <mergeCell ref="B11:C12"/>
    <mergeCell ref="B13:C14"/>
    <mergeCell ref="B23:C24"/>
    <mergeCell ref="B25:C26"/>
    <mergeCell ref="D3:J3"/>
    <mergeCell ref="B15:C16"/>
    <mergeCell ref="B17:C18"/>
    <mergeCell ref="B19:C20"/>
    <mergeCell ref="B21:C22"/>
    <mergeCell ref="B5:C6"/>
    <mergeCell ref="B7:C8"/>
    <mergeCell ref="B9:C10"/>
  </mergeCells>
  <phoneticPr fontId="8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/>
  </sheetViews>
  <sheetFormatPr defaultRowHeight="13.5"/>
  <cols>
    <col min="1" max="1" width="1.625" style="188" customWidth="1"/>
    <col min="2" max="2" width="2.875" style="188" customWidth="1"/>
    <col min="3" max="3" width="12.625" style="198" customWidth="1"/>
    <col min="4" max="4" width="6.875" style="198" bestFit="1" customWidth="1"/>
    <col min="5" max="5" width="7.875" style="198" bestFit="1" customWidth="1"/>
    <col min="6" max="6" width="7.125" style="188" bestFit="1" customWidth="1"/>
    <col min="7" max="7" width="6.375" style="188" bestFit="1" customWidth="1"/>
    <col min="8" max="8" width="4.625" style="188" customWidth="1"/>
    <col min="9" max="9" width="2.875" style="188" customWidth="1"/>
    <col min="10" max="10" width="12.625" style="188" customWidth="1"/>
    <col min="11" max="11" width="6.25" style="188" bestFit="1" customWidth="1"/>
    <col min="12" max="12" width="6.375" style="188" bestFit="1" customWidth="1"/>
    <col min="13" max="13" width="7.125" style="188" bestFit="1" customWidth="1"/>
    <col min="14" max="14" width="6.625" style="188" bestFit="1" customWidth="1"/>
    <col min="15" max="16" width="1.625" style="188" customWidth="1"/>
    <col min="17" max="16384" width="9" style="188"/>
  </cols>
  <sheetData>
    <row r="1" spans="1:14" ht="14.25">
      <c r="A1" s="187" t="s">
        <v>376</v>
      </c>
      <c r="B1" s="187"/>
      <c r="C1" s="187"/>
      <c r="D1" s="43"/>
      <c r="E1" s="43"/>
      <c r="F1" s="43"/>
      <c r="G1" s="43"/>
      <c r="J1" s="187"/>
      <c r="K1" s="43"/>
      <c r="L1" s="43"/>
      <c r="M1" s="43"/>
    </row>
    <row r="2" spans="1:14" ht="13.5" customHeight="1">
      <c r="A2" s="167"/>
      <c r="B2" s="189"/>
      <c r="C2" s="189"/>
      <c r="D2" s="190"/>
      <c r="E2" s="168"/>
      <c r="F2" s="190"/>
      <c r="G2" s="168"/>
      <c r="H2" s="168"/>
      <c r="K2" s="190"/>
      <c r="L2" s="168"/>
      <c r="M2" s="190"/>
      <c r="N2" s="168"/>
    </row>
    <row r="3" spans="1:14" ht="30.75" customHeight="1">
      <c r="A3" s="167"/>
      <c r="B3" s="673"/>
      <c r="C3" s="674"/>
      <c r="D3" s="671" t="s">
        <v>341</v>
      </c>
      <c r="E3" s="672"/>
      <c r="F3" s="671" t="s">
        <v>342</v>
      </c>
      <c r="G3" s="672"/>
      <c r="H3" s="191"/>
      <c r="I3" s="673"/>
      <c r="J3" s="674"/>
      <c r="K3" s="671" t="s">
        <v>341</v>
      </c>
      <c r="L3" s="672"/>
      <c r="M3" s="671" t="s">
        <v>342</v>
      </c>
      <c r="N3" s="672"/>
    </row>
    <row r="4" spans="1:14" ht="24">
      <c r="A4" s="167"/>
      <c r="B4" s="675"/>
      <c r="C4" s="676"/>
      <c r="D4" s="611" t="s">
        <v>343</v>
      </c>
      <c r="E4" s="611" t="s">
        <v>344</v>
      </c>
      <c r="F4" s="611" t="s">
        <v>345</v>
      </c>
      <c r="G4" s="611" t="s">
        <v>344</v>
      </c>
      <c r="H4" s="192"/>
      <c r="I4" s="675"/>
      <c r="J4" s="676"/>
      <c r="K4" s="611" t="s">
        <v>343</v>
      </c>
      <c r="L4" s="611" t="s">
        <v>344</v>
      </c>
      <c r="M4" s="611" t="s">
        <v>345</v>
      </c>
      <c r="N4" s="611" t="s">
        <v>344</v>
      </c>
    </row>
    <row r="5" spans="1:14">
      <c r="A5" s="167"/>
      <c r="B5" s="509" t="s">
        <v>4</v>
      </c>
      <c r="C5" s="509"/>
      <c r="D5" s="507">
        <v>22668</v>
      </c>
      <c r="E5" s="508">
        <v>100</v>
      </c>
      <c r="F5" s="507">
        <v>322147</v>
      </c>
      <c r="G5" s="508">
        <v>100</v>
      </c>
      <c r="H5" s="193"/>
      <c r="I5" s="504" t="s">
        <v>346</v>
      </c>
      <c r="J5" s="509"/>
      <c r="K5" s="507">
        <v>2105</v>
      </c>
      <c r="L5" s="508">
        <v>9.28621845773778</v>
      </c>
      <c r="M5" s="507">
        <v>19259</v>
      </c>
      <c r="N5" s="508">
        <v>5.9783266645351345</v>
      </c>
    </row>
    <row r="6" spans="1:14">
      <c r="A6" s="167"/>
      <c r="B6" s="504" t="s">
        <v>348</v>
      </c>
      <c r="C6" s="509"/>
      <c r="D6" s="507">
        <v>14031</v>
      </c>
      <c r="E6" s="508">
        <v>61.897829539438852</v>
      </c>
      <c r="F6" s="507">
        <v>228562</v>
      </c>
      <c r="G6" s="508">
        <v>70.949597543978371</v>
      </c>
      <c r="H6" s="193"/>
      <c r="I6" s="505"/>
      <c r="J6" s="509" t="s">
        <v>349</v>
      </c>
      <c r="K6" s="507">
        <v>437</v>
      </c>
      <c r="L6" s="508">
        <v>1.9278277748367743</v>
      </c>
      <c r="M6" s="507">
        <v>4012</v>
      </c>
      <c r="N6" s="508">
        <v>1.2453941834007456</v>
      </c>
    </row>
    <row r="7" spans="1:14">
      <c r="A7" s="167"/>
      <c r="B7" s="505"/>
      <c r="C7" s="509" t="s">
        <v>350</v>
      </c>
      <c r="D7" s="507">
        <v>2794</v>
      </c>
      <c r="E7" s="508">
        <v>12.325745544379743</v>
      </c>
      <c r="F7" s="507">
        <v>52679</v>
      </c>
      <c r="G7" s="508">
        <v>16.352472628955102</v>
      </c>
      <c r="H7" s="193"/>
      <c r="I7" s="510"/>
      <c r="J7" s="509" t="s">
        <v>351</v>
      </c>
      <c r="K7" s="507">
        <v>588</v>
      </c>
      <c r="L7" s="508">
        <v>2.5939650608787721</v>
      </c>
      <c r="M7" s="507">
        <v>6346</v>
      </c>
      <c r="N7" s="508">
        <v>1.9699081475227149</v>
      </c>
    </row>
    <row r="8" spans="1:14">
      <c r="A8" s="167"/>
      <c r="B8" s="510"/>
      <c r="C8" s="509" t="s">
        <v>352</v>
      </c>
      <c r="D8" s="507">
        <v>6099</v>
      </c>
      <c r="E8" s="508">
        <v>26.905770248808892</v>
      </c>
      <c r="F8" s="507">
        <v>104930</v>
      </c>
      <c r="G8" s="508">
        <v>32.572086656091784</v>
      </c>
      <c r="H8" s="193"/>
      <c r="I8" s="510"/>
      <c r="J8" s="509" t="s">
        <v>353</v>
      </c>
      <c r="K8" s="507">
        <v>579</v>
      </c>
      <c r="L8" s="508">
        <v>2.5542615140285863</v>
      </c>
      <c r="M8" s="507">
        <v>3627</v>
      </c>
      <c r="N8" s="508">
        <v>1.1258835252229573</v>
      </c>
    </row>
    <row r="9" spans="1:14">
      <c r="A9" s="167"/>
      <c r="B9" s="510"/>
      <c r="C9" s="509" t="s">
        <v>354</v>
      </c>
      <c r="D9" s="507">
        <v>644</v>
      </c>
      <c r="E9" s="508">
        <v>2.8410093523910356</v>
      </c>
      <c r="F9" s="507">
        <v>5931</v>
      </c>
      <c r="G9" s="508">
        <v>1.8410849705258778</v>
      </c>
      <c r="H9" s="193"/>
      <c r="I9" s="510"/>
      <c r="J9" s="509" t="s">
        <v>355</v>
      </c>
      <c r="K9" s="507">
        <v>501</v>
      </c>
      <c r="L9" s="508">
        <v>2.2101641079936476</v>
      </c>
      <c r="M9" s="507">
        <v>5274</v>
      </c>
      <c r="N9" s="508">
        <v>1.6371408083887169</v>
      </c>
    </row>
    <row r="10" spans="1:14">
      <c r="A10" s="167"/>
      <c r="B10" s="510"/>
      <c r="C10" s="509" t="s">
        <v>356</v>
      </c>
      <c r="D10" s="507">
        <v>1033</v>
      </c>
      <c r="E10" s="508">
        <v>4.5570848773601558</v>
      </c>
      <c r="F10" s="507">
        <v>14142</v>
      </c>
      <c r="G10" s="508">
        <v>4.3899213712994376</v>
      </c>
      <c r="H10" s="193"/>
      <c r="I10" s="504" t="s">
        <v>357</v>
      </c>
      <c r="J10" s="509"/>
      <c r="K10" s="507">
        <v>1525</v>
      </c>
      <c r="L10" s="508">
        <v>6.7275454385036166</v>
      </c>
      <c r="M10" s="507">
        <v>14293</v>
      </c>
      <c r="N10" s="508">
        <v>4.4367943826886487</v>
      </c>
    </row>
    <row r="11" spans="1:14">
      <c r="A11" s="167"/>
      <c r="B11" s="510"/>
      <c r="C11" s="509" t="s">
        <v>358</v>
      </c>
      <c r="D11" s="507">
        <v>2433</v>
      </c>
      <c r="E11" s="508">
        <v>10.733192165166756</v>
      </c>
      <c r="F11" s="507">
        <v>38822</v>
      </c>
      <c r="G11" s="508">
        <v>12.051020186436627</v>
      </c>
      <c r="H11" s="193"/>
      <c r="I11" s="505"/>
      <c r="J11" s="509" t="s">
        <v>359</v>
      </c>
      <c r="K11" s="507">
        <v>372</v>
      </c>
      <c r="L11" s="508">
        <v>1.6410799364743249</v>
      </c>
      <c r="M11" s="507">
        <v>4317</v>
      </c>
      <c r="N11" s="508">
        <v>1.3400714580610715</v>
      </c>
    </row>
    <row r="12" spans="1:14">
      <c r="A12" s="167"/>
      <c r="B12" s="511"/>
      <c r="C12" s="509" t="s">
        <v>360</v>
      </c>
      <c r="D12" s="507">
        <v>1028</v>
      </c>
      <c r="E12" s="508">
        <v>4.5350273513322747</v>
      </c>
      <c r="F12" s="507">
        <v>12058</v>
      </c>
      <c r="G12" s="508">
        <v>3.7430117306695392</v>
      </c>
      <c r="H12" s="193"/>
      <c r="I12" s="510"/>
      <c r="J12" s="509" t="s">
        <v>361</v>
      </c>
      <c r="K12" s="507">
        <v>297</v>
      </c>
      <c r="L12" s="508">
        <v>1.3102170460561142</v>
      </c>
      <c r="M12" s="507">
        <v>2124</v>
      </c>
      <c r="N12" s="508">
        <v>0.65932633238863003</v>
      </c>
    </row>
    <row r="13" spans="1:14">
      <c r="A13" s="167"/>
      <c r="B13" s="504" t="s">
        <v>362</v>
      </c>
      <c r="C13" s="509"/>
      <c r="D13" s="507">
        <v>3311</v>
      </c>
      <c r="E13" s="508">
        <v>14.606493735662607</v>
      </c>
      <c r="F13" s="507">
        <v>38396</v>
      </c>
      <c r="G13" s="508">
        <v>11.918782419206138</v>
      </c>
      <c r="H13" s="193"/>
      <c r="I13" s="510"/>
      <c r="J13" s="509" t="s">
        <v>363</v>
      </c>
      <c r="K13" s="507">
        <v>543</v>
      </c>
      <c r="L13" s="508">
        <v>2.3954473266278455</v>
      </c>
      <c r="M13" s="507">
        <v>5272</v>
      </c>
      <c r="N13" s="508">
        <v>1.6365199738007805</v>
      </c>
    </row>
    <row r="14" spans="1:14">
      <c r="A14" s="167"/>
      <c r="B14" s="505"/>
      <c r="C14" s="509" t="s">
        <v>364</v>
      </c>
      <c r="D14" s="507">
        <v>390</v>
      </c>
      <c r="E14" s="508">
        <v>1.7204870301746955</v>
      </c>
      <c r="F14" s="507">
        <v>2982</v>
      </c>
      <c r="G14" s="508">
        <v>0.92566437061341567</v>
      </c>
      <c r="H14" s="193"/>
      <c r="I14" s="510"/>
      <c r="J14" s="509" t="s">
        <v>365</v>
      </c>
      <c r="K14" s="507">
        <v>313</v>
      </c>
      <c r="L14" s="508">
        <v>1.3808011293453326</v>
      </c>
      <c r="M14" s="507">
        <v>2580</v>
      </c>
      <c r="N14" s="508">
        <v>0.80087661843816649</v>
      </c>
    </row>
    <row r="15" spans="1:14">
      <c r="A15" s="167"/>
      <c r="B15" s="510"/>
      <c r="C15" s="509" t="s">
        <v>366</v>
      </c>
      <c r="D15" s="507">
        <v>2071</v>
      </c>
      <c r="E15" s="508">
        <v>9.1362272807481908</v>
      </c>
      <c r="F15" s="507">
        <v>26726</v>
      </c>
      <c r="G15" s="508">
        <v>8.2962125985962931</v>
      </c>
      <c r="H15" s="193"/>
      <c r="I15" s="504" t="s">
        <v>367</v>
      </c>
      <c r="J15" s="509"/>
      <c r="K15" s="507">
        <v>1696</v>
      </c>
      <c r="L15" s="508">
        <v>7.4819128286571379</v>
      </c>
      <c r="M15" s="507">
        <v>21637</v>
      </c>
      <c r="N15" s="508">
        <v>6.7164989895917087</v>
      </c>
    </row>
    <row r="16" spans="1:14">
      <c r="A16" s="167"/>
      <c r="B16" s="510"/>
      <c r="C16" s="509" t="s">
        <v>368</v>
      </c>
      <c r="D16" s="507">
        <v>385</v>
      </c>
      <c r="E16" s="508">
        <v>1.6984295041468149</v>
      </c>
      <c r="F16" s="507">
        <v>4313</v>
      </c>
      <c r="G16" s="508">
        <v>1.3388297888851983</v>
      </c>
      <c r="H16" s="193"/>
      <c r="I16" s="505"/>
      <c r="J16" s="509" t="s">
        <v>369</v>
      </c>
      <c r="K16" s="507">
        <v>397</v>
      </c>
      <c r="L16" s="508">
        <v>1.7513675666137287</v>
      </c>
      <c r="M16" s="507">
        <v>5499</v>
      </c>
      <c r="N16" s="508">
        <v>1.7069846995315801</v>
      </c>
    </row>
    <row r="17" spans="1:14">
      <c r="A17" s="167"/>
      <c r="B17" s="510"/>
      <c r="C17" s="509" t="s">
        <v>370</v>
      </c>
      <c r="D17" s="507">
        <v>218</v>
      </c>
      <c r="E17" s="508">
        <v>0.96170813481559914</v>
      </c>
      <c r="F17" s="507">
        <v>1940</v>
      </c>
      <c r="G17" s="508">
        <v>0.60220955029846623</v>
      </c>
      <c r="H17" s="193"/>
      <c r="I17" s="510"/>
      <c r="J17" s="509" t="s">
        <v>371</v>
      </c>
      <c r="K17" s="507">
        <v>179</v>
      </c>
      <c r="L17" s="508">
        <v>0.78965943179812959</v>
      </c>
      <c r="M17" s="507">
        <v>2180</v>
      </c>
      <c r="N17" s="508">
        <v>0.6767097008508538</v>
      </c>
    </row>
    <row r="18" spans="1:14">
      <c r="A18" s="167"/>
      <c r="B18" s="511"/>
      <c r="C18" s="509" t="s">
        <v>372</v>
      </c>
      <c r="D18" s="507">
        <v>247</v>
      </c>
      <c r="E18" s="508">
        <v>1.0896417857773071</v>
      </c>
      <c r="F18" s="507">
        <v>2435</v>
      </c>
      <c r="G18" s="508">
        <v>0.75586611081276556</v>
      </c>
      <c r="H18" s="193"/>
      <c r="I18" s="510"/>
      <c r="J18" s="509" t="s">
        <v>373</v>
      </c>
      <c r="K18" s="507">
        <v>369</v>
      </c>
      <c r="L18" s="508">
        <v>1.6278454208575968</v>
      </c>
      <c r="M18" s="507">
        <v>3044</v>
      </c>
      <c r="N18" s="508">
        <v>0.94491024283944913</v>
      </c>
    </row>
    <row r="19" spans="1:14">
      <c r="A19" s="167"/>
      <c r="B19" s="196"/>
      <c r="C19" s="197"/>
      <c r="D19" s="188"/>
      <c r="E19" s="188"/>
      <c r="I19" s="510"/>
      <c r="J19" s="509" t="s">
        <v>374</v>
      </c>
      <c r="K19" s="507">
        <v>277</v>
      </c>
      <c r="L19" s="508">
        <v>1.2219869419445915</v>
      </c>
      <c r="M19" s="507">
        <v>2272</v>
      </c>
      <c r="N19" s="508">
        <v>0.70526809189593564</v>
      </c>
    </row>
    <row r="20" spans="1:14">
      <c r="A20" s="167"/>
      <c r="C20" s="197"/>
      <c r="D20" s="188"/>
      <c r="E20" s="188"/>
      <c r="I20" s="195"/>
      <c r="J20" s="509" t="s">
        <v>375</v>
      </c>
      <c r="K20" s="507">
        <v>474</v>
      </c>
      <c r="L20" s="508">
        <v>2.0910534674430914</v>
      </c>
      <c r="M20" s="507">
        <v>8642</v>
      </c>
      <c r="N20" s="508">
        <v>2.6826262544738895</v>
      </c>
    </row>
    <row r="21" spans="1:14">
      <c r="A21" s="167"/>
      <c r="C21" s="197"/>
      <c r="D21" s="188"/>
      <c r="E21" s="188"/>
    </row>
    <row r="22" spans="1:14">
      <c r="B22" s="49"/>
      <c r="C22" s="188"/>
      <c r="D22" s="188"/>
      <c r="E22" s="188"/>
    </row>
    <row r="23" spans="1:14">
      <c r="C23" s="188"/>
      <c r="D23" s="188"/>
      <c r="E23" s="188"/>
    </row>
    <row r="24" spans="1:14">
      <c r="C24" s="188"/>
      <c r="D24" s="188"/>
      <c r="E24" s="188"/>
    </row>
  </sheetData>
  <mergeCells count="6">
    <mergeCell ref="M3:N3"/>
    <mergeCell ref="B3:C4"/>
    <mergeCell ref="D3:E3"/>
    <mergeCell ref="F3:G3"/>
    <mergeCell ref="I3:J4"/>
    <mergeCell ref="K3:L3"/>
  </mergeCells>
  <phoneticPr fontId="8"/>
  <pageMargins left="0.74803149606299213" right="0.31496062992125984" top="0.3543307086614173" bottom="0.3543307086614173" header="0.31496062992125984" footer="0.31496062992125984"/>
  <pageSetup paperSize="9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GridLines="0" zoomScaleNormal="100" workbookViewId="0"/>
  </sheetViews>
  <sheetFormatPr defaultRowHeight="13.5"/>
  <cols>
    <col min="1" max="1" width="1.625" style="199" customWidth="1"/>
    <col min="2" max="2" width="7.25" style="199" customWidth="1"/>
    <col min="3" max="3" width="7.625" style="199" customWidth="1"/>
    <col min="4" max="4" width="6.25" style="199" bestFit="1" customWidth="1"/>
    <col min="5" max="5" width="6.375" style="199" bestFit="1" customWidth="1"/>
    <col min="6" max="6" width="7.125" style="199" bestFit="1" customWidth="1"/>
    <col min="7" max="7" width="6.375" style="199" bestFit="1" customWidth="1"/>
    <col min="8" max="8" width="6.25" style="199" bestFit="1" customWidth="1"/>
    <col min="9" max="9" width="6.375" style="199" bestFit="1" customWidth="1"/>
    <col min="10" max="10" width="7.125" style="199" bestFit="1" customWidth="1"/>
    <col min="11" max="11" width="6.375" style="199" customWidth="1"/>
    <col min="12" max="12" width="6.25" style="199" bestFit="1" customWidth="1"/>
    <col min="13" max="13" width="6.375" style="199" customWidth="1"/>
    <col min="14" max="14" width="7.125" style="199" bestFit="1" customWidth="1"/>
    <col min="15" max="15" width="6.375" style="199" customWidth="1"/>
    <col min="16" max="17" width="1.625" style="199" customWidth="1"/>
    <col min="18" max="16384" width="9" style="199"/>
  </cols>
  <sheetData>
    <row r="1" spans="1:15" ht="14.25">
      <c r="A1" s="40" t="s">
        <v>377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ht="13.5" customHeight="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5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200"/>
      <c r="L3" s="183"/>
      <c r="M3" s="183"/>
      <c r="N3" s="183"/>
      <c r="O3" s="200" t="s">
        <v>378</v>
      </c>
    </row>
    <row r="4" spans="1:15">
      <c r="A4" s="201"/>
      <c r="B4" s="202"/>
      <c r="C4" s="203"/>
      <c r="D4" s="512" t="s">
        <v>379</v>
      </c>
      <c r="E4" s="513"/>
      <c r="F4" s="513"/>
      <c r="G4" s="513"/>
      <c r="H4" s="512" t="s">
        <v>380</v>
      </c>
      <c r="I4" s="513"/>
      <c r="J4" s="513"/>
      <c r="K4" s="513"/>
      <c r="L4" s="514" t="s">
        <v>381</v>
      </c>
      <c r="M4" s="515"/>
      <c r="N4" s="515"/>
      <c r="O4" s="515"/>
    </row>
    <row r="5" spans="1:15">
      <c r="A5" s="204"/>
      <c r="B5" s="205"/>
      <c r="C5" s="206"/>
      <c r="D5" s="516" t="s">
        <v>382</v>
      </c>
      <c r="E5" s="516"/>
      <c r="F5" s="516" t="s">
        <v>383</v>
      </c>
      <c r="G5" s="516"/>
      <c r="H5" s="516" t="s">
        <v>382</v>
      </c>
      <c r="I5" s="516"/>
      <c r="J5" s="516" t="s">
        <v>383</v>
      </c>
      <c r="K5" s="516"/>
      <c r="L5" s="517" t="s">
        <v>382</v>
      </c>
      <c r="M5" s="517"/>
      <c r="N5" s="517" t="s">
        <v>383</v>
      </c>
      <c r="O5" s="517"/>
    </row>
    <row r="6" spans="1:15">
      <c r="A6" s="204"/>
      <c r="B6" s="207"/>
      <c r="C6" s="208"/>
      <c r="D6" s="518" t="s">
        <v>86</v>
      </c>
      <c r="E6" s="518" t="s">
        <v>219</v>
      </c>
      <c r="F6" s="518" t="s">
        <v>86</v>
      </c>
      <c r="G6" s="518" t="s">
        <v>219</v>
      </c>
      <c r="H6" s="518" t="s">
        <v>86</v>
      </c>
      <c r="I6" s="518" t="s">
        <v>219</v>
      </c>
      <c r="J6" s="518" t="s">
        <v>86</v>
      </c>
      <c r="K6" s="518" t="s">
        <v>219</v>
      </c>
      <c r="L6" s="519" t="s">
        <v>86</v>
      </c>
      <c r="M6" s="519" t="s">
        <v>219</v>
      </c>
      <c r="N6" s="519" t="s">
        <v>86</v>
      </c>
      <c r="O6" s="519" t="s">
        <v>219</v>
      </c>
    </row>
    <row r="7" spans="1:15">
      <c r="A7" s="201"/>
      <c r="B7" s="528" t="s">
        <v>384</v>
      </c>
      <c r="C7" s="528"/>
      <c r="D7" s="520">
        <v>23843</v>
      </c>
      <c r="E7" s="521">
        <v>100</v>
      </c>
      <c r="F7" s="520">
        <v>319038</v>
      </c>
      <c r="G7" s="521">
        <v>99.999999999999986</v>
      </c>
      <c r="H7" s="520">
        <v>23765</v>
      </c>
      <c r="I7" s="521">
        <v>100</v>
      </c>
      <c r="J7" s="520">
        <v>312068</v>
      </c>
      <c r="K7" s="521">
        <v>100</v>
      </c>
      <c r="L7" s="522">
        <v>22668</v>
      </c>
      <c r="M7" s="523">
        <v>100</v>
      </c>
      <c r="N7" s="522">
        <v>322147</v>
      </c>
      <c r="O7" s="523">
        <v>100</v>
      </c>
    </row>
    <row r="8" spans="1:15">
      <c r="A8" s="201"/>
      <c r="B8" s="534" t="s">
        <v>385</v>
      </c>
      <c r="C8" s="533"/>
      <c r="D8" s="520">
        <v>10808</v>
      </c>
      <c r="E8" s="521">
        <v>45.329866208111397</v>
      </c>
      <c r="F8" s="520">
        <v>27336</v>
      </c>
      <c r="G8" s="521">
        <v>8.5682583265943251</v>
      </c>
      <c r="H8" s="520">
        <v>10826</v>
      </c>
      <c r="I8" s="521">
        <v>45.554386703134867</v>
      </c>
      <c r="J8" s="520">
        <v>26899</v>
      </c>
      <c r="K8" s="521">
        <v>8.6195957291359573</v>
      </c>
      <c r="L8" s="522">
        <v>10121</v>
      </c>
      <c r="M8" s="523">
        <v>44.648844185636136</v>
      </c>
      <c r="N8" s="522">
        <v>25335</v>
      </c>
      <c r="O8" s="523">
        <v>7.8644221426864132</v>
      </c>
    </row>
    <row r="9" spans="1:15">
      <c r="A9" s="201"/>
      <c r="B9" s="535"/>
      <c r="C9" s="529" t="s">
        <v>386</v>
      </c>
      <c r="D9" s="520">
        <v>5461</v>
      </c>
      <c r="E9" s="521">
        <v>22.903996980245775</v>
      </c>
      <c r="F9" s="520">
        <v>8881</v>
      </c>
      <c r="G9" s="521">
        <v>2.7836809408283654</v>
      </c>
      <c r="H9" s="520">
        <v>5737</v>
      </c>
      <c r="I9" s="521">
        <v>24.140542815064169</v>
      </c>
      <c r="J9" s="520">
        <v>9328</v>
      </c>
      <c r="K9" s="521">
        <v>2.9890921209479986</v>
      </c>
      <c r="L9" s="522">
        <v>5267</v>
      </c>
      <c r="M9" s="523">
        <v>23.235397917769543</v>
      </c>
      <c r="N9" s="522">
        <v>8522</v>
      </c>
      <c r="O9" s="523">
        <v>2.6453761791976955</v>
      </c>
    </row>
    <row r="10" spans="1:15">
      <c r="A10" s="201"/>
      <c r="B10" s="536"/>
      <c r="C10" s="529" t="s">
        <v>387</v>
      </c>
      <c r="D10" s="520">
        <v>5347</v>
      </c>
      <c r="E10" s="521">
        <v>22.425869227865622</v>
      </c>
      <c r="F10" s="520">
        <v>18455</v>
      </c>
      <c r="G10" s="521">
        <v>5.7845773857659593</v>
      </c>
      <c r="H10" s="520">
        <v>5089</v>
      </c>
      <c r="I10" s="521">
        <v>21.413843888070691</v>
      </c>
      <c r="J10" s="520">
        <v>17571</v>
      </c>
      <c r="K10" s="521">
        <v>5.6305036081879587</v>
      </c>
      <c r="L10" s="522">
        <v>4854</v>
      </c>
      <c r="M10" s="523">
        <v>21.413446267866597</v>
      </c>
      <c r="N10" s="522">
        <v>16813</v>
      </c>
      <c r="O10" s="523">
        <v>5.2190459634887176</v>
      </c>
    </row>
    <row r="11" spans="1:15">
      <c r="A11" s="201"/>
      <c r="B11" s="532" t="s">
        <v>388</v>
      </c>
      <c r="C11" s="533"/>
      <c r="D11" s="520">
        <v>5978</v>
      </c>
      <c r="E11" s="521">
        <v>25.072348278320682</v>
      </c>
      <c r="F11" s="520">
        <v>39247</v>
      </c>
      <c r="G11" s="521">
        <v>12.301669393614553</v>
      </c>
      <c r="H11" s="520">
        <v>5868</v>
      </c>
      <c r="I11" s="521">
        <v>24.691773616663159</v>
      </c>
      <c r="J11" s="520">
        <v>38601</v>
      </c>
      <c r="K11" s="521">
        <v>12.369419485496751</v>
      </c>
      <c r="L11" s="522">
        <v>5514</v>
      </c>
      <c r="M11" s="523">
        <v>24.32503970354685</v>
      </c>
      <c r="N11" s="522">
        <v>36304</v>
      </c>
      <c r="O11" s="523">
        <v>11.269389440224494</v>
      </c>
    </row>
    <row r="12" spans="1:15">
      <c r="A12" s="201"/>
      <c r="B12" s="532" t="s">
        <v>389</v>
      </c>
      <c r="C12" s="533"/>
      <c r="D12" s="520">
        <v>3642</v>
      </c>
      <c r="E12" s="521">
        <v>15.274923457618589</v>
      </c>
      <c r="F12" s="520">
        <v>48619</v>
      </c>
      <c r="G12" s="521">
        <v>15.239250496806022</v>
      </c>
      <c r="H12" s="520">
        <v>3621</v>
      </c>
      <c r="I12" s="521">
        <v>15.236692615190407</v>
      </c>
      <c r="J12" s="520">
        <v>48606</v>
      </c>
      <c r="K12" s="521">
        <v>15.575451504159348</v>
      </c>
      <c r="L12" s="522">
        <v>3490</v>
      </c>
      <c r="M12" s="523">
        <v>15.396153167460739</v>
      </c>
      <c r="N12" s="522">
        <v>46873</v>
      </c>
      <c r="O12" s="523">
        <v>14.550189820175261</v>
      </c>
    </row>
    <row r="13" spans="1:15">
      <c r="A13" s="201"/>
      <c r="B13" s="532" t="s">
        <v>390</v>
      </c>
      <c r="C13" s="533"/>
      <c r="D13" s="520">
        <v>1297</v>
      </c>
      <c r="E13" s="521">
        <v>5.4397517090970098</v>
      </c>
      <c r="F13" s="520">
        <v>30768</v>
      </c>
      <c r="G13" s="521">
        <v>9.6439922517066936</v>
      </c>
      <c r="H13" s="520">
        <v>1351</v>
      </c>
      <c r="I13" s="521">
        <v>5.6848306332842418</v>
      </c>
      <c r="J13" s="520">
        <v>32073</v>
      </c>
      <c r="K13" s="521">
        <v>10.277567709601755</v>
      </c>
      <c r="L13" s="522">
        <v>1369</v>
      </c>
      <c r="M13" s="523">
        <v>6.0393506264337393</v>
      </c>
      <c r="N13" s="522">
        <v>32508</v>
      </c>
      <c r="O13" s="523">
        <v>10.091045392320897</v>
      </c>
    </row>
    <row r="14" spans="1:15">
      <c r="A14" s="201"/>
      <c r="B14" s="532" t="s">
        <v>391</v>
      </c>
      <c r="C14" s="533"/>
      <c r="D14" s="520">
        <v>1014</v>
      </c>
      <c r="E14" s="521">
        <v>4.252820534328734</v>
      </c>
      <c r="F14" s="520">
        <v>38220</v>
      </c>
      <c r="G14" s="521">
        <v>11.979764166024109</v>
      </c>
      <c r="H14" s="520">
        <v>999</v>
      </c>
      <c r="I14" s="521">
        <v>4.2036608457816111</v>
      </c>
      <c r="J14" s="520">
        <v>37663</v>
      </c>
      <c r="K14" s="521">
        <v>12.068843969903996</v>
      </c>
      <c r="L14" s="522">
        <v>1045</v>
      </c>
      <c r="M14" s="523">
        <v>4.6100229398270685</v>
      </c>
      <c r="N14" s="522">
        <v>39462</v>
      </c>
      <c r="O14" s="523">
        <v>12.249687254576328</v>
      </c>
    </row>
    <row r="15" spans="1:15">
      <c r="A15" s="201"/>
      <c r="B15" s="532" t="s">
        <v>392</v>
      </c>
      <c r="C15" s="533"/>
      <c r="D15" s="520">
        <v>623</v>
      </c>
      <c r="E15" s="521">
        <v>2.6129262257266284</v>
      </c>
      <c r="F15" s="520">
        <v>42188</v>
      </c>
      <c r="G15" s="521">
        <v>13.223503156363819</v>
      </c>
      <c r="H15" s="520">
        <v>620</v>
      </c>
      <c r="I15" s="521">
        <v>2.6088786029875868</v>
      </c>
      <c r="J15" s="520">
        <v>42388</v>
      </c>
      <c r="K15" s="521">
        <v>13.582937052180935</v>
      </c>
      <c r="L15" s="522">
        <v>633</v>
      </c>
      <c r="M15" s="523">
        <v>2.7924827951296982</v>
      </c>
      <c r="N15" s="522">
        <v>43164</v>
      </c>
      <c r="O15" s="523">
        <v>13.398852076846907</v>
      </c>
    </row>
    <row r="16" spans="1:15">
      <c r="A16" s="201"/>
      <c r="B16" s="532" t="s">
        <v>393</v>
      </c>
      <c r="C16" s="533"/>
      <c r="D16" s="520">
        <v>381</v>
      </c>
      <c r="E16" s="521">
        <v>1.5979532776915657</v>
      </c>
      <c r="F16" s="520">
        <v>92660</v>
      </c>
      <c r="G16" s="521">
        <v>29.043562208890478</v>
      </c>
      <c r="H16" s="520">
        <v>363</v>
      </c>
      <c r="I16" s="521">
        <v>1.5274563433620871</v>
      </c>
      <c r="J16" s="520">
        <v>85838</v>
      </c>
      <c r="K16" s="521">
        <v>27.506184549521258</v>
      </c>
      <c r="L16" s="522">
        <v>392</v>
      </c>
      <c r="M16" s="523">
        <v>1.7293100405858477</v>
      </c>
      <c r="N16" s="522">
        <v>98501</v>
      </c>
      <c r="O16" s="523">
        <v>30.576413873169699</v>
      </c>
    </row>
    <row r="17" spans="1:15">
      <c r="A17" s="201"/>
      <c r="B17" s="531" t="s">
        <v>394</v>
      </c>
      <c r="C17" s="530"/>
      <c r="D17" s="524">
        <v>100</v>
      </c>
      <c r="E17" s="525" t="s">
        <v>395</v>
      </c>
      <c r="F17" s="524" t="s">
        <v>395</v>
      </c>
      <c r="G17" s="525" t="s">
        <v>395</v>
      </c>
      <c r="H17" s="524">
        <v>117</v>
      </c>
      <c r="I17" s="525">
        <v>0.49232063959604461</v>
      </c>
      <c r="J17" s="524" t="s">
        <v>395</v>
      </c>
      <c r="K17" s="525" t="s">
        <v>395</v>
      </c>
      <c r="L17" s="526">
        <v>104</v>
      </c>
      <c r="M17" s="523">
        <v>0.45879654137991877</v>
      </c>
      <c r="N17" s="526" t="s">
        <v>395</v>
      </c>
      <c r="O17" s="527" t="s">
        <v>395</v>
      </c>
    </row>
    <row r="18" spans="1:15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</row>
    <row r="19" spans="1:15">
      <c r="A19" s="183"/>
      <c r="B19" s="167"/>
      <c r="C19" s="65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</row>
    <row r="20" spans="1:15">
      <c r="A20" s="183"/>
      <c r="B20" s="167"/>
      <c r="C20" s="65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</row>
    <row r="21" spans="1:15">
      <c r="A21" s="183"/>
      <c r="B21" s="209"/>
      <c r="C21" s="183"/>
      <c r="D21" s="209"/>
      <c r="E21" s="209"/>
      <c r="F21" s="209"/>
      <c r="G21" s="209"/>
      <c r="H21" s="209"/>
      <c r="I21" s="209"/>
      <c r="J21" s="209"/>
      <c r="K21" s="209"/>
      <c r="L21" s="183"/>
      <c r="M21" s="183"/>
      <c r="N21" s="183"/>
    </row>
    <row r="22" spans="1:15">
      <c r="A22" s="183"/>
      <c r="B22" s="49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</row>
  </sheetData>
  <phoneticPr fontId="8"/>
  <pageMargins left="0.74803149606299213" right="0" top="0.35433070866141736" bottom="0.35433070866141736" header="0.31496062992125984" footer="0.31496062992125984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showGridLines="0" zoomScaleNormal="100" workbookViewId="0"/>
  </sheetViews>
  <sheetFormatPr defaultRowHeight="13.5"/>
  <cols>
    <col min="1" max="1" width="1.625" style="211" customWidth="1"/>
    <col min="2" max="2" width="6.75" style="211" bestFit="1" customWidth="1"/>
    <col min="3" max="3" width="8.875" style="211" bestFit="1" customWidth="1"/>
    <col min="4" max="7" width="9.625" style="211" customWidth="1"/>
    <col min="8" max="9" width="10.625" style="211" customWidth="1"/>
    <col min="10" max="11" width="1.625" style="211" customWidth="1"/>
    <col min="12" max="12" width="7.625" style="211" customWidth="1"/>
    <col min="13" max="14" width="10.125" style="211" customWidth="1"/>
    <col min="15" max="15" width="6.375" style="211" customWidth="1"/>
    <col min="16" max="16384" width="9" style="211"/>
  </cols>
  <sheetData>
    <row r="1" spans="1:9" s="210" customFormat="1">
      <c r="A1" s="210" t="s">
        <v>419</v>
      </c>
    </row>
    <row r="2" spans="1:9" s="210" customFormat="1" ht="13.5" customHeight="1"/>
    <row r="3" spans="1:9" ht="13.5" customHeight="1">
      <c r="B3" s="211" t="s">
        <v>146</v>
      </c>
      <c r="I3" s="212" t="s">
        <v>396</v>
      </c>
    </row>
    <row r="4" spans="1:9" ht="15" customHeight="1">
      <c r="A4" s="213"/>
      <c r="B4" s="214"/>
      <c r="C4" s="215"/>
      <c r="D4" s="677" t="s">
        <v>399</v>
      </c>
      <c r="E4" s="677"/>
      <c r="F4" s="677" t="s">
        <v>103</v>
      </c>
      <c r="G4" s="677" t="s">
        <v>400</v>
      </c>
      <c r="H4" s="677"/>
      <c r="I4" s="678" t="s">
        <v>401</v>
      </c>
    </row>
    <row r="5" spans="1:9">
      <c r="A5" s="213"/>
      <c r="B5" s="216"/>
      <c r="C5" s="217"/>
      <c r="D5" s="677"/>
      <c r="E5" s="677"/>
      <c r="F5" s="677"/>
      <c r="G5" s="677"/>
      <c r="H5" s="677"/>
      <c r="I5" s="678"/>
    </row>
    <row r="6" spans="1:9">
      <c r="B6" s="680" t="s">
        <v>4</v>
      </c>
      <c r="C6" s="612" t="s">
        <v>86</v>
      </c>
      <c r="D6" s="538">
        <v>28620</v>
      </c>
      <c r="E6" s="539" t="s">
        <v>404</v>
      </c>
      <c r="F6" s="538">
        <v>28709</v>
      </c>
      <c r="G6" s="538">
        <v>26687</v>
      </c>
      <c r="H6" s="540">
        <v>19811</v>
      </c>
      <c r="I6" s="335">
        <v>-7.043087533526073</v>
      </c>
    </row>
    <row r="7" spans="1:9">
      <c r="B7" s="680"/>
      <c r="C7" s="612" t="s">
        <v>405</v>
      </c>
      <c r="D7" s="541">
        <v>2.8</v>
      </c>
      <c r="E7" s="542">
        <v>2.6</v>
      </c>
      <c r="F7" s="541">
        <v>2.801203261646962</v>
      </c>
      <c r="G7" s="541">
        <v>2.694986902244493</v>
      </c>
      <c r="H7" s="542">
        <v>2.4484504229265229</v>
      </c>
      <c r="I7" s="543"/>
    </row>
    <row r="8" spans="1:9" ht="17.25" customHeight="1">
      <c r="B8" s="679" t="s">
        <v>406</v>
      </c>
      <c r="C8" s="612" t="s">
        <v>86</v>
      </c>
      <c r="D8" s="538">
        <v>74103</v>
      </c>
      <c r="E8" s="539" t="s">
        <v>407</v>
      </c>
      <c r="F8" s="538">
        <v>76609</v>
      </c>
      <c r="G8" s="538">
        <v>72988</v>
      </c>
      <c r="H8" s="540">
        <v>53679</v>
      </c>
      <c r="I8" s="335">
        <v>-4.7265987025023168</v>
      </c>
    </row>
    <row r="9" spans="1:9" ht="13.5" customHeight="1">
      <c r="B9" s="679"/>
      <c r="C9" s="612" t="s">
        <v>405</v>
      </c>
      <c r="D9" s="541">
        <v>7.2</v>
      </c>
      <c r="E9" s="542">
        <v>6.4</v>
      </c>
      <c r="F9" s="541">
        <v>7.4749166000735698</v>
      </c>
      <c r="G9" s="541">
        <v>7.3706937468063494</v>
      </c>
      <c r="H9" s="542">
        <v>6.6342118142583821</v>
      </c>
      <c r="I9" s="543"/>
    </row>
    <row r="10" spans="1:9" ht="13.5" customHeight="1">
      <c r="B10" s="679" t="s">
        <v>408</v>
      </c>
      <c r="C10" s="612" t="s">
        <v>86</v>
      </c>
      <c r="D10" s="538">
        <v>18834</v>
      </c>
      <c r="E10" s="539" t="s">
        <v>409</v>
      </c>
      <c r="F10" s="538">
        <v>18884</v>
      </c>
      <c r="G10" s="538">
        <v>18028</v>
      </c>
      <c r="H10" s="540">
        <v>13855</v>
      </c>
      <c r="I10" s="335">
        <v>-4.5329379368777802</v>
      </c>
    </row>
    <row r="11" spans="1:9">
      <c r="B11" s="679"/>
      <c r="C11" s="612" t="s">
        <v>405</v>
      </c>
      <c r="D11" s="541">
        <v>1.8225963627425461</v>
      </c>
      <c r="E11" s="542">
        <v>1.7033653440836314</v>
      </c>
      <c r="F11" s="541">
        <v>1.8425553796001681</v>
      </c>
      <c r="G11" s="541">
        <v>1.8205577200008884</v>
      </c>
      <c r="H11" s="542">
        <v>1.7123456973220419</v>
      </c>
      <c r="I11" s="543"/>
    </row>
    <row r="12" spans="1:9" ht="13.5" customHeight="1">
      <c r="B12" s="680" t="s">
        <v>410</v>
      </c>
      <c r="C12" s="612" t="s">
        <v>86</v>
      </c>
      <c r="D12" s="538">
        <v>20129</v>
      </c>
      <c r="E12" s="539" t="s">
        <v>411</v>
      </c>
      <c r="F12" s="538">
        <v>20557</v>
      </c>
      <c r="G12" s="538">
        <v>19725</v>
      </c>
      <c r="H12" s="540">
        <v>15193</v>
      </c>
      <c r="I12" s="335">
        <v>-4.0472831638857807</v>
      </c>
    </row>
    <row r="13" spans="1:9">
      <c r="B13" s="680"/>
      <c r="C13" s="612" t="s">
        <v>405</v>
      </c>
      <c r="D13" s="541">
        <v>1.9479155880665129</v>
      </c>
      <c r="E13" s="542">
        <v>1.7444964757517927</v>
      </c>
      <c r="F13" s="541">
        <v>2.0057938433827927</v>
      </c>
      <c r="G13" s="541">
        <v>1.9919292781793614</v>
      </c>
      <c r="H13" s="542">
        <v>1.8777097206361448</v>
      </c>
      <c r="I13" s="543"/>
    </row>
    <row r="14" spans="1:9" ht="14.25" customHeight="1">
      <c r="B14" s="680" t="s">
        <v>412</v>
      </c>
      <c r="C14" s="612" t="s">
        <v>86</v>
      </c>
      <c r="D14" s="538">
        <v>12096</v>
      </c>
      <c r="E14" s="539" t="s">
        <v>413</v>
      </c>
      <c r="F14" s="538">
        <v>13015</v>
      </c>
      <c r="G14" s="538">
        <v>12577</v>
      </c>
      <c r="H14" s="540">
        <v>9330</v>
      </c>
      <c r="I14" s="335">
        <v>-3.3653476757587395</v>
      </c>
    </row>
    <row r="15" spans="1:9">
      <c r="B15" s="680"/>
      <c r="C15" s="612" t="s">
        <v>405</v>
      </c>
      <c r="D15" s="541">
        <v>1.2</v>
      </c>
      <c r="E15" s="542">
        <v>1</v>
      </c>
      <c r="F15" s="541">
        <v>1.2699035302635135</v>
      </c>
      <c r="G15" s="541">
        <v>1.2700884426698014</v>
      </c>
      <c r="H15" s="542">
        <v>1.1530989069660522</v>
      </c>
      <c r="I15" s="543"/>
    </row>
    <row r="16" spans="1:9" ht="14.25" customHeight="1">
      <c r="B16" s="612" t="s">
        <v>414</v>
      </c>
      <c r="C16" s="612" t="s">
        <v>86</v>
      </c>
      <c r="D16" s="538">
        <v>1033361</v>
      </c>
      <c r="E16" s="539" t="s">
        <v>415</v>
      </c>
      <c r="F16" s="538">
        <v>1024881</v>
      </c>
      <c r="G16" s="538">
        <v>990246</v>
      </c>
      <c r="H16" s="540">
        <v>809124</v>
      </c>
      <c r="I16" s="335">
        <v>-3.3794167322840405</v>
      </c>
    </row>
    <row r="18" spans="1:9" ht="13.5" customHeight="1">
      <c r="B18" s="211" t="s">
        <v>147</v>
      </c>
      <c r="I18" s="212" t="s">
        <v>416</v>
      </c>
    </row>
    <row r="19" spans="1:9" ht="15" customHeight="1">
      <c r="A19" s="213"/>
      <c r="B19" s="214"/>
      <c r="C19" s="215"/>
      <c r="D19" s="677" t="s">
        <v>399</v>
      </c>
      <c r="E19" s="677"/>
      <c r="F19" s="677" t="s">
        <v>103</v>
      </c>
      <c r="G19" s="677" t="s">
        <v>400</v>
      </c>
      <c r="H19" s="677"/>
      <c r="I19" s="678" t="s">
        <v>401</v>
      </c>
    </row>
    <row r="20" spans="1:9">
      <c r="A20" s="213"/>
      <c r="B20" s="216"/>
      <c r="C20" s="217"/>
      <c r="D20" s="677"/>
      <c r="E20" s="677"/>
      <c r="F20" s="677"/>
      <c r="G20" s="677"/>
      <c r="H20" s="677"/>
      <c r="I20" s="678"/>
    </row>
    <row r="21" spans="1:9">
      <c r="B21" s="680" t="s">
        <v>4</v>
      </c>
      <c r="C21" s="612" t="s">
        <v>86</v>
      </c>
      <c r="D21" s="538">
        <v>215879</v>
      </c>
      <c r="E21" s="539" t="s">
        <v>634</v>
      </c>
      <c r="F21" s="538">
        <v>234561</v>
      </c>
      <c r="G21" s="538">
        <v>223488</v>
      </c>
      <c r="H21" s="540">
        <v>163634</v>
      </c>
      <c r="I21" s="335">
        <v>-4.7207336257945691</v>
      </c>
    </row>
    <row r="22" spans="1:9">
      <c r="B22" s="680"/>
      <c r="C22" s="612" t="s">
        <v>405</v>
      </c>
      <c r="D22" s="541">
        <v>2.8</v>
      </c>
      <c r="E22" s="542">
        <v>2.6</v>
      </c>
      <c r="F22" s="541">
        <v>2.9240258887880115</v>
      </c>
      <c r="G22" s="541">
        <v>2.8506267889121881</v>
      </c>
      <c r="H22" s="542">
        <v>2.5746262257418251</v>
      </c>
      <c r="I22" s="543"/>
    </row>
    <row r="23" spans="1:9" ht="13.5" customHeight="1">
      <c r="B23" s="679" t="s">
        <v>406</v>
      </c>
      <c r="C23" s="612" t="s">
        <v>86</v>
      </c>
      <c r="D23" s="538">
        <v>677060</v>
      </c>
      <c r="E23" s="539" t="s">
        <v>635</v>
      </c>
      <c r="F23" s="538">
        <v>719982</v>
      </c>
      <c r="G23" s="538">
        <v>684141</v>
      </c>
      <c r="H23" s="540">
        <v>494274</v>
      </c>
      <c r="I23" s="335">
        <v>-4.9780411176946089</v>
      </c>
    </row>
    <row r="24" spans="1:9" ht="13.5" customHeight="1">
      <c r="B24" s="679"/>
      <c r="C24" s="612" t="s">
        <v>405</v>
      </c>
      <c r="D24" s="541">
        <v>8.6</v>
      </c>
      <c r="E24" s="542">
        <v>7.5</v>
      </c>
      <c r="F24" s="541">
        <v>8.9752601986748441</v>
      </c>
      <c r="G24" s="541">
        <v>8.726332787412181</v>
      </c>
      <c r="H24" s="542">
        <v>7.7769339080039286</v>
      </c>
      <c r="I24" s="543"/>
    </row>
    <row r="25" spans="1:9" ht="13.5" customHeight="1">
      <c r="B25" s="679" t="s">
        <v>408</v>
      </c>
      <c r="C25" s="612" t="s">
        <v>86</v>
      </c>
      <c r="D25" s="538">
        <v>161606</v>
      </c>
      <c r="E25" s="539" t="s">
        <v>636</v>
      </c>
      <c r="F25" s="538">
        <v>173225</v>
      </c>
      <c r="G25" s="538">
        <v>164218</v>
      </c>
      <c r="H25" s="540">
        <v>127481</v>
      </c>
      <c r="I25" s="335">
        <v>-5.1995959012844564</v>
      </c>
    </row>
    <row r="26" spans="1:9">
      <c r="B26" s="679"/>
      <c r="C26" s="612" t="s">
        <v>405</v>
      </c>
      <c r="D26" s="541">
        <v>2.0622342866389025</v>
      </c>
      <c r="E26" s="542">
        <v>2.0203078512732597</v>
      </c>
      <c r="F26" s="541">
        <v>2.1594143296852559</v>
      </c>
      <c r="G26" s="541">
        <v>2.0946280338164991</v>
      </c>
      <c r="H26" s="542">
        <v>2.0057929640771088</v>
      </c>
      <c r="I26" s="543"/>
    </row>
    <row r="27" spans="1:9" ht="13.5" customHeight="1">
      <c r="B27" s="680" t="s">
        <v>410</v>
      </c>
      <c r="C27" s="612" t="s">
        <v>86</v>
      </c>
      <c r="D27" s="538">
        <v>207234</v>
      </c>
      <c r="E27" s="539" t="s">
        <v>637</v>
      </c>
      <c r="F27" s="538">
        <v>213414</v>
      </c>
      <c r="G27" s="538">
        <v>208882</v>
      </c>
      <c r="H27" s="540">
        <v>163611</v>
      </c>
      <c r="I27" s="335">
        <v>-2.1235720243283009</v>
      </c>
    </row>
    <row r="28" spans="1:9">
      <c r="B28" s="680"/>
      <c r="C28" s="612" t="s">
        <v>405</v>
      </c>
      <c r="D28" s="541">
        <v>2.644487581880167</v>
      </c>
      <c r="E28" s="542">
        <v>2.4176495134389131</v>
      </c>
      <c r="F28" s="541">
        <v>2.6604084269328863</v>
      </c>
      <c r="G28" s="541">
        <v>2.6643248179837653</v>
      </c>
      <c r="H28" s="542">
        <v>2.5742643424951157</v>
      </c>
      <c r="I28" s="543"/>
    </row>
    <row r="29" spans="1:9" ht="14.25" customHeight="1">
      <c r="B29" s="680" t="s">
        <v>412</v>
      </c>
      <c r="C29" s="612" t="s">
        <v>86</v>
      </c>
      <c r="D29" s="538">
        <v>104676</v>
      </c>
      <c r="E29" s="539" t="s">
        <v>638</v>
      </c>
      <c r="F29" s="538">
        <v>115710</v>
      </c>
      <c r="G29" s="538">
        <v>108827</v>
      </c>
      <c r="H29" s="540">
        <v>81768</v>
      </c>
      <c r="I29" s="335">
        <v>-5.9484919194538071</v>
      </c>
    </row>
    <row r="30" spans="1:9">
      <c r="B30" s="680"/>
      <c r="C30" s="612" t="s">
        <v>405</v>
      </c>
      <c r="D30" s="541">
        <v>1.3</v>
      </c>
      <c r="E30" s="542">
        <v>1.2</v>
      </c>
      <c r="F30" s="541">
        <v>1.4424351686412524</v>
      </c>
      <c r="G30" s="541">
        <v>1.388106571972306</v>
      </c>
      <c r="H30" s="542">
        <v>1.2865421442148794</v>
      </c>
      <c r="I30" s="543"/>
    </row>
    <row r="31" spans="1:9" ht="14.25" customHeight="1">
      <c r="B31" s="612" t="s">
        <v>414</v>
      </c>
      <c r="C31" s="612" t="s">
        <v>86</v>
      </c>
      <c r="D31" s="538">
        <v>7836452</v>
      </c>
      <c r="E31" s="539" t="s">
        <v>639</v>
      </c>
      <c r="F31" s="538">
        <v>8021851</v>
      </c>
      <c r="G31" s="538">
        <v>7839960</v>
      </c>
      <c r="H31" s="540">
        <v>6355641</v>
      </c>
      <c r="I31" s="335">
        <v>-2.2674442594358832</v>
      </c>
    </row>
    <row r="33" spans="1:15" ht="13.5" customHeight="1"/>
    <row r="34" spans="1:15" ht="15" customHeight="1">
      <c r="A34" s="213"/>
      <c r="B34" s="211" t="s">
        <v>108</v>
      </c>
    </row>
    <row r="35" spans="1:15">
      <c r="A35" s="213"/>
      <c r="B35" s="211" t="s">
        <v>252</v>
      </c>
    </row>
    <row r="36" spans="1:15">
      <c r="J36" s="218"/>
      <c r="K36" s="218"/>
      <c r="L36" s="218"/>
      <c r="M36" s="218"/>
      <c r="N36" s="218"/>
    </row>
    <row r="37" spans="1:15" ht="17.25" customHeight="1">
      <c r="O37" s="218"/>
    </row>
    <row r="39" spans="1:15">
      <c r="B39" s="219"/>
    </row>
    <row r="40" spans="1:15">
      <c r="B40" s="219"/>
    </row>
    <row r="41" spans="1:15">
      <c r="B41" s="220"/>
    </row>
    <row r="43" spans="1:15" s="218" customFormat="1">
      <c r="A43" s="211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</row>
  </sheetData>
  <mergeCells count="18">
    <mergeCell ref="B29:B30"/>
    <mergeCell ref="B23:B24"/>
    <mergeCell ref="B25:B26"/>
    <mergeCell ref="B27:B28"/>
    <mergeCell ref="B21:B22"/>
    <mergeCell ref="B8:B9"/>
    <mergeCell ref="B10:B11"/>
    <mergeCell ref="B12:B13"/>
    <mergeCell ref="B6:B7"/>
    <mergeCell ref="B14:B15"/>
    <mergeCell ref="D4:E5"/>
    <mergeCell ref="F4:F5"/>
    <mergeCell ref="G4:H5"/>
    <mergeCell ref="I4:I5"/>
    <mergeCell ref="I19:I20"/>
    <mergeCell ref="D19:E20"/>
    <mergeCell ref="F19:F20"/>
    <mergeCell ref="G19:H20"/>
  </mergeCells>
  <phoneticPr fontId="8"/>
  <pageMargins left="0.74803149606299213" right="0" top="0.3543307086614173" bottom="0.354330708661417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showGridLines="0" topLeftCell="A19" zoomScaleNormal="100" workbookViewId="0"/>
  </sheetViews>
  <sheetFormatPr defaultRowHeight="13.5"/>
  <cols>
    <col min="1" max="1" width="1.625" style="211" customWidth="1"/>
    <col min="2" max="2" width="13.625" style="211" customWidth="1"/>
    <col min="3" max="3" width="9" style="211"/>
    <col min="4" max="7" width="11.375" style="211" bestFit="1" customWidth="1"/>
    <col min="8" max="8" width="9.75" style="211" customWidth="1"/>
    <col min="9" max="10" width="9" style="211"/>
    <col min="11" max="13" width="10.125" style="211" bestFit="1" customWidth="1"/>
    <col min="14" max="14" width="7.625" style="211" customWidth="1"/>
    <col min="15" max="16" width="10.125" style="211" customWidth="1"/>
    <col min="17" max="17" width="6.375" style="211" customWidth="1"/>
    <col min="18" max="16384" width="9" style="211"/>
  </cols>
  <sheetData>
    <row r="1" spans="1:8" s="210" customFormat="1">
      <c r="A1" s="210" t="s">
        <v>419</v>
      </c>
      <c r="B1" s="211"/>
      <c r="C1" s="211"/>
      <c r="D1" s="211"/>
      <c r="E1" s="211"/>
      <c r="F1" s="211"/>
      <c r="G1" s="211"/>
      <c r="H1" s="211"/>
    </row>
    <row r="2" spans="1:8" s="210" customFormat="1" ht="13.5" customHeight="1">
      <c r="B2" s="211"/>
      <c r="C2" s="211"/>
      <c r="D2" s="211"/>
      <c r="E2" s="211"/>
      <c r="F2" s="211"/>
      <c r="G2" s="211"/>
      <c r="H2" s="211"/>
    </row>
    <row r="3" spans="1:8" ht="13.5" customHeight="1">
      <c r="B3" s="211" t="s">
        <v>397</v>
      </c>
      <c r="F3" s="212"/>
      <c r="G3" s="212"/>
      <c r="H3" s="212" t="s">
        <v>398</v>
      </c>
    </row>
    <row r="4" spans="1:8" ht="15" customHeight="1">
      <c r="A4" s="213"/>
      <c r="B4" s="214"/>
      <c r="C4" s="215"/>
      <c r="D4" s="677" t="s">
        <v>402</v>
      </c>
      <c r="E4" s="677" t="s">
        <v>403</v>
      </c>
      <c r="F4" s="677" t="s">
        <v>275</v>
      </c>
      <c r="G4" s="677" t="s">
        <v>452</v>
      </c>
      <c r="H4" s="678" t="s">
        <v>631</v>
      </c>
    </row>
    <row r="5" spans="1:8">
      <c r="A5" s="213"/>
      <c r="B5" s="216"/>
      <c r="C5" s="217"/>
      <c r="D5" s="677"/>
      <c r="E5" s="677"/>
      <c r="F5" s="677"/>
      <c r="G5" s="677"/>
      <c r="H5" s="678"/>
    </row>
    <row r="6" spans="1:8">
      <c r="B6" s="680" t="s">
        <v>4</v>
      </c>
      <c r="C6" s="537" t="s">
        <v>86</v>
      </c>
      <c r="D6" s="538">
        <v>4547883</v>
      </c>
      <c r="E6" s="538">
        <v>3707196</v>
      </c>
      <c r="F6" s="538">
        <v>3942310</v>
      </c>
      <c r="G6" s="538">
        <v>4578156</v>
      </c>
      <c r="H6" s="335">
        <v>16.128767144136305</v>
      </c>
    </row>
    <row r="7" spans="1:8">
      <c r="B7" s="680"/>
      <c r="C7" s="537" t="s">
        <v>405</v>
      </c>
      <c r="D7" s="541">
        <v>3.4</v>
      </c>
      <c r="E7" s="541">
        <v>3.4</v>
      </c>
      <c r="F7" s="541">
        <v>3.2267275129530608</v>
      </c>
      <c r="G7" s="541">
        <v>3.3171288392266205</v>
      </c>
      <c r="H7" s="543"/>
    </row>
    <row r="8" spans="1:8" ht="17.25" customHeight="1">
      <c r="B8" s="679" t="s">
        <v>530</v>
      </c>
      <c r="C8" s="537" t="s">
        <v>86</v>
      </c>
      <c r="D8" s="538">
        <v>13323804</v>
      </c>
      <c r="E8" s="538">
        <v>11250258</v>
      </c>
      <c r="F8" s="538">
        <v>12430247</v>
      </c>
      <c r="G8" s="538">
        <v>15076670</v>
      </c>
      <c r="H8" s="335">
        <v>21.290188360697901</v>
      </c>
    </row>
    <row r="9" spans="1:8" ht="13.5" customHeight="1">
      <c r="B9" s="679"/>
      <c r="C9" s="537" t="s">
        <v>405</v>
      </c>
      <c r="D9" s="541">
        <v>9.9</v>
      </c>
      <c r="E9" s="541">
        <v>10.199999999999999</v>
      </c>
      <c r="F9" s="541">
        <v>11.563077485942989</v>
      </c>
      <c r="G9" s="541">
        <v>10.923886572782319</v>
      </c>
      <c r="H9" s="543"/>
    </row>
    <row r="10" spans="1:8" ht="13.5" customHeight="1">
      <c r="B10" s="679" t="s">
        <v>408</v>
      </c>
      <c r="C10" s="537" t="s">
        <v>86</v>
      </c>
      <c r="D10" s="538">
        <v>3191700</v>
      </c>
      <c r="E10" s="538">
        <v>2702163</v>
      </c>
      <c r="F10" s="538">
        <v>2956541</v>
      </c>
      <c r="G10" s="538">
        <v>3475606</v>
      </c>
      <c r="H10" s="335">
        <v>17.556495918710414</v>
      </c>
    </row>
    <row r="11" spans="1:8">
      <c r="B11" s="679"/>
      <c r="C11" s="537" t="s">
        <v>405</v>
      </c>
      <c r="D11" s="541">
        <v>2.4</v>
      </c>
      <c r="E11" s="541">
        <v>2.4456207353610351</v>
      </c>
      <c r="F11" s="541">
        <v>2.3423078489266906</v>
      </c>
      <c r="G11" s="541">
        <v>2.5182699970007745</v>
      </c>
      <c r="H11" s="543"/>
    </row>
    <row r="12" spans="1:8" ht="13.5" customHeight="1">
      <c r="B12" s="680" t="s">
        <v>410</v>
      </c>
      <c r="C12" s="537" t="s">
        <v>86</v>
      </c>
      <c r="D12" s="538">
        <v>3719410</v>
      </c>
      <c r="E12" s="538">
        <v>3166720</v>
      </c>
      <c r="F12" s="538">
        <v>3475557</v>
      </c>
      <c r="G12" s="538">
        <v>4011894</v>
      </c>
      <c r="H12" s="335">
        <v>15.431684763046613</v>
      </c>
    </row>
    <row r="13" spans="1:8">
      <c r="B13" s="680"/>
      <c r="C13" s="537" t="s">
        <v>405</v>
      </c>
      <c r="D13" s="541">
        <v>2.8</v>
      </c>
      <c r="E13" s="541">
        <v>2.8660728812741851</v>
      </c>
      <c r="F13" s="541">
        <v>3.5051846638311299</v>
      </c>
      <c r="G13" s="541">
        <v>2.9068405024468897</v>
      </c>
      <c r="H13" s="543"/>
    </row>
    <row r="14" spans="1:8" ht="14.25" customHeight="1">
      <c r="B14" s="680" t="s">
        <v>412</v>
      </c>
      <c r="C14" s="537" t="s">
        <v>86</v>
      </c>
      <c r="D14" s="538">
        <v>1907189</v>
      </c>
      <c r="E14" s="538">
        <v>1564163</v>
      </c>
      <c r="F14" s="538">
        <v>1750357</v>
      </c>
      <c r="G14" s="538">
        <v>2139938</v>
      </c>
      <c r="H14" s="335">
        <v>22.257230953456926</v>
      </c>
    </row>
    <row r="15" spans="1:8">
      <c r="B15" s="680"/>
      <c r="C15" s="537" t="s">
        <v>405</v>
      </c>
      <c r="D15" s="541">
        <v>1.4</v>
      </c>
      <c r="E15" s="541">
        <v>1.4</v>
      </c>
      <c r="F15" s="541">
        <v>1.4057520422551995</v>
      </c>
      <c r="G15" s="541">
        <v>1.5505041885765656</v>
      </c>
      <c r="H15" s="543"/>
    </row>
    <row r="16" spans="1:8" ht="14.25" customHeight="1">
      <c r="B16" s="537" t="s">
        <v>632</v>
      </c>
      <c r="C16" s="537" t="s">
        <v>86</v>
      </c>
      <c r="D16" s="538">
        <v>134705448</v>
      </c>
      <c r="E16" s="538">
        <v>110489863</v>
      </c>
      <c r="F16" s="538">
        <v>122176725</v>
      </c>
      <c r="G16" s="538">
        <v>138015622</v>
      </c>
      <c r="H16" s="335">
        <v>12.963923365927513</v>
      </c>
    </row>
    <row r="18" spans="1:8" ht="13.5" customHeight="1">
      <c r="B18" s="211" t="s">
        <v>417</v>
      </c>
      <c r="F18" s="212"/>
      <c r="G18" s="212"/>
      <c r="H18" s="212" t="s">
        <v>398</v>
      </c>
    </row>
    <row r="19" spans="1:8" ht="15" customHeight="1">
      <c r="A19" s="213"/>
      <c r="B19" s="214"/>
      <c r="C19" s="215"/>
      <c r="D19" s="677" t="s">
        <v>402</v>
      </c>
      <c r="E19" s="677" t="s">
        <v>399</v>
      </c>
      <c r="F19" s="677" t="s">
        <v>205</v>
      </c>
      <c r="G19" s="677" t="s">
        <v>104</v>
      </c>
      <c r="H19" s="678" t="s">
        <v>633</v>
      </c>
    </row>
    <row r="20" spans="1:8">
      <c r="A20" s="213"/>
      <c r="B20" s="216"/>
      <c r="C20" s="217"/>
      <c r="D20" s="677"/>
      <c r="E20" s="677"/>
      <c r="F20" s="677"/>
      <c r="G20" s="677"/>
      <c r="H20" s="678"/>
    </row>
    <row r="21" spans="1:8">
      <c r="B21" s="680" t="s">
        <v>4</v>
      </c>
      <c r="C21" s="537" t="s">
        <v>86</v>
      </c>
      <c r="D21" s="538">
        <v>2971872</v>
      </c>
      <c r="E21" s="538">
        <v>2675573</v>
      </c>
      <c r="F21" s="538">
        <v>2572914</v>
      </c>
      <c r="G21" s="538">
        <v>2682655</v>
      </c>
      <c r="H21" s="335">
        <v>4.265241667618894</v>
      </c>
    </row>
    <row r="22" spans="1:8">
      <c r="B22" s="680"/>
      <c r="C22" s="537" t="s">
        <v>405</v>
      </c>
      <c r="D22" s="541">
        <v>2</v>
      </c>
      <c r="E22" s="541">
        <v>2</v>
      </c>
      <c r="F22" s="541">
        <v>1.9412395465813248</v>
      </c>
      <c r="G22" s="541">
        <v>1.9437328623566976</v>
      </c>
      <c r="H22" s="543"/>
    </row>
    <row r="23" spans="1:8" ht="13.5" customHeight="1">
      <c r="B23" s="679" t="s">
        <v>530</v>
      </c>
      <c r="C23" s="537" t="s">
        <v>86</v>
      </c>
      <c r="D23" s="538">
        <v>7873613</v>
      </c>
      <c r="E23" s="538">
        <v>6583993</v>
      </c>
      <c r="F23" s="538">
        <v>6382852</v>
      </c>
      <c r="G23" s="538">
        <v>6952379</v>
      </c>
      <c r="H23" s="335">
        <v>8.9227668133304672</v>
      </c>
    </row>
    <row r="24" spans="1:8" ht="13.5" customHeight="1">
      <c r="B24" s="679"/>
      <c r="C24" s="537" t="s">
        <v>405</v>
      </c>
      <c r="D24" s="541">
        <v>5.3</v>
      </c>
      <c r="E24" s="541">
        <v>5</v>
      </c>
      <c r="F24" s="541">
        <v>5.5541107653266319</v>
      </c>
      <c r="G24" s="541">
        <v>5.0373855504560199</v>
      </c>
      <c r="H24" s="543"/>
    </row>
    <row r="25" spans="1:8" ht="13.5" customHeight="1">
      <c r="B25" s="679" t="s">
        <v>408</v>
      </c>
      <c r="C25" s="537" t="s">
        <v>86</v>
      </c>
      <c r="D25" s="538">
        <v>2819770</v>
      </c>
      <c r="E25" s="538">
        <v>2497074</v>
      </c>
      <c r="F25" s="538">
        <v>2446228</v>
      </c>
      <c r="G25" s="538">
        <v>2755296</v>
      </c>
      <c r="H25" s="335">
        <v>12.634472338637281</v>
      </c>
    </row>
    <row r="26" spans="1:8">
      <c r="B26" s="679"/>
      <c r="C26" s="537" t="s">
        <v>405</v>
      </c>
      <c r="D26" s="541">
        <v>1.9</v>
      </c>
      <c r="E26" s="541">
        <v>1.878661871438454</v>
      </c>
      <c r="F26" s="541">
        <v>1.6994973461122411</v>
      </c>
      <c r="G26" s="541">
        <v>1.9963653100081671</v>
      </c>
      <c r="H26" s="543"/>
    </row>
    <row r="27" spans="1:8" ht="13.5" customHeight="1">
      <c r="B27" s="680" t="s">
        <v>410</v>
      </c>
      <c r="C27" s="537" t="s">
        <v>86</v>
      </c>
      <c r="D27" s="538">
        <v>2881304</v>
      </c>
      <c r="E27" s="538">
        <v>2675519</v>
      </c>
      <c r="F27" s="538">
        <v>2585562</v>
      </c>
      <c r="G27" s="538">
        <v>2846212</v>
      </c>
      <c r="H27" s="335">
        <v>10.080980459954162</v>
      </c>
    </row>
    <row r="28" spans="1:8">
      <c r="B28" s="680"/>
      <c r="C28" s="537" t="s">
        <v>405</v>
      </c>
      <c r="D28" s="541">
        <v>1.9</v>
      </c>
      <c r="E28" s="541">
        <v>2.0129141273382931</v>
      </c>
      <c r="F28" s="541">
        <v>2.3311497079833536</v>
      </c>
      <c r="G28" s="541">
        <v>2.0622390123344152</v>
      </c>
      <c r="H28" s="543"/>
    </row>
    <row r="29" spans="1:8" ht="14.25" customHeight="1">
      <c r="B29" s="680" t="s">
        <v>412</v>
      </c>
      <c r="C29" s="537" t="s">
        <v>86</v>
      </c>
      <c r="D29" s="538">
        <v>1734589</v>
      </c>
      <c r="E29" s="538">
        <v>1503241</v>
      </c>
      <c r="F29" s="538">
        <v>1484741</v>
      </c>
      <c r="G29" s="538">
        <v>1538056</v>
      </c>
      <c r="H29" s="335">
        <v>3.5908619752535968</v>
      </c>
    </row>
    <row r="30" spans="1:8">
      <c r="B30" s="680"/>
      <c r="C30" s="537" t="s">
        <v>405</v>
      </c>
      <c r="D30" s="541">
        <v>1.2</v>
      </c>
      <c r="E30" s="541">
        <v>1.1000000000000001</v>
      </c>
      <c r="F30" s="541">
        <v>1.0415999820614552</v>
      </c>
      <c r="G30" s="541">
        <v>1.1144071792104808</v>
      </c>
      <c r="H30" s="543"/>
    </row>
    <row r="31" spans="1:8" ht="14.25" customHeight="1">
      <c r="B31" s="537" t="s">
        <v>632</v>
      </c>
      <c r="C31" s="537" t="s">
        <v>86</v>
      </c>
      <c r="D31" s="538">
        <v>149664906</v>
      </c>
      <c r="E31" s="538">
        <v>132917692</v>
      </c>
      <c r="F31" s="538">
        <v>134854063</v>
      </c>
      <c r="G31" s="538">
        <v>135343693</v>
      </c>
      <c r="H31" s="335">
        <v>0.36308138524532257</v>
      </c>
    </row>
    <row r="33" spans="1:17" ht="13.5" customHeight="1"/>
    <row r="34" spans="1:17" ht="15" customHeight="1">
      <c r="A34" s="213"/>
      <c r="B34" s="211" t="s">
        <v>418</v>
      </c>
    </row>
    <row r="35" spans="1:17">
      <c r="A35" s="213"/>
      <c r="B35" s="211" t="s">
        <v>418</v>
      </c>
    </row>
    <row r="36" spans="1:17">
      <c r="C36" s="218"/>
      <c r="D36" s="218"/>
      <c r="E36" s="218"/>
      <c r="F36" s="218"/>
      <c r="G36" s="218"/>
      <c r="H36" s="218"/>
      <c r="K36" s="218"/>
      <c r="L36" s="218"/>
      <c r="M36" s="218"/>
      <c r="N36" s="218"/>
      <c r="O36" s="218"/>
      <c r="P36" s="218"/>
    </row>
    <row r="37" spans="1:17" ht="17.25" customHeight="1">
      <c r="Q37" s="218"/>
    </row>
    <row r="43" spans="1:17" s="218" customFormat="1">
      <c r="A43" s="211"/>
      <c r="B43" s="211"/>
      <c r="C43" s="211"/>
      <c r="D43" s="211"/>
      <c r="E43" s="211"/>
      <c r="F43" s="211"/>
      <c r="G43" s="211"/>
      <c r="H43" s="211"/>
      <c r="K43" s="211"/>
      <c r="L43" s="211"/>
      <c r="M43" s="211"/>
      <c r="N43" s="211"/>
      <c r="O43" s="211"/>
      <c r="P43" s="211"/>
      <c r="Q43" s="211"/>
    </row>
  </sheetData>
  <mergeCells count="20">
    <mergeCell ref="E4:E5"/>
    <mergeCell ref="F4:F5"/>
    <mergeCell ref="G4:G5"/>
    <mergeCell ref="H4:H5"/>
    <mergeCell ref="B6:B7"/>
    <mergeCell ref="D4:D5"/>
    <mergeCell ref="E19:E20"/>
    <mergeCell ref="F19:F20"/>
    <mergeCell ref="G19:G20"/>
    <mergeCell ref="H19:H20"/>
    <mergeCell ref="B8:B9"/>
    <mergeCell ref="B10:B11"/>
    <mergeCell ref="B12:B13"/>
    <mergeCell ref="B14:B15"/>
    <mergeCell ref="B29:B30"/>
    <mergeCell ref="B23:B24"/>
    <mergeCell ref="B25:B26"/>
    <mergeCell ref="B27:B28"/>
    <mergeCell ref="D19:D20"/>
    <mergeCell ref="B21:B22"/>
  </mergeCells>
  <phoneticPr fontId="8"/>
  <pageMargins left="0.74803149606299213" right="0" top="0.3543307086614173" bottom="0.354330708661417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zoomScaleNormal="100" workbookViewId="0"/>
  </sheetViews>
  <sheetFormatPr defaultRowHeight="12"/>
  <cols>
    <col min="1" max="1" width="1.625" style="21" customWidth="1"/>
    <col min="2" max="2" width="2.5" style="21" customWidth="1"/>
    <col min="3" max="3" width="14.625" style="21" customWidth="1"/>
    <col min="4" max="4" width="6.25" style="21" bestFit="1" customWidth="1"/>
    <col min="5" max="5" width="6.875" style="21" bestFit="1" customWidth="1"/>
    <col min="6" max="6" width="7.125" style="21" bestFit="1" customWidth="1"/>
    <col min="7" max="7" width="6.375" style="21" bestFit="1" customWidth="1"/>
    <col min="8" max="8" width="8.375" style="21" bestFit="1" customWidth="1"/>
    <col min="9" max="9" width="6.375" style="21" bestFit="1" customWidth="1"/>
    <col min="10" max="10" width="8.375" style="21" bestFit="1" customWidth="1"/>
    <col min="11" max="11" width="6.375" style="21" bestFit="1" customWidth="1"/>
    <col min="12" max="16384" width="9" style="21"/>
  </cols>
  <sheetData>
    <row r="1" spans="1:14" s="42" customFormat="1" ht="13.5" customHeight="1">
      <c r="A1" s="43" t="s">
        <v>432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.5" customHeight="1">
      <c r="A2" s="50"/>
      <c r="B2" s="221"/>
      <c r="C2" s="221"/>
      <c r="D2" s="222"/>
      <c r="E2" s="221"/>
      <c r="F2" s="222"/>
      <c r="G2" s="221"/>
      <c r="H2" s="222"/>
      <c r="I2" s="221"/>
      <c r="J2" s="222"/>
    </row>
    <row r="3" spans="1:14" ht="30" customHeight="1">
      <c r="A3" s="50"/>
      <c r="B3" s="223"/>
      <c r="C3" s="224"/>
      <c r="D3" s="681" t="s">
        <v>420</v>
      </c>
      <c r="E3" s="682"/>
      <c r="F3" s="681" t="s">
        <v>421</v>
      </c>
      <c r="G3" s="682"/>
      <c r="H3" s="683" t="s">
        <v>422</v>
      </c>
      <c r="I3" s="684"/>
      <c r="J3" s="683" t="s">
        <v>423</v>
      </c>
      <c r="K3" s="684"/>
    </row>
    <row r="4" spans="1:14" ht="24">
      <c r="A4" s="50"/>
      <c r="B4" s="225"/>
      <c r="C4" s="226"/>
      <c r="D4" s="544" t="s">
        <v>424</v>
      </c>
      <c r="E4" s="369" t="s">
        <v>425</v>
      </c>
      <c r="F4" s="544" t="s">
        <v>426</v>
      </c>
      <c r="G4" s="369" t="s">
        <v>425</v>
      </c>
      <c r="H4" s="544" t="s">
        <v>427</v>
      </c>
      <c r="I4" s="369" t="s">
        <v>425</v>
      </c>
      <c r="J4" s="544" t="s">
        <v>428</v>
      </c>
      <c r="K4" s="369" t="s">
        <v>425</v>
      </c>
    </row>
    <row r="5" spans="1:14" ht="15.95" customHeight="1">
      <c r="A5" s="50"/>
      <c r="B5" s="223" t="s">
        <v>4</v>
      </c>
      <c r="C5" s="547"/>
      <c r="D5" s="415">
        <v>26687</v>
      </c>
      <c r="E5" s="545">
        <v>100</v>
      </c>
      <c r="F5" s="415">
        <v>223488</v>
      </c>
      <c r="G5" s="545">
        <v>100</v>
      </c>
      <c r="H5" s="415">
        <v>4578156</v>
      </c>
      <c r="I5" s="545">
        <v>100</v>
      </c>
      <c r="J5" s="415">
        <v>2682655</v>
      </c>
      <c r="K5" s="545">
        <v>100</v>
      </c>
    </row>
    <row r="6" spans="1:14" ht="15.95" customHeight="1">
      <c r="A6" s="50"/>
      <c r="B6" s="223" t="s">
        <v>347</v>
      </c>
      <c r="C6" s="547"/>
      <c r="D6" s="415">
        <v>11353</v>
      </c>
      <c r="E6" s="545">
        <v>42.541312249409827</v>
      </c>
      <c r="F6" s="415">
        <v>106363</v>
      </c>
      <c r="G6" s="545">
        <v>47.592264461626577</v>
      </c>
      <c r="H6" s="415">
        <v>2834761</v>
      </c>
      <c r="I6" s="545">
        <v>61.919274922042845</v>
      </c>
      <c r="J6" s="415">
        <v>1381576</v>
      </c>
      <c r="K6" s="545">
        <v>51.500323373672721</v>
      </c>
    </row>
    <row r="7" spans="1:14" ht="15.95" customHeight="1">
      <c r="A7" s="50"/>
      <c r="B7" s="549"/>
      <c r="C7" s="551" t="s">
        <v>350</v>
      </c>
      <c r="D7" s="415">
        <v>3830</v>
      </c>
      <c r="E7" s="545">
        <v>14.3515569378349</v>
      </c>
      <c r="F7" s="415">
        <v>38553</v>
      </c>
      <c r="G7" s="545">
        <v>17.250590635738831</v>
      </c>
      <c r="H7" s="415">
        <v>1244732</v>
      </c>
      <c r="I7" s="545">
        <v>27.188501221889339</v>
      </c>
      <c r="J7" s="415">
        <v>533948</v>
      </c>
      <c r="K7" s="545">
        <v>19.903714790012135</v>
      </c>
    </row>
    <row r="8" spans="1:14" ht="15.95" customHeight="1">
      <c r="A8" s="50"/>
      <c r="B8" s="549"/>
      <c r="C8" s="551" t="s">
        <v>352</v>
      </c>
      <c r="D8" s="415">
        <v>3916</v>
      </c>
      <c r="E8" s="545">
        <v>14.673811218945554</v>
      </c>
      <c r="F8" s="415">
        <v>35536</v>
      </c>
      <c r="G8" s="545">
        <v>15.900630011454753</v>
      </c>
      <c r="H8" s="415">
        <v>927331</v>
      </c>
      <c r="I8" s="545">
        <v>20.255557040869729</v>
      </c>
      <c r="J8" s="415">
        <v>469295</v>
      </c>
      <c r="K8" s="545">
        <v>17.493676972998763</v>
      </c>
    </row>
    <row r="9" spans="1:14" ht="15.95" customHeight="1">
      <c r="A9" s="50"/>
      <c r="B9" s="549"/>
      <c r="C9" s="551" t="s">
        <v>354</v>
      </c>
      <c r="D9" s="415">
        <v>1043</v>
      </c>
      <c r="E9" s="545">
        <v>3.9082699441675723</v>
      </c>
      <c r="F9" s="415">
        <v>8554</v>
      </c>
      <c r="G9" s="545">
        <v>3.8274985681557849</v>
      </c>
      <c r="H9" s="415">
        <v>132954</v>
      </c>
      <c r="I9" s="545">
        <v>2.9040950111791735</v>
      </c>
      <c r="J9" s="415">
        <v>100895</v>
      </c>
      <c r="K9" s="545">
        <v>3.7610128771683278</v>
      </c>
    </row>
    <row r="10" spans="1:14" ht="15.95" customHeight="1">
      <c r="A10" s="50"/>
      <c r="B10" s="549"/>
      <c r="C10" s="551" t="s">
        <v>356</v>
      </c>
      <c r="D10" s="415">
        <v>587</v>
      </c>
      <c r="E10" s="545">
        <v>2.1995728257203884</v>
      </c>
      <c r="F10" s="415">
        <v>5656</v>
      </c>
      <c r="G10" s="545">
        <v>2.5307846506300113</v>
      </c>
      <c r="H10" s="415">
        <v>82809</v>
      </c>
      <c r="I10" s="545">
        <v>1.8087850217423782</v>
      </c>
      <c r="J10" s="415">
        <v>43228</v>
      </c>
      <c r="K10" s="545">
        <v>1.6113887175205159</v>
      </c>
    </row>
    <row r="11" spans="1:14" ht="15.95" customHeight="1">
      <c r="A11" s="50"/>
      <c r="B11" s="549"/>
      <c r="C11" s="551" t="s">
        <v>358</v>
      </c>
      <c r="D11" s="415">
        <v>1017</v>
      </c>
      <c r="E11" s="545">
        <v>3.8108442312736539</v>
      </c>
      <c r="F11" s="415">
        <v>9063</v>
      </c>
      <c r="G11" s="545">
        <v>4.055251288659794</v>
      </c>
      <c r="H11" s="415">
        <v>204629</v>
      </c>
      <c r="I11" s="545">
        <v>4.4696816796981143</v>
      </c>
      <c r="J11" s="415">
        <v>94614</v>
      </c>
      <c r="K11" s="545">
        <v>3.5268791551653118</v>
      </c>
    </row>
    <row r="12" spans="1:14" ht="15.95" customHeight="1">
      <c r="A12" s="50"/>
      <c r="B12" s="550"/>
      <c r="C12" s="551" t="s">
        <v>360</v>
      </c>
      <c r="D12" s="415">
        <v>960</v>
      </c>
      <c r="E12" s="545">
        <v>3.597257091467756</v>
      </c>
      <c r="F12" s="415">
        <v>9001</v>
      </c>
      <c r="G12" s="545">
        <v>4.0275093069874002</v>
      </c>
      <c r="H12" s="415">
        <v>242306</v>
      </c>
      <c r="I12" s="545">
        <v>5.2926549466641148</v>
      </c>
      <c r="J12" s="415">
        <v>139596</v>
      </c>
      <c r="K12" s="545">
        <v>5.2036508608076701</v>
      </c>
    </row>
    <row r="13" spans="1:14" ht="15.95" customHeight="1">
      <c r="A13" s="50"/>
      <c r="B13" s="223" t="s">
        <v>429</v>
      </c>
      <c r="C13" s="547"/>
      <c r="D13" s="415">
        <v>4244</v>
      </c>
      <c r="E13" s="545">
        <v>15.902874058530369</v>
      </c>
      <c r="F13" s="415">
        <v>37776</v>
      </c>
      <c r="G13" s="545">
        <v>16.902920962199314</v>
      </c>
      <c r="H13" s="415">
        <v>529892</v>
      </c>
      <c r="I13" s="545">
        <v>11.574354390719757</v>
      </c>
      <c r="J13" s="415">
        <v>361332</v>
      </c>
      <c r="K13" s="545">
        <v>13.469193765131932</v>
      </c>
    </row>
    <row r="14" spans="1:14" ht="15.95" customHeight="1">
      <c r="A14" s="50"/>
      <c r="B14" s="227"/>
      <c r="C14" s="551" t="s">
        <v>364</v>
      </c>
      <c r="D14" s="415">
        <v>827</v>
      </c>
      <c r="E14" s="545">
        <v>3.0988870985873271</v>
      </c>
      <c r="F14" s="415">
        <v>7762</v>
      </c>
      <c r="G14" s="545">
        <v>3.4731171248568158</v>
      </c>
      <c r="H14" s="415">
        <v>115371</v>
      </c>
      <c r="I14" s="545">
        <v>2.52003208278617</v>
      </c>
      <c r="J14" s="415">
        <v>85155</v>
      </c>
      <c r="K14" s="545">
        <v>3.1742807032585261</v>
      </c>
    </row>
    <row r="15" spans="1:14" ht="15.95" customHeight="1">
      <c r="A15" s="50"/>
      <c r="B15" s="227"/>
      <c r="C15" s="551" t="s">
        <v>366</v>
      </c>
      <c r="D15" s="415">
        <v>1294</v>
      </c>
      <c r="E15" s="545">
        <v>4.8488027878742459</v>
      </c>
      <c r="F15" s="415">
        <v>12838</v>
      </c>
      <c r="G15" s="545">
        <v>5.7443800114547532</v>
      </c>
      <c r="H15" s="415">
        <v>169199</v>
      </c>
      <c r="I15" s="545">
        <v>3.6957893090580578</v>
      </c>
      <c r="J15" s="415">
        <v>83442</v>
      </c>
      <c r="K15" s="545">
        <v>3.1104260518031577</v>
      </c>
    </row>
    <row r="16" spans="1:14" ht="15.95" customHeight="1">
      <c r="A16" s="50"/>
      <c r="B16" s="227"/>
      <c r="C16" s="551" t="s">
        <v>368</v>
      </c>
      <c r="D16" s="415">
        <v>767</v>
      </c>
      <c r="E16" s="545">
        <v>2.8740585303705926</v>
      </c>
      <c r="F16" s="415">
        <v>6662</v>
      </c>
      <c r="G16" s="545">
        <v>2.9809206758304696</v>
      </c>
      <c r="H16" s="415">
        <v>100290</v>
      </c>
      <c r="I16" s="545">
        <v>2.1906199788735901</v>
      </c>
      <c r="J16" s="415">
        <v>74909</v>
      </c>
      <c r="K16" s="545">
        <v>2.7923456426562492</v>
      </c>
    </row>
    <row r="17" spans="1:11" ht="15.95" customHeight="1">
      <c r="A17" s="50"/>
      <c r="B17" s="227"/>
      <c r="C17" s="551" t="s">
        <v>370</v>
      </c>
      <c r="D17" s="415">
        <v>671</v>
      </c>
      <c r="E17" s="545">
        <v>2.514332821223817</v>
      </c>
      <c r="F17" s="415">
        <v>4452</v>
      </c>
      <c r="G17" s="545">
        <v>1.9920532646048108</v>
      </c>
      <c r="H17" s="415">
        <v>52979</v>
      </c>
      <c r="I17" s="545">
        <v>1.1572126419457964</v>
      </c>
      <c r="J17" s="415">
        <v>37260</v>
      </c>
      <c r="K17" s="545">
        <v>1.3889225412883879</v>
      </c>
    </row>
    <row r="18" spans="1:11" ht="15.95" customHeight="1">
      <c r="A18" s="50"/>
      <c r="B18" s="228"/>
      <c r="C18" s="551" t="s">
        <v>372</v>
      </c>
      <c r="D18" s="415">
        <v>685</v>
      </c>
      <c r="E18" s="545">
        <v>2.5667928204743879</v>
      </c>
      <c r="F18" s="415">
        <v>6062</v>
      </c>
      <c r="G18" s="545">
        <v>2.7124498854524628</v>
      </c>
      <c r="H18" s="415">
        <v>92053</v>
      </c>
      <c r="I18" s="545">
        <v>2.0107003780561428</v>
      </c>
      <c r="J18" s="415">
        <v>80566</v>
      </c>
      <c r="K18" s="545">
        <v>3.0032188261256105</v>
      </c>
    </row>
    <row r="19" spans="1:11" ht="15.95" customHeight="1">
      <c r="A19" s="50"/>
      <c r="B19" s="223" t="s">
        <v>640</v>
      </c>
      <c r="C19" s="547"/>
      <c r="D19" s="415">
        <v>3951</v>
      </c>
      <c r="E19" s="545">
        <v>14.804961217071982</v>
      </c>
      <c r="F19" s="415">
        <v>25900</v>
      </c>
      <c r="G19" s="545">
        <v>11.588989117983964</v>
      </c>
      <c r="H19" s="415">
        <v>358213</v>
      </c>
      <c r="I19" s="545">
        <v>7.8243948000024464</v>
      </c>
      <c r="J19" s="415">
        <v>278640</v>
      </c>
      <c r="K19" s="545">
        <v>10.38672509137403</v>
      </c>
    </row>
    <row r="20" spans="1:11" ht="15.95" customHeight="1">
      <c r="A20" s="50"/>
      <c r="B20" s="227"/>
      <c r="C20" s="551" t="s">
        <v>349</v>
      </c>
      <c r="D20" s="415">
        <v>773</v>
      </c>
      <c r="E20" s="545">
        <v>2.8965413871922658</v>
      </c>
      <c r="F20" s="415">
        <v>6483</v>
      </c>
      <c r="G20" s="545">
        <v>2.9008268900343643</v>
      </c>
      <c r="H20" s="415">
        <v>87851</v>
      </c>
      <c r="I20" s="545">
        <v>1.9189166992125213</v>
      </c>
      <c r="J20" s="415">
        <v>75934</v>
      </c>
      <c r="K20" s="545">
        <v>2.8305540593181009</v>
      </c>
    </row>
    <row r="21" spans="1:11" ht="15.95" customHeight="1">
      <c r="A21" s="50"/>
      <c r="B21" s="227"/>
      <c r="C21" s="551" t="s">
        <v>351</v>
      </c>
      <c r="D21" s="415">
        <v>777</v>
      </c>
      <c r="E21" s="545">
        <v>2.9115299584067151</v>
      </c>
      <c r="F21" s="415">
        <v>4148</v>
      </c>
      <c r="G21" s="545">
        <v>1.8560280641466209</v>
      </c>
      <c r="H21" s="415">
        <v>54204</v>
      </c>
      <c r="I21" s="545">
        <v>1.1839701399428066</v>
      </c>
      <c r="J21" s="415">
        <v>35438</v>
      </c>
      <c r="K21" s="545">
        <v>1.3210047508904426</v>
      </c>
    </row>
    <row r="22" spans="1:11" ht="15.95" customHeight="1">
      <c r="A22" s="50"/>
      <c r="B22" s="227"/>
      <c r="C22" s="551" t="s">
        <v>353</v>
      </c>
      <c r="D22" s="415">
        <v>1243</v>
      </c>
      <c r="E22" s="545">
        <v>4.6576985048900212</v>
      </c>
      <c r="F22" s="415">
        <v>6123</v>
      </c>
      <c r="G22" s="545">
        <v>2.7397444158075599</v>
      </c>
      <c r="H22" s="415">
        <v>79527</v>
      </c>
      <c r="I22" s="545">
        <v>1.7370967699658988</v>
      </c>
      <c r="J22" s="415">
        <v>47052</v>
      </c>
      <c r="K22" s="545">
        <v>1.7539340690472682</v>
      </c>
    </row>
    <row r="23" spans="1:11" ht="15.95" customHeight="1">
      <c r="A23" s="50"/>
      <c r="B23" s="618"/>
      <c r="C23" s="551" t="s">
        <v>355</v>
      </c>
      <c r="D23" s="415">
        <v>1158</v>
      </c>
      <c r="E23" s="545">
        <v>4.3391913665829804</v>
      </c>
      <c r="F23" s="415">
        <v>9146</v>
      </c>
      <c r="G23" s="545">
        <v>4.0923897479954183</v>
      </c>
      <c r="H23" s="415">
        <v>136631</v>
      </c>
      <c r="I23" s="545">
        <v>2.9844111908812194</v>
      </c>
      <c r="J23" s="415">
        <v>120216</v>
      </c>
      <c r="K23" s="545">
        <v>4.4812322121182184</v>
      </c>
    </row>
    <row r="24" spans="1:11" ht="15.95" customHeight="1">
      <c r="A24" s="50"/>
      <c r="B24" s="549" t="s">
        <v>430</v>
      </c>
      <c r="C24" s="547"/>
      <c r="D24" s="415">
        <v>4198</v>
      </c>
      <c r="E24" s="545">
        <v>15.730505489564205</v>
      </c>
      <c r="F24" s="415">
        <v>31974</v>
      </c>
      <c r="G24" s="545">
        <v>14.306808419243985</v>
      </c>
      <c r="H24" s="415">
        <v>503822</v>
      </c>
      <c r="I24" s="545">
        <v>11.004911147632365</v>
      </c>
      <c r="J24" s="415">
        <v>405563</v>
      </c>
      <c r="K24" s="545">
        <v>15.117970816224972</v>
      </c>
    </row>
    <row r="25" spans="1:11" ht="15.95" customHeight="1">
      <c r="A25" s="50"/>
      <c r="B25" s="227"/>
      <c r="C25" s="551" t="s">
        <v>359</v>
      </c>
      <c r="D25" s="415">
        <v>1280</v>
      </c>
      <c r="E25" s="545">
        <v>4.7963427886236749</v>
      </c>
      <c r="F25" s="415">
        <v>12532</v>
      </c>
      <c r="G25" s="545">
        <v>5.6074599083619701</v>
      </c>
      <c r="H25" s="415">
        <v>236463</v>
      </c>
      <c r="I25" s="545">
        <v>5.1650271419322538</v>
      </c>
      <c r="J25" s="415">
        <v>218126</v>
      </c>
      <c r="K25" s="545">
        <v>8.1309747246664212</v>
      </c>
    </row>
    <row r="26" spans="1:11" ht="15.95" customHeight="1">
      <c r="A26" s="50"/>
      <c r="B26" s="227"/>
      <c r="C26" s="551" t="s">
        <v>361</v>
      </c>
      <c r="D26" s="415">
        <v>892</v>
      </c>
      <c r="E26" s="545">
        <v>3.3424513808221228</v>
      </c>
      <c r="F26" s="415">
        <v>6479</v>
      </c>
      <c r="G26" s="545">
        <v>2.8990370847651779</v>
      </c>
      <c r="H26" s="415">
        <v>85522</v>
      </c>
      <c r="I26" s="545">
        <v>1.8680446887349405</v>
      </c>
      <c r="J26" s="415">
        <v>52935</v>
      </c>
      <c r="K26" s="545">
        <v>1.9732317424342676</v>
      </c>
    </row>
    <row r="27" spans="1:11" ht="15.95" customHeight="1">
      <c r="A27" s="50"/>
      <c r="B27" s="227"/>
      <c r="C27" s="551" t="s">
        <v>363</v>
      </c>
      <c r="D27" s="415">
        <v>975</v>
      </c>
      <c r="E27" s="545">
        <v>3.6534642335219392</v>
      </c>
      <c r="F27" s="415">
        <v>5852</v>
      </c>
      <c r="G27" s="545">
        <v>2.6184851088201606</v>
      </c>
      <c r="H27" s="415">
        <v>86380</v>
      </c>
      <c r="I27" s="545">
        <v>1.8867858587606015</v>
      </c>
      <c r="J27" s="415">
        <v>48049</v>
      </c>
      <c r="K27" s="545">
        <v>1.7910987435954306</v>
      </c>
    </row>
    <row r="28" spans="1:11" ht="15.95" customHeight="1">
      <c r="A28" s="50"/>
      <c r="B28" s="618"/>
      <c r="C28" s="551" t="s">
        <v>365</v>
      </c>
      <c r="D28" s="415">
        <v>1051</v>
      </c>
      <c r="E28" s="545">
        <v>3.93824708659647</v>
      </c>
      <c r="F28" s="415">
        <v>7111</v>
      </c>
      <c r="G28" s="545">
        <v>3.1818263172966779</v>
      </c>
      <c r="H28" s="415">
        <v>95457</v>
      </c>
      <c r="I28" s="545">
        <v>2.0850534582045697</v>
      </c>
      <c r="J28" s="415">
        <v>86453</v>
      </c>
      <c r="K28" s="545">
        <v>3.2226656055288507</v>
      </c>
    </row>
    <row r="29" spans="1:11" ht="15.95" customHeight="1">
      <c r="A29" s="50"/>
      <c r="B29" s="227" t="s">
        <v>431</v>
      </c>
      <c r="C29" s="548"/>
      <c r="D29" s="415">
        <v>2941</v>
      </c>
      <c r="E29" s="545">
        <v>11.020346985423615</v>
      </c>
      <c r="F29" s="415">
        <v>21475</v>
      </c>
      <c r="G29" s="545">
        <v>9.6090170389461633</v>
      </c>
      <c r="H29" s="415">
        <v>351471</v>
      </c>
      <c r="I29" s="545">
        <v>7.6771302681691047</v>
      </c>
      <c r="J29" s="415">
        <v>255544</v>
      </c>
      <c r="K29" s="545">
        <v>9.5257869535963433</v>
      </c>
    </row>
    <row r="30" spans="1:11" ht="15.95" customHeight="1">
      <c r="A30" s="50"/>
      <c r="B30" s="227"/>
      <c r="C30" s="551" t="s">
        <v>369</v>
      </c>
      <c r="D30" s="415">
        <v>493</v>
      </c>
      <c r="E30" s="545">
        <v>1.8473414021808372</v>
      </c>
      <c r="F30" s="415">
        <v>4012</v>
      </c>
      <c r="G30" s="545">
        <v>1.7951746849942725</v>
      </c>
      <c r="H30" s="415">
        <v>68798</v>
      </c>
      <c r="I30" s="545">
        <v>1.5027447732231054</v>
      </c>
      <c r="J30" s="415">
        <v>45648</v>
      </c>
      <c r="K30" s="545">
        <v>1.7015978573465467</v>
      </c>
    </row>
    <row r="31" spans="1:11" ht="15.95" customHeight="1">
      <c r="A31" s="50"/>
      <c r="B31" s="227"/>
      <c r="C31" s="551" t="s">
        <v>371</v>
      </c>
      <c r="D31" s="415">
        <v>406</v>
      </c>
      <c r="E31" s="545">
        <v>1.5213399782665717</v>
      </c>
      <c r="F31" s="415">
        <v>3086</v>
      </c>
      <c r="G31" s="545">
        <v>1.3808347651775486</v>
      </c>
      <c r="H31" s="415">
        <v>57548</v>
      </c>
      <c r="I31" s="545">
        <v>1.2570126487607673</v>
      </c>
      <c r="J31" s="415">
        <v>27336</v>
      </c>
      <c r="K31" s="545">
        <v>1.0189905149935419</v>
      </c>
    </row>
    <row r="32" spans="1:11" ht="15.95" customHeight="1">
      <c r="A32" s="50"/>
      <c r="B32" s="227"/>
      <c r="C32" s="551" t="s">
        <v>373</v>
      </c>
      <c r="D32" s="415">
        <v>625</v>
      </c>
      <c r="E32" s="545">
        <v>2.3419642522576534</v>
      </c>
      <c r="F32" s="415">
        <v>4387</v>
      </c>
      <c r="G32" s="545">
        <v>1.9629689289805268</v>
      </c>
      <c r="H32" s="415">
        <v>66282</v>
      </c>
      <c r="I32" s="545">
        <v>1.4477881487655728</v>
      </c>
      <c r="J32" s="415">
        <v>36566</v>
      </c>
      <c r="K32" s="545">
        <v>1.3630526474705096</v>
      </c>
    </row>
    <row r="33" spans="1:11" ht="15.95" customHeight="1">
      <c r="A33" s="50"/>
      <c r="B33" s="227"/>
      <c r="C33" s="551" t="s">
        <v>374</v>
      </c>
      <c r="D33" s="415">
        <v>523</v>
      </c>
      <c r="E33" s="545">
        <v>1.9597556862892045</v>
      </c>
      <c r="F33" s="415">
        <v>3330</v>
      </c>
      <c r="G33" s="545">
        <v>1.4900128865979383</v>
      </c>
      <c r="H33" s="415">
        <v>48844</v>
      </c>
      <c r="I33" s="545">
        <v>1.066892434421195</v>
      </c>
      <c r="J33" s="415">
        <v>48845</v>
      </c>
      <c r="K33" s="545">
        <v>1.8207708408274639</v>
      </c>
    </row>
    <row r="34" spans="1:11" ht="15.95" customHeight="1">
      <c r="A34" s="50"/>
      <c r="B34" s="229"/>
      <c r="C34" s="551" t="s">
        <v>375</v>
      </c>
      <c r="D34" s="415">
        <v>894</v>
      </c>
      <c r="E34" s="545">
        <v>3.3499456664293477</v>
      </c>
      <c r="F34" s="415">
        <v>6660</v>
      </c>
      <c r="G34" s="545">
        <v>2.9800257731958766</v>
      </c>
      <c r="H34" s="415">
        <v>109999</v>
      </c>
      <c r="I34" s="545">
        <v>2.4026922629984648</v>
      </c>
      <c r="J34" s="415">
        <v>97149</v>
      </c>
      <c r="K34" s="545">
        <v>3.6213750929582824</v>
      </c>
    </row>
    <row r="35" spans="1:11" ht="15.95" customHeight="1">
      <c r="A35" s="50"/>
      <c r="B35" s="225" t="s">
        <v>625</v>
      </c>
      <c r="C35" s="226"/>
      <c r="D35" s="415">
        <v>63526</v>
      </c>
      <c r="E35" s="546">
        <v>42.009570884362304</v>
      </c>
      <c r="F35" s="415">
        <v>547165</v>
      </c>
      <c r="G35" s="546">
        <v>40.844717772518344</v>
      </c>
      <c r="H35" s="415">
        <v>9731155</v>
      </c>
      <c r="I35" s="546">
        <v>47.046378358992328</v>
      </c>
      <c r="J35" s="415">
        <v>7312781</v>
      </c>
      <c r="K35" s="546">
        <v>36.684470654871241</v>
      </c>
    </row>
    <row r="36" spans="1:11" ht="8.25" customHeight="1">
      <c r="B36" s="230"/>
      <c r="C36" s="230"/>
      <c r="D36" s="230"/>
      <c r="E36" s="230"/>
      <c r="F36" s="230"/>
      <c r="G36" s="230"/>
      <c r="H36" s="230"/>
      <c r="I36" s="230"/>
      <c r="J36" s="230"/>
      <c r="K36" s="230"/>
    </row>
    <row r="37" spans="1:11">
      <c r="D37" s="230"/>
      <c r="E37" s="230"/>
      <c r="F37" s="230"/>
      <c r="G37" s="230"/>
      <c r="H37" s="230"/>
      <c r="I37" s="230"/>
      <c r="J37" s="230"/>
      <c r="K37" s="230"/>
    </row>
    <row r="38" spans="1:11">
      <c r="C38" s="230"/>
      <c r="F38" s="25"/>
      <c r="G38" s="25"/>
      <c r="H38" s="25"/>
      <c r="I38" s="25"/>
      <c r="J38" s="25"/>
      <c r="K38" s="25"/>
    </row>
    <row r="39" spans="1:11" ht="13.5">
      <c r="B39" s="49"/>
      <c r="C39" s="8"/>
    </row>
    <row r="43" spans="1:11">
      <c r="C43" s="44"/>
    </row>
    <row r="44" spans="1:11">
      <c r="C44" s="44"/>
    </row>
  </sheetData>
  <mergeCells count="4">
    <mergeCell ref="D3:E3"/>
    <mergeCell ref="F3:G3"/>
    <mergeCell ref="H3:I3"/>
    <mergeCell ref="J3:K3"/>
  </mergeCells>
  <phoneticPr fontId="8"/>
  <pageMargins left="0.74803149606299213" right="0" top="0.3543307086614173" bottom="0.354330708661417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/>
  </sheetViews>
  <sheetFormatPr defaultRowHeight="12"/>
  <cols>
    <col min="1" max="1" width="1.625" style="44" customWidth="1"/>
    <col min="2" max="2" width="1.75" style="44" customWidth="1"/>
    <col min="3" max="3" width="15" style="44" customWidth="1"/>
    <col min="4" max="4" width="11" style="44" customWidth="1"/>
    <col min="5" max="5" width="6.625" style="44" customWidth="1"/>
    <col min="6" max="6" width="11" style="44" customWidth="1"/>
    <col min="7" max="7" width="6.625" style="44" customWidth="1"/>
    <col min="8" max="8" width="11" style="44" customWidth="1"/>
    <col min="9" max="9" width="6.625" style="44" customWidth="1"/>
    <col min="10" max="10" width="7.75" style="44" customWidth="1"/>
    <col min="11" max="16384" width="9" style="44"/>
  </cols>
  <sheetData>
    <row r="1" spans="1:9" s="41" customFormat="1" ht="14.25">
      <c r="A1" s="40" t="s">
        <v>439</v>
      </c>
    </row>
    <row r="2" spans="1:9" ht="13.5" customHeight="1">
      <c r="A2" s="20"/>
    </row>
    <row r="3" spans="1:9">
      <c r="B3" s="47" t="s">
        <v>80</v>
      </c>
      <c r="C3" s="47"/>
      <c r="E3" s="231"/>
      <c r="G3" s="231"/>
      <c r="I3" s="231" t="s">
        <v>433</v>
      </c>
    </row>
    <row r="4" spans="1:9" s="73" customFormat="1">
      <c r="B4" s="70"/>
      <c r="C4" s="232"/>
      <c r="D4" s="685" t="s">
        <v>204</v>
      </c>
      <c r="E4" s="686"/>
      <c r="F4" s="685" t="s">
        <v>205</v>
      </c>
      <c r="G4" s="686"/>
      <c r="H4" s="685" t="s">
        <v>30</v>
      </c>
      <c r="I4" s="686"/>
    </row>
    <row r="5" spans="1:9" s="77" customFormat="1">
      <c r="B5" s="233"/>
      <c r="C5" s="234"/>
      <c r="D5" s="235" t="s">
        <v>86</v>
      </c>
      <c r="E5" s="235" t="s">
        <v>219</v>
      </c>
      <c r="F5" s="235" t="s">
        <v>86</v>
      </c>
      <c r="G5" s="235" t="s">
        <v>219</v>
      </c>
      <c r="H5" s="235" t="s">
        <v>86</v>
      </c>
      <c r="I5" s="235" t="s">
        <v>219</v>
      </c>
    </row>
    <row r="6" spans="1:9">
      <c r="B6" s="236" t="s">
        <v>434</v>
      </c>
      <c r="C6" s="236"/>
      <c r="D6" s="79">
        <v>28620</v>
      </c>
      <c r="E6" s="237">
        <v>100</v>
      </c>
      <c r="F6" s="79">
        <v>28709</v>
      </c>
      <c r="G6" s="237">
        <v>100</v>
      </c>
      <c r="H6" s="79">
        <v>26687</v>
      </c>
      <c r="I6" s="238">
        <v>100</v>
      </c>
    </row>
    <row r="7" spans="1:9">
      <c r="B7" s="239" t="s">
        <v>385</v>
      </c>
      <c r="C7" s="240"/>
      <c r="D7" s="79">
        <v>18755</v>
      </c>
      <c r="E7" s="237">
        <v>65.53109713487072</v>
      </c>
      <c r="F7" s="79">
        <v>17825</v>
      </c>
      <c r="G7" s="237">
        <v>62.08854366226619</v>
      </c>
      <c r="H7" s="79">
        <v>16108</v>
      </c>
      <c r="I7" s="238">
        <v>60.358976280586049</v>
      </c>
    </row>
    <row r="8" spans="1:9">
      <c r="B8" s="241"/>
      <c r="C8" s="242" t="s">
        <v>386</v>
      </c>
      <c r="D8" s="243">
        <v>12159</v>
      </c>
      <c r="E8" s="237">
        <v>42.484276729559753</v>
      </c>
      <c r="F8" s="243">
        <v>11548</v>
      </c>
      <c r="G8" s="237">
        <v>40.224319899683024</v>
      </c>
      <c r="H8" s="79">
        <v>10525</v>
      </c>
      <c r="I8" s="238">
        <v>39.438678008018883</v>
      </c>
    </row>
    <row r="9" spans="1:9">
      <c r="B9" s="244"/>
      <c r="C9" s="242" t="s">
        <v>387</v>
      </c>
      <c r="D9" s="243">
        <v>6596</v>
      </c>
      <c r="E9" s="237">
        <v>23.046820405310971</v>
      </c>
      <c r="F9" s="243">
        <v>6277</v>
      </c>
      <c r="G9" s="237">
        <v>21.864223762583162</v>
      </c>
      <c r="H9" s="243">
        <v>5583</v>
      </c>
      <c r="I9" s="238">
        <v>20.920298272567166</v>
      </c>
    </row>
    <row r="10" spans="1:9">
      <c r="B10" s="242" t="s">
        <v>388</v>
      </c>
      <c r="C10" s="240"/>
      <c r="D10" s="79">
        <v>5011</v>
      </c>
      <c r="E10" s="237">
        <v>17.508735150244583</v>
      </c>
      <c r="F10" s="79">
        <v>5527</v>
      </c>
      <c r="G10" s="237">
        <v>19.251802570622452</v>
      </c>
      <c r="H10" s="79">
        <v>5203</v>
      </c>
      <c r="I10" s="238">
        <v>19.496384007194514</v>
      </c>
    </row>
    <row r="11" spans="1:9">
      <c r="B11" s="242" t="s">
        <v>389</v>
      </c>
      <c r="C11" s="240"/>
      <c r="D11" s="79">
        <v>2733</v>
      </c>
      <c r="E11" s="237">
        <v>9.549266247379455</v>
      </c>
      <c r="F11" s="79">
        <v>3129</v>
      </c>
      <c r="G11" s="237">
        <v>10.899021212860079</v>
      </c>
      <c r="H11" s="79">
        <v>3082</v>
      </c>
      <c r="I11" s="238">
        <v>11.548694120732941</v>
      </c>
    </row>
    <row r="12" spans="1:9">
      <c r="B12" s="242" t="s">
        <v>390</v>
      </c>
      <c r="C12" s="240"/>
      <c r="D12" s="79">
        <v>895</v>
      </c>
      <c r="E12" s="237">
        <v>3.1271837875611461</v>
      </c>
      <c r="F12" s="79">
        <v>964</v>
      </c>
      <c r="G12" s="237">
        <v>3.3578320387334983</v>
      </c>
      <c r="H12" s="79">
        <v>966</v>
      </c>
      <c r="I12" s="238">
        <v>3.6197399482894292</v>
      </c>
    </row>
    <row r="13" spans="1:9">
      <c r="B13" s="242" t="s">
        <v>391</v>
      </c>
      <c r="C13" s="240"/>
      <c r="D13" s="79">
        <v>470</v>
      </c>
      <c r="E13" s="237">
        <v>1.642208245981831</v>
      </c>
      <c r="F13" s="79">
        <v>517</v>
      </c>
      <c r="G13" s="237">
        <v>1.8008290083249154</v>
      </c>
      <c r="H13" s="79">
        <v>531</v>
      </c>
      <c r="I13" s="238">
        <v>1.9897328287181024</v>
      </c>
    </row>
    <row r="14" spans="1:9">
      <c r="B14" s="242" t="s">
        <v>392</v>
      </c>
      <c r="C14" s="240"/>
      <c r="D14" s="79">
        <v>327</v>
      </c>
      <c r="E14" s="237">
        <v>1.1425576519916143</v>
      </c>
      <c r="F14" s="79">
        <v>362</v>
      </c>
      <c r="G14" s="237">
        <v>1.2609286286530357</v>
      </c>
      <c r="H14" s="79">
        <v>347</v>
      </c>
      <c r="I14" s="238">
        <v>1.3002585528534494</v>
      </c>
    </row>
    <row r="15" spans="1:9">
      <c r="B15" s="242" t="s">
        <v>435</v>
      </c>
      <c r="C15" s="245"/>
      <c r="D15" s="79">
        <v>194</v>
      </c>
      <c r="E15" s="237">
        <v>0.67784765897973454</v>
      </c>
      <c r="F15" s="79">
        <v>230</v>
      </c>
      <c r="G15" s="237">
        <v>0.80114249886795075</v>
      </c>
      <c r="H15" s="79">
        <v>221</v>
      </c>
      <c r="I15" s="238">
        <v>0.82811855959830627</v>
      </c>
    </row>
    <row r="16" spans="1:9">
      <c r="B16" s="246" t="s">
        <v>436</v>
      </c>
      <c r="C16" s="245"/>
      <c r="D16" s="243">
        <v>235</v>
      </c>
      <c r="E16" s="237">
        <v>0.8</v>
      </c>
      <c r="F16" s="243">
        <v>155</v>
      </c>
      <c r="G16" s="237">
        <v>0.53990037967187987</v>
      </c>
      <c r="H16" s="243">
        <v>229</v>
      </c>
      <c r="I16" s="238">
        <v>0.85809570202720431</v>
      </c>
    </row>
    <row r="18" spans="2:10">
      <c r="B18" s="46" t="s">
        <v>82</v>
      </c>
      <c r="C18" s="46"/>
      <c r="D18" s="46"/>
      <c r="E18" s="67"/>
      <c r="F18" s="46"/>
      <c r="G18" s="67"/>
      <c r="H18" s="46"/>
      <c r="I18" s="67" t="s">
        <v>437</v>
      </c>
      <c r="J18" s="46"/>
    </row>
    <row r="19" spans="2:10" s="73" customFormat="1">
      <c r="B19" s="70"/>
      <c r="C19" s="232"/>
      <c r="D19" s="685" t="s">
        <v>204</v>
      </c>
      <c r="E19" s="686"/>
      <c r="F19" s="685" t="s">
        <v>205</v>
      </c>
      <c r="G19" s="686"/>
      <c r="H19" s="685" t="s">
        <v>30</v>
      </c>
      <c r="I19" s="686"/>
      <c r="J19" s="247"/>
    </row>
    <row r="20" spans="2:10" s="77" customFormat="1">
      <c r="B20" s="233"/>
      <c r="C20" s="234"/>
      <c r="D20" s="235" t="s">
        <v>86</v>
      </c>
      <c r="E20" s="235" t="s">
        <v>219</v>
      </c>
      <c r="F20" s="235" t="s">
        <v>86</v>
      </c>
      <c r="G20" s="235" t="s">
        <v>219</v>
      </c>
      <c r="H20" s="235" t="s">
        <v>86</v>
      </c>
      <c r="I20" s="235" t="s">
        <v>219</v>
      </c>
      <c r="J20" s="248"/>
    </row>
    <row r="21" spans="2:10">
      <c r="B21" s="236" t="s">
        <v>434</v>
      </c>
      <c r="C21" s="236"/>
      <c r="D21" s="79">
        <v>215879</v>
      </c>
      <c r="E21" s="237">
        <v>100</v>
      </c>
      <c r="F21" s="79">
        <v>234561</v>
      </c>
      <c r="G21" s="237">
        <v>100</v>
      </c>
      <c r="H21" s="79">
        <v>223488</v>
      </c>
      <c r="I21" s="238">
        <v>100</v>
      </c>
      <c r="J21" s="46"/>
    </row>
    <row r="22" spans="2:10">
      <c r="B22" s="239" t="s">
        <v>385</v>
      </c>
      <c r="C22" s="240"/>
      <c r="D22" s="79">
        <v>41874</v>
      </c>
      <c r="E22" s="237">
        <v>19.396977010269641</v>
      </c>
      <c r="F22" s="79">
        <v>39480</v>
      </c>
      <c r="G22" s="237">
        <v>16.831442567178687</v>
      </c>
      <c r="H22" s="79">
        <v>35387</v>
      </c>
      <c r="I22" s="238">
        <v>15.83395976517755</v>
      </c>
      <c r="J22" s="46"/>
    </row>
    <row r="23" spans="2:10">
      <c r="B23" s="241"/>
      <c r="C23" s="242" t="s">
        <v>386</v>
      </c>
      <c r="D23" s="243">
        <v>19391</v>
      </c>
      <c r="E23" s="237">
        <v>8.9823465923040224</v>
      </c>
      <c r="F23" s="243">
        <v>18084</v>
      </c>
      <c r="G23" s="237">
        <v>7.7097215649660438</v>
      </c>
      <c r="H23" s="79">
        <v>16419</v>
      </c>
      <c r="I23" s="238">
        <v>7.3467031786941579</v>
      </c>
      <c r="J23" s="46"/>
    </row>
    <row r="24" spans="2:10">
      <c r="B24" s="244"/>
      <c r="C24" s="242" t="s">
        <v>387</v>
      </c>
      <c r="D24" s="243">
        <v>22483</v>
      </c>
      <c r="E24" s="237">
        <v>10.41463041796562</v>
      </c>
      <c r="F24" s="243">
        <v>21396</v>
      </c>
      <c r="G24" s="237">
        <v>9.1217210022126451</v>
      </c>
      <c r="H24" s="243">
        <v>18968</v>
      </c>
      <c r="I24" s="238">
        <v>8.4872565864833902</v>
      </c>
      <c r="J24" s="46"/>
    </row>
    <row r="25" spans="2:10">
      <c r="B25" s="242" t="s">
        <v>388</v>
      </c>
      <c r="C25" s="240"/>
      <c r="D25" s="79">
        <v>32032</v>
      </c>
      <c r="E25" s="237">
        <v>14.837941624706433</v>
      </c>
      <c r="F25" s="79">
        <v>35675</v>
      </c>
      <c r="G25" s="237">
        <v>15.209263262008605</v>
      </c>
      <c r="H25" s="79">
        <v>33679</v>
      </c>
      <c r="I25" s="238">
        <v>15.069712915234824</v>
      </c>
      <c r="J25" s="46"/>
    </row>
    <row r="26" spans="2:10">
      <c r="B26" s="242" t="s">
        <v>389</v>
      </c>
      <c r="C26" s="240"/>
      <c r="D26" s="79">
        <v>37581</v>
      </c>
      <c r="E26" s="237">
        <v>17.408363018172217</v>
      </c>
      <c r="F26" s="79">
        <v>42551</v>
      </c>
      <c r="G26" s="237">
        <v>18.14069687629231</v>
      </c>
      <c r="H26" s="79">
        <v>41798</v>
      </c>
      <c r="I26" s="238">
        <v>18.702570160366552</v>
      </c>
      <c r="J26" s="46"/>
    </row>
    <row r="27" spans="2:10">
      <c r="B27" s="242" t="s">
        <v>390</v>
      </c>
      <c r="C27" s="240"/>
      <c r="D27" s="79">
        <v>21101</v>
      </c>
      <c r="E27" s="237">
        <v>9.7744569874790965</v>
      </c>
      <c r="F27" s="79">
        <v>22563</v>
      </c>
      <c r="G27" s="237">
        <v>9.6192461662424709</v>
      </c>
      <c r="H27" s="79">
        <v>22654</v>
      </c>
      <c r="I27" s="238">
        <v>10.136562142038946</v>
      </c>
      <c r="J27" s="46"/>
    </row>
    <row r="28" spans="2:10">
      <c r="B28" s="242" t="s">
        <v>391</v>
      </c>
      <c r="C28" s="240"/>
      <c r="D28" s="79">
        <v>17678</v>
      </c>
      <c r="E28" s="237">
        <v>8.1888465297689912</v>
      </c>
      <c r="F28" s="79">
        <v>19322</v>
      </c>
      <c r="G28" s="237">
        <v>8.2375160406035093</v>
      </c>
      <c r="H28" s="79">
        <v>20013</v>
      </c>
      <c r="I28" s="238">
        <v>8.9548432130584192</v>
      </c>
      <c r="J28" s="46"/>
    </row>
    <row r="29" spans="2:10">
      <c r="B29" s="242" t="s">
        <v>392</v>
      </c>
      <c r="C29" s="240"/>
      <c r="D29" s="79">
        <v>22462</v>
      </c>
      <c r="E29" s="237">
        <v>10.404902746445925</v>
      </c>
      <c r="F29" s="79">
        <v>25608</v>
      </c>
      <c r="G29" s="237">
        <v>10.91741593871104</v>
      </c>
      <c r="H29" s="79">
        <v>23952</v>
      </c>
      <c r="I29" s="238">
        <v>10.717353951890034</v>
      </c>
      <c r="J29" s="46"/>
    </row>
    <row r="30" spans="2:10">
      <c r="B30" s="242" t="s">
        <v>438</v>
      </c>
      <c r="C30" s="245"/>
      <c r="D30" s="79">
        <v>43151</v>
      </c>
      <c r="E30" s="237">
        <v>19.988512083157694</v>
      </c>
      <c r="F30" s="79">
        <v>49362</v>
      </c>
      <c r="G30" s="237">
        <v>21.044419148963385</v>
      </c>
      <c r="H30" s="79">
        <v>46005</v>
      </c>
      <c r="I30" s="238">
        <v>20.584997852233677</v>
      </c>
      <c r="J30" s="46"/>
    </row>
    <row r="31" spans="2:10" ht="15.75" customHeight="1">
      <c r="D31" s="249"/>
      <c r="E31" s="250"/>
      <c r="F31" s="249"/>
      <c r="G31" s="250"/>
      <c r="H31" s="249"/>
      <c r="I31" s="250"/>
      <c r="J31" s="46"/>
    </row>
    <row r="32" spans="2:10" ht="12.75" customHeight="1"/>
    <row r="33" spans="3:3">
      <c r="C33" s="21"/>
    </row>
    <row r="34" spans="3:3">
      <c r="C34" s="49"/>
    </row>
    <row r="38" spans="3:3">
      <c r="C38" s="49"/>
    </row>
  </sheetData>
  <mergeCells count="6">
    <mergeCell ref="D4:E4"/>
    <mergeCell ref="F4:G4"/>
    <mergeCell ref="H4:I4"/>
    <mergeCell ref="D19:E19"/>
    <mergeCell ref="F19:G19"/>
    <mergeCell ref="H19:I19"/>
  </mergeCells>
  <phoneticPr fontId="8"/>
  <pageMargins left="0.74803149606299213" right="0" top="0.3543307086614173" bottom="0.354330708661417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showGridLines="0" zoomScaleNormal="100" workbookViewId="0"/>
  </sheetViews>
  <sheetFormatPr defaultRowHeight="13.5"/>
  <cols>
    <col min="1" max="1" width="1.625" style="136" customWidth="1"/>
    <col min="2" max="2" width="13" style="136" customWidth="1"/>
    <col min="3" max="3" width="8.375" style="136" bestFit="1" customWidth="1"/>
    <col min="4" max="4" width="5.125" style="136" customWidth="1"/>
    <col min="5" max="5" width="5.625" style="136" customWidth="1"/>
    <col min="6" max="6" width="8.375" style="136" bestFit="1" customWidth="1"/>
    <col min="7" max="7" width="5.125" style="136" customWidth="1"/>
    <col min="8" max="8" width="5.625" style="136" customWidth="1"/>
    <col min="9" max="9" width="8.375" style="136" bestFit="1" customWidth="1"/>
    <col min="10" max="10" width="5.125" style="136" customWidth="1"/>
    <col min="11" max="11" width="5.625" style="136" customWidth="1"/>
    <col min="12" max="12" width="8.375" style="136" bestFit="1" customWidth="1"/>
    <col min="13" max="13" width="5.125" style="136" customWidth="1"/>
    <col min="14" max="14" width="5.625" style="136" customWidth="1"/>
    <col min="15" max="15" width="8.125" style="136" customWidth="1"/>
    <col min="16" max="16" width="4.875" style="136" customWidth="1"/>
    <col min="17" max="17" width="9" style="136"/>
    <col min="18" max="18" width="4.875" style="136" customWidth="1"/>
    <col min="19" max="19" width="10.75" style="136" customWidth="1"/>
    <col min="20" max="20" width="8.25" style="136" customWidth="1"/>
    <col min="21" max="21" width="4.875" style="136" customWidth="1"/>
    <col min="22" max="22" width="8.5" style="136" customWidth="1"/>
    <col min="23" max="23" width="4.75" style="136" customWidth="1"/>
    <col min="24" max="24" width="8.5" style="136" customWidth="1"/>
    <col min="25" max="25" width="4.75" style="136" customWidth="1"/>
    <col min="26" max="26" width="10.25" style="136" customWidth="1"/>
    <col min="27" max="27" width="8.5" style="136" customWidth="1"/>
    <col min="28" max="28" width="4.75" style="136" customWidth="1"/>
    <col min="29" max="16384" width="9" style="136"/>
  </cols>
  <sheetData>
    <row r="1" spans="1:33" s="41" customFormat="1" ht="14.25">
      <c r="A1" s="43" t="s">
        <v>458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251"/>
      <c r="P1" s="251"/>
    </row>
    <row r="2" spans="1:33" s="41" customFormat="1" ht="8.1" customHeight="1">
      <c r="A2" s="43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251"/>
      <c r="P2" s="251"/>
    </row>
    <row r="3" spans="1:33" ht="12.6" customHeight="1">
      <c r="I3" s="39"/>
      <c r="K3" s="52"/>
      <c r="N3" s="52" t="s">
        <v>440</v>
      </c>
      <c r="AD3" s="252"/>
      <c r="AE3" s="252"/>
      <c r="AF3" s="252"/>
      <c r="AG3" s="252"/>
    </row>
    <row r="4" spans="1:33" s="254" customFormat="1" ht="13.5" customHeight="1">
      <c r="A4" s="21"/>
      <c r="B4" s="253"/>
      <c r="C4" s="687" t="s">
        <v>730</v>
      </c>
      <c r="D4" s="687"/>
      <c r="E4" s="687"/>
      <c r="F4" s="687"/>
      <c r="G4" s="687"/>
      <c r="H4" s="687"/>
      <c r="I4" s="687" t="s">
        <v>732</v>
      </c>
      <c r="J4" s="687"/>
      <c r="K4" s="687"/>
      <c r="L4" s="687"/>
      <c r="M4" s="687"/>
      <c r="N4" s="687"/>
      <c r="O4" s="148"/>
      <c r="P4" s="148"/>
    </row>
    <row r="5" spans="1:33" s="256" customFormat="1" ht="15" customHeight="1">
      <c r="A5" s="50"/>
      <c r="B5" s="255"/>
      <c r="C5" s="688" t="s">
        <v>103</v>
      </c>
      <c r="D5" s="688"/>
      <c r="E5" s="688"/>
      <c r="F5" s="688" t="s">
        <v>104</v>
      </c>
      <c r="G5" s="688"/>
      <c r="H5" s="688"/>
      <c r="I5" s="688" t="s">
        <v>103</v>
      </c>
      <c r="J5" s="688"/>
      <c r="K5" s="688"/>
      <c r="L5" s="688" t="s">
        <v>104</v>
      </c>
      <c r="M5" s="688"/>
      <c r="N5" s="688"/>
      <c r="O5" s="257"/>
      <c r="P5" s="257"/>
    </row>
    <row r="6" spans="1:33" s="260" customFormat="1">
      <c r="A6" s="258"/>
      <c r="B6" s="259"/>
      <c r="C6" s="348" t="s">
        <v>86</v>
      </c>
      <c r="D6" s="349" t="s">
        <v>219</v>
      </c>
      <c r="E6" s="348" t="s">
        <v>441</v>
      </c>
      <c r="F6" s="348" t="s">
        <v>86</v>
      </c>
      <c r="G6" s="349" t="s">
        <v>219</v>
      </c>
      <c r="H6" s="348" t="s">
        <v>441</v>
      </c>
      <c r="I6" s="348" t="s">
        <v>86</v>
      </c>
      <c r="J6" s="349" t="s">
        <v>219</v>
      </c>
      <c r="K6" s="348" t="s">
        <v>441</v>
      </c>
      <c r="L6" s="348" t="s">
        <v>86</v>
      </c>
      <c r="M6" s="349" t="s">
        <v>219</v>
      </c>
      <c r="N6" s="348" t="s">
        <v>441</v>
      </c>
      <c r="O6" s="261"/>
      <c r="P6" s="261"/>
    </row>
    <row r="7" spans="1:33" s="257" customFormat="1" ht="22.5" customHeight="1">
      <c r="A7" s="50"/>
      <c r="B7" s="262" t="s">
        <v>442</v>
      </c>
      <c r="C7" s="263">
        <v>28709</v>
      </c>
      <c r="D7" s="264">
        <v>100</v>
      </c>
      <c r="E7" s="264">
        <v>2.801203261646962</v>
      </c>
      <c r="F7" s="263">
        <v>26687</v>
      </c>
      <c r="G7" s="264">
        <v>100</v>
      </c>
      <c r="H7" s="264">
        <v>2.694986902244493</v>
      </c>
      <c r="I7" s="263">
        <v>234561</v>
      </c>
      <c r="J7" s="264">
        <v>100</v>
      </c>
      <c r="K7" s="264">
        <v>2.9240258887880115</v>
      </c>
      <c r="L7" s="263">
        <v>223488</v>
      </c>
      <c r="M7" s="264">
        <v>100</v>
      </c>
      <c r="N7" s="264">
        <v>2.8506267889121881</v>
      </c>
    </row>
    <row r="8" spans="1:33" s="257" customFormat="1" ht="22.5" customHeight="1">
      <c r="A8" s="50"/>
      <c r="B8" s="262" t="s">
        <v>443</v>
      </c>
      <c r="C8" s="263">
        <v>72</v>
      </c>
      <c r="D8" s="264">
        <v>0.25079243442822807</v>
      </c>
      <c r="E8" s="264">
        <v>1.7146939747558942</v>
      </c>
      <c r="F8" s="263">
        <v>67</v>
      </c>
      <c r="G8" s="264">
        <v>0.25105856784202046</v>
      </c>
      <c r="H8" s="264">
        <v>2.0458015267175571</v>
      </c>
      <c r="I8" s="263">
        <v>11993</v>
      </c>
      <c r="J8" s="264">
        <v>5.1129556916964036</v>
      </c>
      <c r="K8" s="264">
        <v>2.8914820261831857</v>
      </c>
      <c r="L8" s="263">
        <v>14029</v>
      </c>
      <c r="M8" s="264">
        <v>6.2772945303550971</v>
      </c>
      <c r="N8" s="264">
        <v>3.8716496666225106</v>
      </c>
    </row>
    <row r="9" spans="1:33" s="257" customFormat="1" ht="24">
      <c r="A9" s="50"/>
      <c r="B9" s="265" t="s">
        <v>626</v>
      </c>
      <c r="C9" s="263">
        <v>6455</v>
      </c>
      <c r="D9" s="264">
        <v>22.484238392141837</v>
      </c>
      <c r="E9" s="264">
        <v>4.3268135079699173</v>
      </c>
      <c r="F9" s="263">
        <v>5801</v>
      </c>
      <c r="G9" s="264">
        <v>21.737175403754637</v>
      </c>
      <c r="H9" s="264">
        <v>4.1298544121311354</v>
      </c>
      <c r="I9" s="263">
        <v>37572</v>
      </c>
      <c r="J9" s="264">
        <v>16.018008108764885</v>
      </c>
      <c r="K9" s="264">
        <v>5.0349627858733728</v>
      </c>
      <c r="L9" s="263">
        <v>31355</v>
      </c>
      <c r="M9" s="264">
        <v>14.029836053837341</v>
      </c>
      <c r="N9" s="264">
        <v>4.4059084560280359</v>
      </c>
    </row>
    <row r="10" spans="1:33" s="257" customFormat="1" ht="22.5" customHeight="1">
      <c r="A10" s="50"/>
      <c r="B10" s="262" t="s">
        <v>445</v>
      </c>
      <c r="C10" s="263">
        <v>8093</v>
      </c>
      <c r="D10" s="264">
        <v>28.189766275384027</v>
      </c>
      <c r="E10" s="264">
        <v>2.6254833770210997</v>
      </c>
      <c r="F10" s="263">
        <v>7543</v>
      </c>
      <c r="G10" s="264">
        <v>28.264698167647168</v>
      </c>
      <c r="H10" s="264">
        <v>2.521730409200321</v>
      </c>
      <c r="I10" s="263">
        <v>86722</v>
      </c>
      <c r="J10" s="264">
        <v>36.972045651237842</v>
      </c>
      <c r="K10" s="264">
        <v>2.7883040544581292</v>
      </c>
      <c r="L10" s="263">
        <v>83426</v>
      </c>
      <c r="M10" s="264">
        <v>37.329073596792668</v>
      </c>
      <c r="N10" s="264">
        <v>2.6909425427352356</v>
      </c>
    </row>
    <row r="11" spans="1:33" s="257" customFormat="1" ht="22.5" customHeight="1">
      <c r="A11" s="50"/>
      <c r="B11" s="264" t="s">
        <v>446</v>
      </c>
      <c r="C11" s="263">
        <v>2594</v>
      </c>
      <c r="D11" s="264">
        <v>9.0354940959281063</v>
      </c>
      <c r="E11" s="264">
        <v>1.8114272147037054</v>
      </c>
      <c r="F11" s="263">
        <v>2446</v>
      </c>
      <c r="G11" s="264">
        <v>9.1655112976355539</v>
      </c>
      <c r="H11" s="264">
        <v>1.7198343446559277</v>
      </c>
      <c r="I11" s="263">
        <v>18541</v>
      </c>
      <c r="J11" s="264">
        <v>7.9045536129194547</v>
      </c>
      <c r="K11" s="264">
        <v>2.018166876200739</v>
      </c>
      <c r="L11" s="263">
        <v>17162</v>
      </c>
      <c r="M11" s="264">
        <v>7.6791595074455907</v>
      </c>
      <c r="N11" s="264">
        <v>1.9124562615614344</v>
      </c>
    </row>
    <row r="12" spans="1:33" s="257" customFormat="1" ht="22.5" customHeight="1">
      <c r="A12" s="50"/>
      <c r="B12" s="264" t="s">
        <v>447</v>
      </c>
      <c r="C12" s="263">
        <v>10107</v>
      </c>
      <c r="D12" s="264">
        <v>35.204987982862519</v>
      </c>
      <c r="E12" s="264">
        <v>2.6509816264704726</v>
      </c>
      <c r="F12" s="263">
        <v>9456</v>
      </c>
      <c r="G12" s="264">
        <v>35.432982350957396</v>
      </c>
      <c r="H12" s="264">
        <v>2.5739297068942992</v>
      </c>
      <c r="I12" s="263">
        <v>65462</v>
      </c>
      <c r="J12" s="264">
        <v>27.908305302245473</v>
      </c>
      <c r="K12" s="264">
        <v>2.613533104539727</v>
      </c>
      <c r="L12" s="263">
        <v>61044</v>
      </c>
      <c r="M12" s="264">
        <v>27.314218213058417</v>
      </c>
      <c r="N12" s="264">
        <v>2.5185319043334147</v>
      </c>
    </row>
    <row r="13" spans="1:33" s="257" customFormat="1" ht="22.5" customHeight="1">
      <c r="A13" s="50"/>
      <c r="B13" s="262" t="s">
        <v>448</v>
      </c>
      <c r="C13" s="263">
        <v>1388</v>
      </c>
      <c r="D13" s="264">
        <v>4.8347208192552857</v>
      </c>
      <c r="E13" s="264">
        <v>3.5781495707767266</v>
      </c>
      <c r="F13" s="263">
        <v>1338</v>
      </c>
      <c r="G13" s="264">
        <v>5.0136770712331851</v>
      </c>
      <c r="H13" s="264">
        <v>3.6076358930112162</v>
      </c>
      <c r="I13" s="263">
        <v>14271</v>
      </c>
      <c r="J13" s="264">
        <v>6.084131633135943</v>
      </c>
      <c r="K13" s="264">
        <v>4.3613392988117941</v>
      </c>
      <c r="L13" s="263">
        <v>16177</v>
      </c>
      <c r="M13" s="264">
        <v>7.238419959908363</v>
      </c>
      <c r="N13" s="264">
        <v>4.7820483259726982</v>
      </c>
    </row>
    <row r="14" spans="1:33" s="257" customFormat="1" ht="24">
      <c r="A14" s="50"/>
      <c r="B14" s="265" t="s">
        <v>449</v>
      </c>
      <c r="C14" s="266" t="s">
        <v>444</v>
      </c>
      <c r="D14" s="267" t="s">
        <v>444</v>
      </c>
      <c r="E14" s="267" t="s">
        <v>444</v>
      </c>
      <c r="F14" s="266" t="s">
        <v>444</v>
      </c>
      <c r="G14" s="267" t="s">
        <v>444</v>
      </c>
      <c r="H14" s="267" t="s">
        <v>444</v>
      </c>
      <c r="I14" s="266" t="s">
        <v>444</v>
      </c>
      <c r="J14" s="267" t="s">
        <v>444</v>
      </c>
      <c r="K14" s="267" t="s">
        <v>444</v>
      </c>
      <c r="L14" s="266" t="s">
        <v>444</v>
      </c>
      <c r="M14" s="267" t="s">
        <v>444</v>
      </c>
      <c r="N14" s="267" t="s">
        <v>444</v>
      </c>
    </row>
    <row r="15" spans="1:33" ht="6.9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3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52"/>
      <c r="L16" s="21"/>
      <c r="M16" s="21"/>
      <c r="N16" s="52" t="s">
        <v>450</v>
      </c>
    </row>
    <row r="17" spans="1:16" s="254" customFormat="1" ht="13.5" customHeight="1">
      <c r="A17" s="21"/>
      <c r="B17" s="253"/>
      <c r="C17" s="687" t="s">
        <v>731</v>
      </c>
      <c r="D17" s="687"/>
      <c r="E17" s="687"/>
      <c r="F17" s="687"/>
      <c r="G17" s="687"/>
      <c r="H17" s="687"/>
      <c r="I17" s="687" t="s">
        <v>733</v>
      </c>
      <c r="J17" s="687"/>
      <c r="K17" s="687"/>
      <c r="L17" s="687"/>
      <c r="M17" s="687"/>
      <c r="N17" s="687"/>
      <c r="O17" s="148"/>
      <c r="P17" s="148"/>
    </row>
    <row r="18" spans="1:16" s="256" customFormat="1" ht="15" customHeight="1">
      <c r="A18" s="50"/>
      <c r="B18" s="255"/>
      <c r="C18" s="688" t="s">
        <v>451</v>
      </c>
      <c r="D18" s="688"/>
      <c r="E18" s="688"/>
      <c r="F18" s="688" t="s">
        <v>452</v>
      </c>
      <c r="G18" s="688"/>
      <c r="H18" s="688"/>
      <c r="I18" s="688" t="s">
        <v>103</v>
      </c>
      <c r="J18" s="688"/>
      <c r="K18" s="688"/>
      <c r="L18" s="688" t="s">
        <v>104</v>
      </c>
      <c r="M18" s="688"/>
      <c r="N18" s="688"/>
      <c r="O18" s="268"/>
      <c r="P18" s="257"/>
    </row>
    <row r="19" spans="1:16" s="260" customFormat="1">
      <c r="A19" s="258"/>
      <c r="B19" s="259"/>
      <c r="C19" s="348" t="s">
        <v>86</v>
      </c>
      <c r="D19" s="349" t="s">
        <v>219</v>
      </c>
      <c r="E19" s="348" t="s">
        <v>453</v>
      </c>
      <c r="F19" s="348" t="s">
        <v>86</v>
      </c>
      <c r="G19" s="349" t="s">
        <v>219</v>
      </c>
      <c r="H19" s="348" t="s">
        <v>453</v>
      </c>
      <c r="I19" s="348" t="s">
        <v>86</v>
      </c>
      <c r="J19" s="349" t="s">
        <v>219</v>
      </c>
      <c r="K19" s="348" t="s">
        <v>453</v>
      </c>
      <c r="L19" s="348" t="s">
        <v>86</v>
      </c>
      <c r="M19" s="349" t="s">
        <v>219</v>
      </c>
      <c r="N19" s="348" t="s">
        <v>453</v>
      </c>
      <c r="O19" s="261"/>
      <c r="P19" s="261"/>
    </row>
    <row r="20" spans="1:16" s="257" customFormat="1" ht="22.5" customHeight="1">
      <c r="A20" s="50"/>
      <c r="B20" s="262" t="s">
        <v>454</v>
      </c>
      <c r="C20" s="263">
        <v>3942310</v>
      </c>
      <c r="D20" s="264">
        <v>100</v>
      </c>
      <c r="E20" s="264">
        <v>3.2267275129530608</v>
      </c>
      <c r="F20" s="263">
        <v>4578156</v>
      </c>
      <c r="G20" s="264">
        <v>100</v>
      </c>
      <c r="H20" s="264">
        <v>3.3171288392266205</v>
      </c>
      <c r="I20" s="263">
        <v>2572914</v>
      </c>
      <c r="J20" s="264">
        <v>100</v>
      </c>
      <c r="K20" s="264">
        <v>1.9079247171069662</v>
      </c>
      <c r="L20" s="263">
        <v>2682655</v>
      </c>
      <c r="M20" s="264">
        <v>100</v>
      </c>
      <c r="N20" s="264">
        <v>1.9821056604388649</v>
      </c>
    </row>
    <row r="21" spans="1:16" s="257" customFormat="1" ht="22.5" customHeight="1">
      <c r="A21" s="50"/>
      <c r="B21" s="262" t="s">
        <v>455</v>
      </c>
      <c r="C21" s="263">
        <v>463940</v>
      </c>
      <c r="D21" s="264">
        <v>11.768227257623069</v>
      </c>
      <c r="E21" s="264">
        <v>4.0284717804657415</v>
      </c>
      <c r="F21" s="263">
        <v>806140</v>
      </c>
      <c r="G21" s="264">
        <v>17.608399539028376</v>
      </c>
      <c r="H21" s="264">
        <v>6.2868057405569235</v>
      </c>
      <c r="I21" s="263">
        <v>494262</v>
      </c>
      <c r="J21" s="264">
        <v>19.210202906121228</v>
      </c>
      <c r="K21" s="264">
        <v>2.6829167408962991</v>
      </c>
      <c r="L21" s="263">
        <v>611695</v>
      </c>
      <c r="M21" s="264">
        <v>22.801851151191638</v>
      </c>
      <c r="N21" s="264">
        <v>3.3401512947464891</v>
      </c>
    </row>
    <row r="22" spans="1:16" s="257" customFormat="1" ht="24">
      <c r="A22" s="50"/>
      <c r="B22" s="265" t="s">
        <v>627</v>
      </c>
      <c r="C22" s="263">
        <v>363124</v>
      </c>
      <c r="D22" s="264">
        <v>9.2109448521298436</v>
      </c>
      <c r="E22" s="264">
        <v>4.3367291185246115</v>
      </c>
      <c r="F22" s="263">
        <v>466910</v>
      </c>
      <c r="G22" s="264">
        <v>10.198647665129803</v>
      </c>
      <c r="H22" s="264">
        <v>4.8624054134523389</v>
      </c>
      <c r="I22" s="263">
        <v>475084</v>
      </c>
      <c r="J22" s="264">
        <v>18.464822376496066</v>
      </c>
      <c r="K22" s="264">
        <v>2.4271627407396359</v>
      </c>
      <c r="L22" s="263">
        <v>457970</v>
      </c>
      <c r="M22" s="264">
        <v>17.071520564515378</v>
      </c>
      <c r="N22" s="264">
        <v>2.4407192791241785</v>
      </c>
    </row>
    <row r="23" spans="1:16" s="257" customFormat="1" ht="22.5" customHeight="1">
      <c r="A23" s="50"/>
      <c r="B23" s="262" t="s">
        <v>445</v>
      </c>
      <c r="C23" s="263">
        <v>778127</v>
      </c>
      <c r="D23" s="264">
        <v>19.737844055896161</v>
      </c>
      <c r="E23" s="264">
        <v>2.4160424120736699</v>
      </c>
      <c r="F23" s="263">
        <v>989848</v>
      </c>
      <c r="G23" s="264">
        <v>21.621106838648572</v>
      </c>
      <c r="H23" s="264">
        <v>2.5064898302043104</v>
      </c>
      <c r="I23" s="263">
        <v>642614</v>
      </c>
      <c r="J23" s="264">
        <v>24.97611657443661</v>
      </c>
      <c r="K23" s="264">
        <v>1.7644309722881917</v>
      </c>
      <c r="L23" s="263">
        <v>616429</v>
      </c>
      <c r="M23" s="264">
        <v>22.978318121413302</v>
      </c>
      <c r="N23" s="264">
        <v>1.719293185077583</v>
      </c>
    </row>
    <row r="24" spans="1:16" s="257" customFormat="1" ht="22.5" customHeight="1">
      <c r="A24" s="50"/>
      <c r="B24" s="264" t="s">
        <v>446</v>
      </c>
      <c r="C24" s="263">
        <v>649749</v>
      </c>
      <c r="D24" s="264">
        <v>16.481428401115082</v>
      </c>
      <c r="E24" s="264">
        <v>2.8668458681572728</v>
      </c>
      <c r="F24" s="263">
        <v>691778</v>
      </c>
      <c r="G24" s="264">
        <v>15.110406897449542</v>
      </c>
      <c r="H24" s="264">
        <v>2.6978304198594087</v>
      </c>
      <c r="I24" s="263">
        <v>222896</v>
      </c>
      <c r="J24" s="264">
        <v>8.6631733513051739</v>
      </c>
      <c r="K24" s="264">
        <v>1.7424155487855402</v>
      </c>
      <c r="L24" s="263">
        <v>228422</v>
      </c>
      <c r="M24" s="264">
        <v>8.5147736104717158</v>
      </c>
      <c r="N24" s="264">
        <v>1.7718918297512476</v>
      </c>
    </row>
    <row r="25" spans="1:16" s="257" customFormat="1" ht="22.5" customHeight="1">
      <c r="A25" s="50"/>
      <c r="B25" s="264" t="s">
        <v>447</v>
      </c>
      <c r="C25" s="263">
        <v>1199792</v>
      </c>
      <c r="D25" s="264">
        <v>30.433730477816308</v>
      </c>
      <c r="E25" s="264">
        <v>3.016809079293048</v>
      </c>
      <c r="F25" s="263">
        <v>1032369</v>
      </c>
      <c r="G25" s="264">
        <v>22.549886897694179</v>
      </c>
      <c r="H25" s="264">
        <v>2.5106701822941369</v>
      </c>
      <c r="I25" s="263">
        <v>738058</v>
      </c>
      <c r="J25" s="264">
        <v>28.68568479164092</v>
      </c>
      <c r="K25" s="264">
        <v>1.5490761871927829</v>
      </c>
      <c r="L25" s="263">
        <v>768139</v>
      </c>
      <c r="M25" s="264">
        <v>28.633536552407968</v>
      </c>
      <c r="N25" s="264">
        <v>1.5511215507471681</v>
      </c>
    </row>
    <row r="26" spans="1:16" s="257" customFormat="1" ht="22.5" customHeight="1">
      <c r="A26" s="50"/>
      <c r="B26" s="262" t="s">
        <v>448</v>
      </c>
      <c r="C26" s="263">
        <v>487578</v>
      </c>
      <c r="D26" s="264">
        <v>12.36782495541954</v>
      </c>
      <c r="E26" s="264">
        <v>6.3770539166569344</v>
      </c>
      <c r="F26" s="263">
        <v>591111</v>
      </c>
      <c r="G26" s="264">
        <v>12.911552162049524</v>
      </c>
      <c r="H26" s="264">
        <v>6.330322300686106</v>
      </c>
      <c r="I26" s="266" t="s">
        <v>456</v>
      </c>
      <c r="J26" s="267" t="s">
        <v>456</v>
      </c>
      <c r="K26" s="267" t="s">
        <v>456</v>
      </c>
      <c r="L26" s="266" t="s">
        <v>456</v>
      </c>
      <c r="M26" s="267" t="s">
        <v>47</v>
      </c>
      <c r="N26" s="267" t="s">
        <v>47</v>
      </c>
    </row>
    <row r="27" spans="1:16" s="44" customFormat="1" ht="12" customHeight="1"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148"/>
      <c r="P27" s="148"/>
    </row>
    <row r="28" spans="1:16" s="44" customFormat="1" ht="13.5" customHeight="1">
      <c r="B28" s="44" t="s">
        <v>457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148"/>
      <c r="P28" s="148"/>
    </row>
    <row r="29" spans="1:16" s="44" customFormat="1" ht="13.5" customHeight="1">
      <c r="B29" s="21" t="s">
        <v>457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48"/>
      <c r="P29" s="148"/>
    </row>
    <row r="30" spans="1:16" s="44" customFormat="1" ht="13.5" customHeight="1">
      <c r="B30" s="21" t="s">
        <v>457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48"/>
      <c r="P30" s="148"/>
    </row>
    <row r="31" spans="1:16" s="44" customFormat="1" ht="13.5" customHeight="1">
      <c r="B31" s="21" t="s">
        <v>457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48"/>
      <c r="P31" s="148"/>
    </row>
    <row r="32" spans="1:16" s="44" customFormat="1" ht="12.75" customHeight="1">
      <c r="O32" s="148"/>
      <c r="P32" s="148"/>
    </row>
    <row r="33" spans="2:16" s="44" customFormat="1" ht="12.75" customHeight="1">
      <c r="O33" s="148"/>
      <c r="P33" s="148"/>
    </row>
    <row r="34" spans="2:16" s="44" customFormat="1" ht="12.75" customHeight="1">
      <c r="B34" s="21"/>
      <c r="O34" s="148"/>
      <c r="P34" s="148"/>
    </row>
    <row r="35" spans="2:16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</sheetData>
  <mergeCells count="12">
    <mergeCell ref="C4:H4"/>
    <mergeCell ref="I4:N4"/>
    <mergeCell ref="C5:E5"/>
    <mergeCell ref="F5:H5"/>
    <mergeCell ref="I5:K5"/>
    <mergeCell ref="L5:N5"/>
    <mergeCell ref="C17:H17"/>
    <mergeCell ref="I17:N17"/>
    <mergeCell ref="C18:E18"/>
    <mergeCell ref="F18:H18"/>
    <mergeCell ref="I18:K18"/>
    <mergeCell ref="L18:N18"/>
  </mergeCells>
  <phoneticPr fontId="8"/>
  <pageMargins left="0.74803149606299213" right="0" top="0.35433070866141736" bottom="0.15748031496062992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5"/>
  <sheetViews>
    <sheetView showGridLines="0" zoomScaleNormal="100" workbookViewId="0"/>
  </sheetViews>
  <sheetFormatPr defaultColWidth="9.125" defaultRowHeight="13.5"/>
  <cols>
    <col min="1" max="1" width="1.625" style="21" customWidth="1"/>
    <col min="2" max="2" width="3.125" style="21" customWidth="1"/>
    <col min="3" max="3" width="37.625" style="21" customWidth="1"/>
    <col min="4" max="4" width="6.5" style="21" bestFit="1" customWidth="1"/>
    <col min="5" max="5" width="7.375" style="21" bestFit="1" customWidth="1"/>
    <col min="6" max="6" width="6.5" style="21" bestFit="1" customWidth="1"/>
    <col min="7" max="7" width="7.375" style="21" bestFit="1" customWidth="1"/>
    <col min="8" max="9" width="7.375" style="21" customWidth="1"/>
    <col min="10" max="11" width="5.625" bestFit="1" customWidth="1"/>
    <col min="12" max="13" width="1.625" style="21" customWidth="1"/>
    <col min="14" max="16384" width="9.125" style="21"/>
  </cols>
  <sheetData>
    <row r="1" spans="1:19" s="41" customFormat="1" ht="14.25">
      <c r="A1" s="40" t="s">
        <v>588</v>
      </c>
      <c r="D1" s="42"/>
      <c r="E1" s="42"/>
      <c r="F1" s="42"/>
      <c r="G1" s="42"/>
      <c r="H1" s="42"/>
      <c r="I1" s="42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s="41" customFormat="1" ht="13.5" customHeight="1">
      <c r="A2" s="40"/>
      <c r="D2" s="5"/>
      <c r="E2" s="42"/>
      <c r="F2" s="42"/>
      <c r="G2" s="42"/>
      <c r="H2" s="42"/>
      <c r="I2" s="42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14.25" customHeight="1">
      <c r="K3" s="52" t="s">
        <v>459</v>
      </c>
    </row>
    <row r="4" spans="1:19" ht="25.5" customHeight="1">
      <c r="A4" s="258"/>
      <c r="B4" s="269"/>
      <c r="C4" s="270"/>
      <c r="D4" s="626" t="s">
        <v>204</v>
      </c>
      <c r="E4" s="626"/>
      <c r="F4" s="626" t="s">
        <v>205</v>
      </c>
      <c r="G4" s="626"/>
      <c r="H4" s="626" t="s">
        <v>30</v>
      </c>
      <c r="I4" s="626"/>
      <c r="J4" s="626" t="s">
        <v>576</v>
      </c>
      <c r="K4" s="689"/>
    </row>
    <row r="5" spans="1:19" ht="57.75" customHeight="1">
      <c r="A5" s="258"/>
      <c r="B5" s="271"/>
      <c r="C5" s="272"/>
      <c r="D5" s="552" t="s">
        <v>80</v>
      </c>
      <c r="E5" s="552" t="s">
        <v>198</v>
      </c>
      <c r="F5" s="552" t="s">
        <v>80</v>
      </c>
      <c r="G5" s="552" t="s">
        <v>198</v>
      </c>
      <c r="H5" s="552" t="s">
        <v>80</v>
      </c>
      <c r="I5" s="552" t="s">
        <v>198</v>
      </c>
      <c r="J5" s="552" t="s">
        <v>80</v>
      </c>
      <c r="K5" s="552" t="s">
        <v>198</v>
      </c>
    </row>
    <row r="6" spans="1:19" ht="15" customHeight="1">
      <c r="A6" s="50"/>
      <c r="B6" s="273" t="s">
        <v>460</v>
      </c>
      <c r="C6" s="274"/>
      <c r="D6" s="415">
        <v>70564</v>
      </c>
      <c r="E6" s="415">
        <v>845838</v>
      </c>
      <c r="F6" s="415">
        <v>73579</v>
      </c>
      <c r="G6" s="415">
        <v>911322</v>
      </c>
      <c r="H6" s="415">
        <v>69995</v>
      </c>
      <c r="I6" s="415">
        <v>908497</v>
      </c>
      <c r="J6" s="553" t="s">
        <v>577</v>
      </c>
      <c r="K6" s="553" t="s">
        <v>577</v>
      </c>
    </row>
    <row r="7" spans="1:19" ht="15" customHeight="1">
      <c r="A7" s="50"/>
      <c r="B7" s="275" t="s">
        <v>461</v>
      </c>
      <c r="C7" s="276"/>
      <c r="D7" s="554">
        <v>25615</v>
      </c>
      <c r="E7" s="554">
        <v>440423</v>
      </c>
      <c r="F7" s="554">
        <v>26109</v>
      </c>
      <c r="G7" s="554">
        <v>464060</v>
      </c>
      <c r="H7" s="554">
        <v>25238</v>
      </c>
      <c r="I7" s="554">
        <v>479639</v>
      </c>
      <c r="J7" s="555">
        <f>+H7/H$7*100</f>
        <v>100</v>
      </c>
      <c r="K7" s="555">
        <f t="shared" ref="K7:K19" si="0">+I7/I$7*100</f>
        <v>100</v>
      </c>
      <c r="L7" s="350"/>
      <c r="M7" s="350"/>
      <c r="N7" s="25"/>
      <c r="O7" s="25"/>
    </row>
    <row r="8" spans="1:19" ht="15" customHeight="1">
      <c r="A8" s="50"/>
      <c r="B8" s="275"/>
      <c r="C8" s="560" t="s">
        <v>164</v>
      </c>
      <c r="D8" s="556">
        <v>2798</v>
      </c>
      <c r="E8" s="556">
        <v>83084</v>
      </c>
      <c r="F8" s="556">
        <v>2805</v>
      </c>
      <c r="G8" s="556">
        <v>85831</v>
      </c>
      <c r="H8" s="556">
        <v>2682</v>
      </c>
      <c r="I8" s="556">
        <v>84085</v>
      </c>
      <c r="J8" s="557">
        <f t="shared" ref="J8:J19" si="1">+H8/H$7*100</f>
        <v>10.626832554085111</v>
      </c>
      <c r="K8" s="557">
        <f t="shared" si="0"/>
        <v>17.530893025796484</v>
      </c>
      <c r="L8" s="350"/>
      <c r="M8" s="350"/>
    </row>
    <row r="9" spans="1:19" ht="15" customHeight="1">
      <c r="A9" s="50"/>
      <c r="B9" s="275"/>
      <c r="C9" s="560" t="s">
        <v>165</v>
      </c>
      <c r="D9" s="556">
        <v>303</v>
      </c>
      <c r="E9" s="556">
        <v>2853</v>
      </c>
      <c r="F9" s="556">
        <v>379</v>
      </c>
      <c r="G9" s="556">
        <v>4298</v>
      </c>
      <c r="H9" s="556">
        <v>418</v>
      </c>
      <c r="I9" s="556">
        <v>5610</v>
      </c>
      <c r="J9" s="557">
        <f t="shared" si="1"/>
        <v>1.6562326650289245</v>
      </c>
      <c r="K9" s="557">
        <f t="shared" si="0"/>
        <v>1.1696296589726858</v>
      </c>
      <c r="L9" s="350"/>
      <c r="M9" s="350"/>
    </row>
    <row r="10" spans="1:19" ht="15" customHeight="1">
      <c r="A10" s="50"/>
      <c r="B10" s="275"/>
      <c r="C10" s="560" t="s">
        <v>462</v>
      </c>
      <c r="D10" s="556">
        <v>1038</v>
      </c>
      <c r="E10" s="556">
        <v>9591</v>
      </c>
      <c r="F10" s="556">
        <v>1010</v>
      </c>
      <c r="G10" s="556">
        <v>9482</v>
      </c>
      <c r="H10" s="556">
        <v>944</v>
      </c>
      <c r="I10" s="556">
        <v>9793</v>
      </c>
      <c r="J10" s="557">
        <f t="shared" si="1"/>
        <v>3.7403914731753702</v>
      </c>
      <c r="K10" s="557">
        <f t="shared" si="0"/>
        <v>2.0417438948876132</v>
      </c>
      <c r="L10" s="350"/>
      <c r="M10" s="350"/>
    </row>
    <row r="11" spans="1:19" ht="15" customHeight="1">
      <c r="A11" s="50"/>
      <c r="B11" s="275"/>
      <c r="C11" s="560" t="s">
        <v>463</v>
      </c>
      <c r="D11" s="556">
        <v>2303</v>
      </c>
      <c r="E11" s="556">
        <v>10878</v>
      </c>
      <c r="F11" s="556">
        <v>2287</v>
      </c>
      <c r="G11" s="556">
        <v>10595</v>
      </c>
      <c r="H11" s="556">
        <v>2402</v>
      </c>
      <c r="I11" s="556">
        <v>11468</v>
      </c>
      <c r="J11" s="557">
        <f t="shared" si="1"/>
        <v>9.5173944052619071</v>
      </c>
      <c r="K11" s="557">
        <f t="shared" si="0"/>
        <v>2.390964871497105</v>
      </c>
      <c r="L11" s="350"/>
      <c r="M11" s="350"/>
    </row>
    <row r="12" spans="1:19" ht="12">
      <c r="A12" s="50"/>
      <c r="B12" s="275"/>
      <c r="C12" s="560" t="s">
        <v>578</v>
      </c>
      <c r="D12" s="556">
        <v>517</v>
      </c>
      <c r="E12" s="556">
        <v>8318</v>
      </c>
      <c r="F12" s="556">
        <v>549</v>
      </c>
      <c r="G12" s="556">
        <v>8872</v>
      </c>
      <c r="H12" s="556">
        <v>519</v>
      </c>
      <c r="I12" s="556">
        <v>8610</v>
      </c>
      <c r="J12" s="557">
        <f t="shared" si="1"/>
        <v>2.0564228544258656</v>
      </c>
      <c r="K12" s="557">
        <f t="shared" si="0"/>
        <v>1.7951000648404321</v>
      </c>
      <c r="L12" s="350"/>
      <c r="M12" s="350"/>
    </row>
    <row r="13" spans="1:19" ht="15" customHeight="1">
      <c r="A13" s="50"/>
      <c r="B13" s="275"/>
      <c r="C13" s="560" t="s">
        <v>464</v>
      </c>
      <c r="D13" s="556">
        <v>7823</v>
      </c>
      <c r="E13" s="556">
        <v>44933</v>
      </c>
      <c r="F13" s="556">
        <v>8091</v>
      </c>
      <c r="G13" s="556">
        <v>47180</v>
      </c>
      <c r="H13" s="556">
        <v>7945</v>
      </c>
      <c r="I13" s="556">
        <v>46667</v>
      </c>
      <c r="J13" s="557">
        <f t="shared" si="1"/>
        <v>31.480307472858389</v>
      </c>
      <c r="K13" s="557">
        <f t="shared" si="0"/>
        <v>9.7296091435433727</v>
      </c>
      <c r="L13" s="350"/>
      <c r="M13" s="350"/>
    </row>
    <row r="14" spans="1:19" ht="15" customHeight="1">
      <c r="A14" s="50"/>
      <c r="B14" s="275"/>
      <c r="C14" s="560" t="s">
        <v>465</v>
      </c>
      <c r="D14" s="556">
        <v>865</v>
      </c>
      <c r="E14" s="556">
        <v>11243</v>
      </c>
      <c r="F14" s="556">
        <v>809</v>
      </c>
      <c r="G14" s="556">
        <v>11805</v>
      </c>
      <c r="H14" s="556">
        <v>745</v>
      </c>
      <c r="I14" s="556">
        <v>11816</v>
      </c>
      <c r="J14" s="557">
        <f t="shared" si="1"/>
        <v>2.9518979316903082</v>
      </c>
      <c r="K14" s="557">
        <f t="shared" si="0"/>
        <v>2.4635194385777637</v>
      </c>
      <c r="L14" s="350"/>
      <c r="M14" s="350"/>
    </row>
    <row r="15" spans="1:19" ht="15" customHeight="1">
      <c r="A15" s="50"/>
      <c r="B15" s="275"/>
      <c r="C15" s="560" t="s">
        <v>466</v>
      </c>
      <c r="D15" s="556">
        <v>3499</v>
      </c>
      <c r="E15" s="556">
        <v>33852</v>
      </c>
      <c r="F15" s="556">
        <v>3499</v>
      </c>
      <c r="G15" s="556">
        <v>37708</v>
      </c>
      <c r="H15" s="556">
        <v>3269</v>
      </c>
      <c r="I15" s="556">
        <v>37922</v>
      </c>
      <c r="J15" s="557">
        <f t="shared" si="1"/>
        <v>12.952690387510895</v>
      </c>
      <c r="K15" s="557">
        <f t="shared" si="0"/>
        <v>7.9063629104388928</v>
      </c>
      <c r="L15" s="350"/>
      <c r="M15" s="350"/>
    </row>
    <row r="16" spans="1:19" ht="15" customHeight="1">
      <c r="A16" s="50"/>
      <c r="B16" s="275"/>
      <c r="C16" s="560" t="s">
        <v>467</v>
      </c>
      <c r="D16" s="556">
        <v>817</v>
      </c>
      <c r="E16" s="556">
        <v>4108</v>
      </c>
      <c r="F16" s="556">
        <v>731</v>
      </c>
      <c r="G16" s="556">
        <v>3950</v>
      </c>
      <c r="H16" s="556">
        <v>659</v>
      </c>
      <c r="I16" s="556">
        <v>3592</v>
      </c>
      <c r="J16" s="557">
        <f t="shared" si="1"/>
        <v>2.6111419288374673</v>
      </c>
      <c r="K16" s="557">
        <f t="shared" si="0"/>
        <v>0.74889656595898157</v>
      </c>
      <c r="L16" s="350"/>
      <c r="M16" s="350"/>
    </row>
    <row r="17" spans="1:15" ht="15" customHeight="1">
      <c r="A17" s="50"/>
      <c r="B17" s="275"/>
      <c r="C17" s="560" t="s">
        <v>468</v>
      </c>
      <c r="D17" s="556">
        <v>624</v>
      </c>
      <c r="E17" s="556">
        <v>11246</v>
      </c>
      <c r="F17" s="556">
        <v>693</v>
      </c>
      <c r="G17" s="556">
        <v>10973</v>
      </c>
      <c r="H17" s="556">
        <v>647</v>
      </c>
      <c r="I17" s="556">
        <v>9469</v>
      </c>
      <c r="J17" s="557">
        <f t="shared" si="1"/>
        <v>2.5635945796021868</v>
      </c>
      <c r="K17" s="557">
        <f t="shared" si="0"/>
        <v>1.974193091053897</v>
      </c>
      <c r="L17" s="350"/>
      <c r="M17" s="350"/>
    </row>
    <row r="18" spans="1:15" ht="15" customHeight="1">
      <c r="A18" s="50"/>
      <c r="B18" s="275"/>
      <c r="C18" s="560" t="s">
        <v>469</v>
      </c>
      <c r="D18" s="556">
        <v>1048</v>
      </c>
      <c r="E18" s="556">
        <v>75329</v>
      </c>
      <c r="F18" s="556">
        <v>1069</v>
      </c>
      <c r="G18" s="556">
        <v>76206</v>
      </c>
      <c r="H18" s="556">
        <v>1046</v>
      </c>
      <c r="I18" s="556">
        <v>75229</v>
      </c>
      <c r="J18" s="557">
        <f t="shared" si="1"/>
        <v>4.1445439416752512</v>
      </c>
      <c r="K18" s="557">
        <f t="shared" si="0"/>
        <v>15.684504387674897</v>
      </c>
      <c r="L18" s="350"/>
      <c r="M18" s="350"/>
    </row>
    <row r="19" spans="1:15" ht="15" customHeight="1">
      <c r="A19" s="50"/>
      <c r="B19" s="277"/>
      <c r="C19" s="560" t="s">
        <v>470</v>
      </c>
      <c r="D19" s="556">
        <v>3587</v>
      </c>
      <c r="E19" s="556">
        <v>140824</v>
      </c>
      <c r="F19" s="556">
        <v>4187</v>
      </c>
      <c r="G19" s="556">
        <v>157160</v>
      </c>
      <c r="H19" s="556">
        <v>3962</v>
      </c>
      <c r="I19" s="556">
        <v>175378</v>
      </c>
      <c r="J19" s="557">
        <f t="shared" si="1"/>
        <v>15.698549805848325</v>
      </c>
      <c r="K19" s="557">
        <f t="shared" si="0"/>
        <v>36.564582946757874</v>
      </c>
      <c r="L19" s="350"/>
      <c r="M19" s="350"/>
    </row>
    <row r="20" spans="1:15" ht="15" customHeight="1">
      <c r="A20" s="50"/>
      <c r="B20" s="275" t="s">
        <v>471</v>
      </c>
      <c r="C20" s="278"/>
      <c r="D20" s="556">
        <v>28390</v>
      </c>
      <c r="E20" s="556">
        <v>170142</v>
      </c>
      <c r="F20" s="554">
        <v>28899</v>
      </c>
      <c r="G20" s="554">
        <v>170300</v>
      </c>
      <c r="H20" s="554">
        <v>26364</v>
      </c>
      <c r="I20" s="554">
        <v>160969</v>
      </c>
      <c r="J20" s="555">
        <f>+H20/H$20*100</f>
        <v>100</v>
      </c>
      <c r="K20" s="555">
        <f t="shared" ref="K20:K31" si="2">+I20/I$20*100</f>
        <v>100</v>
      </c>
      <c r="L20" s="350"/>
      <c r="M20" s="350"/>
      <c r="N20" s="25"/>
      <c r="O20" s="25"/>
    </row>
    <row r="21" spans="1:15" ht="15" customHeight="1">
      <c r="A21" s="50"/>
      <c r="B21" s="275"/>
      <c r="C21" s="560" t="s">
        <v>472</v>
      </c>
      <c r="D21" s="556">
        <v>12</v>
      </c>
      <c r="E21" s="556">
        <v>57</v>
      </c>
      <c r="F21" s="556">
        <v>17</v>
      </c>
      <c r="G21" s="556">
        <v>57</v>
      </c>
      <c r="H21" s="556">
        <v>9</v>
      </c>
      <c r="I21" s="556">
        <v>16</v>
      </c>
      <c r="J21" s="555">
        <f t="shared" ref="J21:J31" si="3">+H21/H$20*100</f>
        <v>3.4137460172963131E-2</v>
      </c>
      <c r="K21" s="555">
        <f t="shared" si="2"/>
        <v>9.939802073691207E-3</v>
      </c>
      <c r="L21" s="350"/>
      <c r="M21" s="350"/>
    </row>
    <row r="22" spans="1:15" ht="15" customHeight="1">
      <c r="A22" s="50"/>
      <c r="B22" s="275"/>
      <c r="C22" s="560" t="s">
        <v>473</v>
      </c>
      <c r="D22" s="556">
        <v>330</v>
      </c>
      <c r="E22" s="556">
        <v>3790</v>
      </c>
      <c r="F22" s="556">
        <v>366</v>
      </c>
      <c r="G22" s="556">
        <v>4808</v>
      </c>
      <c r="H22" s="556">
        <v>314</v>
      </c>
      <c r="I22" s="556">
        <v>3729</v>
      </c>
      <c r="J22" s="555">
        <f t="shared" si="3"/>
        <v>1.1910180549233804</v>
      </c>
      <c r="K22" s="555">
        <f t="shared" si="2"/>
        <v>2.3165951207996573</v>
      </c>
      <c r="L22" s="350"/>
      <c r="M22" s="350"/>
    </row>
    <row r="23" spans="1:15" ht="15" customHeight="1">
      <c r="A23" s="50"/>
      <c r="B23" s="275"/>
      <c r="C23" s="560" t="s">
        <v>474</v>
      </c>
      <c r="D23" s="556">
        <v>1584</v>
      </c>
      <c r="E23" s="556">
        <v>33459</v>
      </c>
      <c r="F23" s="556">
        <v>1656</v>
      </c>
      <c r="G23" s="556">
        <v>28676</v>
      </c>
      <c r="H23" s="556">
        <v>1536</v>
      </c>
      <c r="I23" s="556">
        <v>28480</v>
      </c>
      <c r="J23" s="555">
        <f t="shared" si="3"/>
        <v>5.8261265361857077</v>
      </c>
      <c r="K23" s="555">
        <f t="shared" si="2"/>
        <v>17.69284769117035</v>
      </c>
      <c r="L23" s="350"/>
      <c r="M23" s="350"/>
    </row>
    <row r="24" spans="1:15" ht="15" customHeight="1">
      <c r="A24" s="50"/>
      <c r="B24" s="275"/>
      <c r="C24" s="560" t="s">
        <v>475</v>
      </c>
      <c r="D24" s="556">
        <v>901</v>
      </c>
      <c r="E24" s="556">
        <v>9305</v>
      </c>
      <c r="F24" s="556">
        <v>998</v>
      </c>
      <c r="G24" s="556">
        <v>8068</v>
      </c>
      <c r="H24" s="556">
        <v>993</v>
      </c>
      <c r="I24" s="556">
        <v>7666</v>
      </c>
      <c r="J24" s="555">
        <f t="shared" si="3"/>
        <v>3.7664997724169322</v>
      </c>
      <c r="K24" s="555">
        <f t="shared" si="2"/>
        <v>4.7624076685572998</v>
      </c>
      <c r="L24" s="350"/>
      <c r="M24" s="350"/>
    </row>
    <row r="25" spans="1:15" ht="15" customHeight="1">
      <c r="A25" s="50"/>
      <c r="B25" s="275"/>
      <c r="C25" s="560" t="s">
        <v>476</v>
      </c>
      <c r="D25" s="556">
        <v>1678</v>
      </c>
      <c r="E25" s="556">
        <v>10446</v>
      </c>
      <c r="F25" s="556">
        <v>1787</v>
      </c>
      <c r="G25" s="556">
        <v>9966</v>
      </c>
      <c r="H25" s="556">
        <v>1725</v>
      </c>
      <c r="I25" s="556">
        <v>8964</v>
      </c>
      <c r="J25" s="555">
        <f t="shared" si="3"/>
        <v>6.5430131998179331</v>
      </c>
      <c r="K25" s="555">
        <f t="shared" si="2"/>
        <v>5.5687741117854985</v>
      </c>
      <c r="L25" s="350"/>
      <c r="M25" s="350"/>
    </row>
    <row r="26" spans="1:15" ht="15" customHeight="1">
      <c r="A26" s="50"/>
      <c r="B26" s="275"/>
      <c r="C26" s="560" t="s">
        <v>477</v>
      </c>
      <c r="D26" s="556">
        <v>2778</v>
      </c>
      <c r="E26" s="556">
        <v>17133</v>
      </c>
      <c r="F26" s="556">
        <v>2867</v>
      </c>
      <c r="G26" s="556">
        <v>17423</v>
      </c>
      <c r="H26" s="556">
        <v>2798</v>
      </c>
      <c r="I26" s="556">
        <v>17910</v>
      </c>
      <c r="J26" s="555">
        <f t="shared" si="3"/>
        <v>10.612957062661204</v>
      </c>
      <c r="K26" s="555">
        <f t="shared" si="2"/>
        <v>11.126365946238096</v>
      </c>
      <c r="L26" s="350"/>
      <c r="M26" s="350"/>
    </row>
    <row r="27" spans="1:15" ht="15" customHeight="1">
      <c r="A27" s="50"/>
      <c r="B27" s="275"/>
      <c r="C27" s="560" t="s">
        <v>478</v>
      </c>
      <c r="D27" s="556">
        <v>10915</v>
      </c>
      <c r="E27" s="556">
        <v>43326</v>
      </c>
      <c r="F27" s="556">
        <v>10913</v>
      </c>
      <c r="G27" s="556">
        <v>44844</v>
      </c>
      <c r="H27" s="556">
        <v>9152</v>
      </c>
      <c r="I27" s="556">
        <v>42940</v>
      </c>
      <c r="J27" s="555">
        <f t="shared" si="3"/>
        <v>34.714003944773175</v>
      </c>
      <c r="K27" s="555">
        <f t="shared" si="2"/>
        <v>26.675943815268777</v>
      </c>
      <c r="L27" s="350"/>
      <c r="M27" s="350"/>
    </row>
    <row r="28" spans="1:15" ht="15" customHeight="1">
      <c r="A28" s="50"/>
      <c r="B28" s="275"/>
      <c r="C28" s="560" t="s">
        <v>479</v>
      </c>
      <c r="D28" s="556">
        <v>8053</v>
      </c>
      <c r="E28" s="556">
        <v>32975</v>
      </c>
      <c r="F28" s="556">
        <v>8091</v>
      </c>
      <c r="G28" s="556">
        <v>34162</v>
      </c>
      <c r="H28" s="556">
        <v>7662</v>
      </c>
      <c r="I28" s="556">
        <v>30487</v>
      </c>
      <c r="J28" s="555">
        <f t="shared" si="3"/>
        <v>29.062357760582614</v>
      </c>
      <c r="K28" s="555">
        <f t="shared" si="2"/>
        <v>18.939671613788992</v>
      </c>
      <c r="L28" s="350"/>
      <c r="M28" s="350"/>
    </row>
    <row r="29" spans="1:15" ht="15" customHeight="1">
      <c r="A29" s="50"/>
      <c r="B29" s="275"/>
      <c r="C29" s="560" t="s">
        <v>480</v>
      </c>
      <c r="D29" s="556">
        <v>1934</v>
      </c>
      <c r="E29" s="556">
        <v>18886</v>
      </c>
      <c r="F29" s="556">
        <v>1981</v>
      </c>
      <c r="G29" s="556">
        <v>21393</v>
      </c>
      <c r="H29" s="556">
        <v>1962</v>
      </c>
      <c r="I29" s="556">
        <v>19994</v>
      </c>
      <c r="J29" s="555">
        <f t="shared" si="3"/>
        <v>7.4419663177059627</v>
      </c>
      <c r="K29" s="555">
        <f t="shared" si="2"/>
        <v>12.421025166336374</v>
      </c>
      <c r="L29" s="350"/>
      <c r="M29" s="350"/>
    </row>
    <row r="30" spans="1:15" ht="15" customHeight="1">
      <c r="A30" s="50"/>
      <c r="B30" s="275"/>
      <c r="C30" s="560" t="s">
        <v>481</v>
      </c>
      <c r="D30" s="556">
        <v>29</v>
      </c>
      <c r="E30" s="556">
        <v>61</v>
      </c>
      <c r="F30" s="556">
        <v>30</v>
      </c>
      <c r="G30" s="556">
        <v>70</v>
      </c>
      <c r="H30" s="556">
        <v>27</v>
      </c>
      <c r="I30" s="556">
        <v>67</v>
      </c>
      <c r="J30" s="555">
        <f t="shared" si="3"/>
        <v>0.10241238051888939</v>
      </c>
      <c r="K30" s="555">
        <f t="shared" si="2"/>
        <v>4.1622921183581935E-2</v>
      </c>
      <c r="L30" s="350"/>
      <c r="M30" s="350"/>
    </row>
    <row r="31" spans="1:15" ht="15" customHeight="1">
      <c r="A31" s="50"/>
      <c r="B31" s="279"/>
      <c r="C31" s="560" t="s">
        <v>482</v>
      </c>
      <c r="D31" s="556">
        <v>176</v>
      </c>
      <c r="E31" s="556">
        <v>704</v>
      </c>
      <c r="F31" s="556">
        <v>193</v>
      </c>
      <c r="G31" s="556">
        <v>833</v>
      </c>
      <c r="H31" s="556">
        <v>186</v>
      </c>
      <c r="I31" s="556">
        <v>716</v>
      </c>
      <c r="J31" s="555">
        <f t="shared" si="3"/>
        <v>0.70550751024123803</v>
      </c>
      <c r="K31" s="555">
        <f t="shared" si="2"/>
        <v>0.44480614279768149</v>
      </c>
      <c r="L31" s="350"/>
      <c r="M31" s="350"/>
    </row>
    <row r="32" spans="1:15" ht="15" customHeight="1">
      <c r="A32" s="50"/>
      <c r="B32" s="275" t="s">
        <v>483</v>
      </c>
      <c r="C32" s="162"/>
      <c r="D32" s="556">
        <v>16559</v>
      </c>
      <c r="E32" s="556">
        <v>235273</v>
      </c>
      <c r="F32" s="554">
        <v>18571</v>
      </c>
      <c r="G32" s="554">
        <v>276962</v>
      </c>
      <c r="H32" s="554">
        <v>18393</v>
      </c>
      <c r="I32" s="554">
        <v>267889</v>
      </c>
      <c r="J32" s="555">
        <f>+H32/H$32*100</f>
        <v>100</v>
      </c>
      <c r="K32" s="555">
        <f t="shared" ref="K32:K45" si="4">+I32/I$32*100</f>
        <v>100</v>
      </c>
      <c r="L32" s="350"/>
      <c r="M32" s="350"/>
      <c r="N32" s="25"/>
      <c r="O32" s="25"/>
    </row>
    <row r="33" spans="1:13" ht="15" customHeight="1">
      <c r="A33" s="50"/>
      <c r="B33" s="558"/>
      <c r="C33" s="560" t="s">
        <v>163</v>
      </c>
      <c r="D33" s="556">
        <v>96</v>
      </c>
      <c r="E33" s="556">
        <v>6485</v>
      </c>
      <c r="F33" s="556">
        <v>120</v>
      </c>
      <c r="G33" s="556">
        <v>4371</v>
      </c>
      <c r="H33" s="556">
        <v>112</v>
      </c>
      <c r="I33" s="556">
        <v>4407</v>
      </c>
      <c r="J33" s="557">
        <f t="shared" ref="J33:J45" si="5">+H33/H$32*100</f>
        <v>0.60892730930245209</v>
      </c>
      <c r="K33" s="557">
        <f t="shared" si="4"/>
        <v>1.6450843446352781</v>
      </c>
      <c r="L33" s="350"/>
      <c r="M33" s="350"/>
    </row>
    <row r="34" spans="1:13" ht="15" customHeight="1">
      <c r="A34" s="50"/>
      <c r="B34" s="558"/>
      <c r="C34" s="560" t="s">
        <v>484</v>
      </c>
      <c r="D34" s="556">
        <v>143</v>
      </c>
      <c r="E34" s="556">
        <v>4465</v>
      </c>
      <c r="F34" s="556">
        <v>148</v>
      </c>
      <c r="G34" s="556">
        <v>4073</v>
      </c>
      <c r="H34" s="556">
        <v>136</v>
      </c>
      <c r="I34" s="556">
        <v>4655</v>
      </c>
      <c r="J34" s="557">
        <f t="shared" si="5"/>
        <v>0.73941173272440608</v>
      </c>
      <c r="K34" s="557">
        <f t="shared" si="4"/>
        <v>1.7376600009705514</v>
      </c>
      <c r="L34" s="350"/>
      <c r="M34" s="350"/>
    </row>
    <row r="35" spans="1:13" ht="15" customHeight="1">
      <c r="A35" s="50"/>
      <c r="B35" s="558"/>
      <c r="C35" s="560" t="s">
        <v>485</v>
      </c>
      <c r="D35" s="556">
        <v>465</v>
      </c>
      <c r="E35" s="556">
        <v>22326</v>
      </c>
      <c r="F35" s="556">
        <v>536</v>
      </c>
      <c r="G35" s="556">
        <v>25762</v>
      </c>
      <c r="H35" s="556">
        <v>541</v>
      </c>
      <c r="I35" s="556">
        <v>24253</v>
      </c>
      <c r="J35" s="557">
        <f t="shared" si="5"/>
        <v>2.94133637796988</v>
      </c>
      <c r="K35" s="557">
        <f t="shared" si="4"/>
        <v>9.0533765850781478</v>
      </c>
      <c r="L35" s="350"/>
      <c r="M35" s="350"/>
    </row>
    <row r="36" spans="1:13" ht="24">
      <c r="A36" s="50"/>
      <c r="B36" s="558"/>
      <c r="C36" s="561" t="s">
        <v>579</v>
      </c>
      <c r="D36" s="556">
        <v>431</v>
      </c>
      <c r="E36" s="556">
        <v>6574</v>
      </c>
      <c r="F36" s="556">
        <v>459</v>
      </c>
      <c r="G36" s="556">
        <v>6991</v>
      </c>
      <c r="H36" s="556">
        <v>446</v>
      </c>
      <c r="I36" s="556">
        <v>6224</v>
      </c>
      <c r="J36" s="557">
        <f t="shared" si="5"/>
        <v>2.4248355352579787</v>
      </c>
      <c r="K36" s="557">
        <f t="shared" si="4"/>
        <v>2.3233503428658886</v>
      </c>
      <c r="L36" s="350"/>
      <c r="M36" s="350"/>
    </row>
    <row r="37" spans="1:13" ht="13.5" customHeight="1">
      <c r="A37" s="50"/>
      <c r="B37" s="558"/>
      <c r="C37" s="560" t="s">
        <v>486</v>
      </c>
      <c r="D37" s="556">
        <v>7871</v>
      </c>
      <c r="E37" s="556">
        <v>103091</v>
      </c>
      <c r="F37" s="556">
        <v>8617</v>
      </c>
      <c r="G37" s="556">
        <v>116664</v>
      </c>
      <c r="H37" s="556">
        <v>8427</v>
      </c>
      <c r="I37" s="556">
        <v>115133</v>
      </c>
      <c r="J37" s="557">
        <f t="shared" si="5"/>
        <v>45.816343174033605</v>
      </c>
      <c r="K37" s="557">
        <f t="shared" si="4"/>
        <v>42.977875164713744</v>
      </c>
      <c r="L37" s="350"/>
      <c r="M37" s="350"/>
    </row>
    <row r="38" spans="1:13" ht="13.5" customHeight="1">
      <c r="A38" s="50"/>
      <c r="B38" s="558"/>
      <c r="C38" s="560" t="s">
        <v>487</v>
      </c>
      <c r="D38" s="556">
        <v>88</v>
      </c>
      <c r="E38" s="556">
        <v>2591</v>
      </c>
      <c r="F38" s="556">
        <v>133</v>
      </c>
      <c r="G38" s="556">
        <v>3694</v>
      </c>
      <c r="H38" s="556">
        <v>115</v>
      </c>
      <c r="I38" s="556">
        <v>3306</v>
      </c>
      <c r="J38" s="557">
        <f t="shared" si="5"/>
        <v>0.62523786223019628</v>
      </c>
      <c r="K38" s="557">
        <f t="shared" si="4"/>
        <v>1.2340932251790855</v>
      </c>
      <c r="L38" s="350"/>
      <c r="M38" s="350"/>
    </row>
    <row r="39" spans="1:13" ht="13.5" customHeight="1">
      <c r="A39" s="50"/>
      <c r="B39" s="558"/>
      <c r="C39" s="560" t="s">
        <v>488</v>
      </c>
      <c r="D39" s="556">
        <v>2823</v>
      </c>
      <c r="E39" s="556">
        <v>64254</v>
      </c>
      <c r="F39" s="556">
        <v>4002</v>
      </c>
      <c r="G39" s="556">
        <v>82560</v>
      </c>
      <c r="H39" s="556">
        <v>4247</v>
      </c>
      <c r="I39" s="556">
        <v>83232</v>
      </c>
      <c r="J39" s="557">
        <f t="shared" si="5"/>
        <v>23.090306094709945</v>
      </c>
      <c r="K39" s="557">
        <f t="shared" si="4"/>
        <v>31.06958479071556</v>
      </c>
      <c r="L39" s="350"/>
      <c r="M39" s="350"/>
    </row>
    <row r="40" spans="1:13" ht="13.5" customHeight="1">
      <c r="A40" s="50"/>
      <c r="B40" s="558"/>
      <c r="C40" s="560" t="s">
        <v>489</v>
      </c>
      <c r="D40" s="556">
        <v>405</v>
      </c>
      <c r="E40" s="556">
        <v>4552</v>
      </c>
      <c r="F40" s="556">
        <v>396</v>
      </c>
      <c r="G40" s="556">
        <v>11765</v>
      </c>
      <c r="H40" s="556">
        <v>392</v>
      </c>
      <c r="I40" s="556">
        <v>7113</v>
      </c>
      <c r="J40" s="557">
        <f t="shared" si="5"/>
        <v>2.1312455825585821</v>
      </c>
      <c r="K40" s="557">
        <f t="shared" si="4"/>
        <v>2.6552042077128961</v>
      </c>
      <c r="L40" s="350"/>
      <c r="M40" s="350"/>
    </row>
    <row r="41" spans="1:13" ht="13.5" customHeight="1">
      <c r="B41" s="558"/>
      <c r="C41" s="560" t="s">
        <v>490</v>
      </c>
      <c r="D41" s="556">
        <v>69</v>
      </c>
      <c r="E41" s="556">
        <v>631</v>
      </c>
      <c r="F41" s="556">
        <v>57</v>
      </c>
      <c r="G41" s="556">
        <v>572</v>
      </c>
      <c r="H41" s="556">
        <v>46</v>
      </c>
      <c r="I41" s="556">
        <v>451</v>
      </c>
      <c r="J41" s="557">
        <f t="shared" si="5"/>
        <v>0.25009514489207851</v>
      </c>
      <c r="K41" s="557">
        <f t="shared" si="4"/>
        <v>0.16835331051293631</v>
      </c>
      <c r="L41" s="350"/>
      <c r="M41" s="350"/>
    </row>
    <row r="42" spans="1:13" ht="13.5" customHeight="1">
      <c r="B42" s="558"/>
      <c r="C42" s="560" t="s">
        <v>491</v>
      </c>
      <c r="D42" s="556">
        <v>249</v>
      </c>
      <c r="E42" s="556">
        <v>3369</v>
      </c>
      <c r="F42" s="556">
        <v>282</v>
      </c>
      <c r="G42" s="556">
        <v>3532</v>
      </c>
      <c r="H42" s="556">
        <v>274</v>
      </c>
      <c r="I42" s="556">
        <v>3429</v>
      </c>
      <c r="J42" s="557">
        <f t="shared" si="5"/>
        <v>1.4896971674006414</v>
      </c>
      <c r="K42" s="557">
        <f t="shared" si="4"/>
        <v>1.2800077644098862</v>
      </c>
      <c r="L42" s="350"/>
      <c r="M42" s="350"/>
    </row>
    <row r="43" spans="1:13" ht="13.5" customHeight="1">
      <c r="B43" s="558"/>
      <c r="C43" s="560" t="s">
        <v>492</v>
      </c>
      <c r="D43" s="556">
        <v>1814</v>
      </c>
      <c r="E43" s="556">
        <v>9068</v>
      </c>
      <c r="F43" s="556">
        <v>1708</v>
      </c>
      <c r="G43" s="556">
        <v>9093</v>
      </c>
      <c r="H43" s="556">
        <v>1592</v>
      </c>
      <c r="I43" s="556">
        <v>8230</v>
      </c>
      <c r="J43" s="557">
        <f t="shared" si="5"/>
        <v>8.6554667536562828</v>
      </c>
      <c r="K43" s="557">
        <f t="shared" si="4"/>
        <v>3.0721679501584611</v>
      </c>
      <c r="L43" s="350"/>
      <c r="M43" s="350"/>
    </row>
    <row r="44" spans="1:13" ht="13.5" customHeight="1">
      <c r="B44" s="559"/>
      <c r="C44" s="560" t="s">
        <v>493</v>
      </c>
      <c r="D44" s="556">
        <v>1956</v>
      </c>
      <c r="E44" s="556">
        <v>6812</v>
      </c>
      <c r="F44" s="556">
        <v>1982</v>
      </c>
      <c r="G44" s="556">
        <v>6741</v>
      </c>
      <c r="H44" s="556">
        <v>1941</v>
      </c>
      <c r="I44" s="556">
        <v>6429</v>
      </c>
      <c r="J44" s="557">
        <f t="shared" si="5"/>
        <v>10.55292774425053</v>
      </c>
      <c r="K44" s="557">
        <f t="shared" si="4"/>
        <v>2.3998745749172232</v>
      </c>
      <c r="L44" s="350"/>
      <c r="M44" s="350"/>
    </row>
    <row r="45" spans="1:13" ht="13.5" customHeight="1">
      <c r="B45" s="271"/>
      <c r="C45" s="560" t="s">
        <v>494</v>
      </c>
      <c r="D45" s="556">
        <v>121</v>
      </c>
      <c r="E45" s="556">
        <v>853</v>
      </c>
      <c r="F45" s="556">
        <v>131</v>
      </c>
      <c r="G45" s="556">
        <v>1144</v>
      </c>
      <c r="H45" s="556">
        <v>124</v>
      </c>
      <c r="I45" s="556">
        <v>1027</v>
      </c>
      <c r="J45" s="557">
        <f t="shared" si="5"/>
        <v>0.67416952101342897</v>
      </c>
      <c r="K45" s="557">
        <f t="shared" si="4"/>
        <v>0.38336773813034503</v>
      </c>
      <c r="L45" s="350"/>
      <c r="M45" s="350"/>
    </row>
    <row r="46" spans="1:13" ht="13.5" customHeight="1"/>
    <row r="47" spans="1:13" ht="13.5" customHeight="1">
      <c r="B47" s="366" t="s">
        <v>628</v>
      </c>
      <c r="C47" s="366"/>
      <c r="D47" s="366"/>
      <c r="E47" s="366"/>
      <c r="F47" s="366"/>
      <c r="G47" s="366"/>
      <c r="H47" s="354"/>
      <c r="I47" s="354"/>
    </row>
    <row r="48" spans="1:13" s="44" customFormat="1" ht="13.5" customHeight="1">
      <c r="B48" s="365" t="s">
        <v>580</v>
      </c>
      <c r="C48" s="365"/>
      <c r="D48" s="367"/>
      <c r="E48" s="366"/>
      <c r="F48" s="367"/>
      <c r="G48" s="366"/>
      <c r="H48" s="354"/>
      <c r="I48" s="354"/>
    </row>
    <row r="49" spans="1:9" s="44" customFormat="1" ht="13.5" customHeight="1">
      <c r="B49" s="365" t="s">
        <v>581</v>
      </c>
      <c r="C49" s="365"/>
      <c r="D49" s="367"/>
      <c r="E49" s="366"/>
      <c r="F49" s="367"/>
      <c r="G49" s="366"/>
      <c r="H49" s="354"/>
      <c r="I49" s="354"/>
    </row>
    <row r="50" spans="1:9" s="44" customFormat="1" ht="13.5" customHeight="1">
      <c r="B50" s="365" t="s">
        <v>582</v>
      </c>
      <c r="C50" s="365"/>
      <c r="D50" s="367"/>
      <c r="E50" s="366"/>
      <c r="F50" s="367"/>
      <c r="G50" s="366"/>
      <c r="H50" s="354"/>
      <c r="I50" s="354"/>
    </row>
    <row r="51" spans="1:9" s="44" customFormat="1" ht="13.5" customHeight="1">
      <c r="B51" s="365" t="s">
        <v>583</v>
      </c>
      <c r="C51" s="365"/>
      <c r="D51" s="367"/>
      <c r="E51" s="366"/>
      <c r="F51" s="367"/>
      <c r="G51" s="366"/>
      <c r="H51" s="354"/>
      <c r="I51" s="354"/>
    </row>
    <row r="52" spans="1:9" s="44" customFormat="1" ht="13.5" customHeight="1">
      <c r="B52" s="365" t="s">
        <v>584</v>
      </c>
      <c r="C52" s="365"/>
      <c r="D52" s="367"/>
      <c r="E52" s="366"/>
      <c r="F52" s="367"/>
      <c r="G52" s="366"/>
      <c r="H52" s="354"/>
      <c r="I52" s="354"/>
    </row>
    <row r="53" spans="1:9" s="44" customFormat="1" ht="13.5" customHeight="1">
      <c r="A53" s="44" t="s">
        <v>585</v>
      </c>
      <c r="B53" s="365" t="s">
        <v>586</v>
      </c>
      <c r="C53" s="365"/>
      <c r="D53" s="367"/>
      <c r="E53" s="366"/>
      <c r="F53" s="367"/>
      <c r="G53" s="366"/>
      <c r="H53" s="354"/>
      <c r="I53" s="354"/>
    </row>
    <row r="54" spans="1:9" s="44" customFormat="1" ht="13.5" customHeight="1">
      <c r="B54" s="365" t="s">
        <v>587</v>
      </c>
      <c r="C54" s="368"/>
      <c r="D54" s="367"/>
      <c r="E54" s="366"/>
      <c r="F54" s="367"/>
      <c r="G54" s="366"/>
      <c r="H54" s="354"/>
      <c r="I54" s="354"/>
    </row>
    <row r="55" spans="1:9">
      <c r="B55" s="366" t="s">
        <v>722</v>
      </c>
      <c r="C55" s="367"/>
      <c r="D55" s="367"/>
      <c r="E55" s="366"/>
      <c r="F55" s="367"/>
      <c r="G55" s="366"/>
      <c r="H55" s="354"/>
      <c r="I55" s="354"/>
    </row>
    <row r="56" spans="1:9">
      <c r="B56" s="366"/>
      <c r="C56" s="367"/>
      <c r="D56" s="367"/>
      <c r="E56" s="366"/>
      <c r="F56" s="367"/>
      <c r="G56" s="366"/>
      <c r="H56" s="354"/>
      <c r="I56" s="354"/>
    </row>
    <row r="57" spans="1:9">
      <c r="C57" s="27"/>
      <c r="D57" s="27"/>
      <c r="F57" s="27"/>
    </row>
    <row r="58" spans="1:9">
      <c r="C58" s="27"/>
      <c r="D58" s="27"/>
      <c r="F58" s="27"/>
    </row>
    <row r="59" spans="1:9">
      <c r="C59" s="27"/>
      <c r="D59" s="27"/>
      <c r="F59" s="27"/>
    </row>
    <row r="60" spans="1:9">
      <c r="C60" s="27"/>
      <c r="D60" s="27"/>
      <c r="F60" s="27"/>
    </row>
    <row r="61" spans="1:9">
      <c r="C61" s="27"/>
      <c r="D61" s="27"/>
      <c r="F61" s="27"/>
    </row>
    <row r="62" spans="1:9">
      <c r="D62" s="27"/>
      <c r="F62" s="27"/>
    </row>
    <row r="63" spans="1:9">
      <c r="D63" s="27"/>
      <c r="F63" s="27"/>
    </row>
    <row r="64" spans="1:9">
      <c r="D64" s="27"/>
      <c r="F64" s="27"/>
    </row>
    <row r="65" spans="4:6">
      <c r="D65" s="27"/>
      <c r="F65" s="27"/>
    </row>
  </sheetData>
  <mergeCells count="4">
    <mergeCell ref="D4:E4"/>
    <mergeCell ref="F4:G4"/>
    <mergeCell ref="H4:I4"/>
    <mergeCell ref="J4:K4"/>
  </mergeCells>
  <phoneticPr fontId="8"/>
  <pageMargins left="0.74803149606299213" right="0" top="0.3543307086614173" bottom="0.15748031496062992" header="0.31496062992125984" footer="0.31496062992125984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zoomScaleNormal="100" workbookViewId="0"/>
  </sheetViews>
  <sheetFormatPr defaultRowHeight="13.5"/>
  <cols>
    <col min="1" max="1" width="1.625" style="148" customWidth="1"/>
    <col min="2" max="2" width="2.125" style="148" customWidth="1"/>
    <col min="3" max="3" width="15.25" style="148" customWidth="1"/>
    <col min="4" max="4" width="7.625" style="148" customWidth="1"/>
    <col min="5" max="5" width="6.375" style="148" bestFit="1" customWidth="1"/>
    <col min="6" max="6" width="7.25" style="148" customWidth="1"/>
    <col min="7" max="7" width="6.375" style="148" bestFit="1" customWidth="1"/>
    <col min="8" max="8" width="6" style="148" customWidth="1"/>
    <col min="9" max="9" width="6.375" style="148" bestFit="1" customWidth="1"/>
    <col min="10" max="10" width="7" style="148" customWidth="1"/>
    <col min="11" max="11" width="6.375" style="148" bestFit="1" customWidth="1"/>
    <col min="12" max="12" width="8" style="148" customWidth="1"/>
    <col min="13" max="13" width="6.625" style="148" customWidth="1"/>
    <col min="14" max="14" width="1.625" style="281" customWidth="1"/>
    <col min="15" max="15" width="1.625" style="136" customWidth="1"/>
    <col min="16" max="16384" width="9" style="148"/>
  </cols>
  <sheetData>
    <row r="1" spans="1:24" s="41" customFormat="1" ht="14.25">
      <c r="A1" s="40" t="s">
        <v>589</v>
      </c>
      <c r="D1" s="40"/>
      <c r="E1" s="40"/>
      <c r="F1" s="40"/>
      <c r="G1" s="40"/>
      <c r="H1" s="40"/>
      <c r="I1" s="40"/>
      <c r="J1" s="40"/>
      <c r="K1" s="40"/>
      <c r="N1" s="117"/>
      <c r="O1" s="42"/>
    </row>
    <row r="2" spans="1:24" s="41" customFormat="1" ht="13.5" customHeight="1">
      <c r="A2" s="40"/>
      <c r="D2" s="40"/>
      <c r="E2" s="40"/>
      <c r="F2" s="40"/>
      <c r="G2" s="40"/>
      <c r="H2" s="40"/>
      <c r="I2" s="40"/>
      <c r="N2" s="117"/>
      <c r="O2" s="294"/>
      <c r="P2" s="40"/>
    </row>
    <row r="3" spans="1:24">
      <c r="C3" s="147"/>
      <c r="D3" s="280"/>
      <c r="F3" s="280"/>
      <c r="J3" s="280"/>
      <c r="L3" s="44"/>
      <c r="M3" s="67" t="s">
        <v>495</v>
      </c>
      <c r="O3" s="295"/>
    </row>
    <row r="4" spans="1:24" ht="42.75" customHeight="1">
      <c r="B4" s="693"/>
      <c r="C4" s="694"/>
      <c r="D4" s="690" t="s">
        <v>496</v>
      </c>
      <c r="E4" s="689"/>
      <c r="F4" s="697" t="s">
        <v>497</v>
      </c>
      <c r="G4" s="698"/>
      <c r="H4" s="699" t="s">
        <v>498</v>
      </c>
      <c r="I4" s="700"/>
      <c r="J4" s="690" t="s">
        <v>464</v>
      </c>
      <c r="K4" s="689"/>
      <c r="L4" s="690" t="s">
        <v>499</v>
      </c>
      <c r="M4" s="689"/>
    </row>
    <row r="5" spans="1:24">
      <c r="B5" s="695"/>
      <c r="C5" s="696"/>
      <c r="D5" s="282"/>
      <c r="E5" s="283" t="s">
        <v>500</v>
      </c>
      <c r="F5" s="282"/>
      <c r="G5" s="283" t="s">
        <v>500</v>
      </c>
      <c r="H5" s="282"/>
      <c r="I5" s="283" t="s">
        <v>500</v>
      </c>
      <c r="J5" s="282"/>
      <c r="K5" s="283" t="s">
        <v>500</v>
      </c>
      <c r="L5" s="282"/>
      <c r="M5" s="283" t="s">
        <v>500</v>
      </c>
      <c r="P5" s="284"/>
      <c r="Q5" s="284"/>
      <c r="R5" s="284"/>
      <c r="S5" s="284"/>
      <c r="T5" s="284"/>
      <c r="U5" s="284"/>
    </row>
    <row r="6" spans="1:24" ht="15" customHeight="1">
      <c r="B6" s="701" t="s">
        <v>501</v>
      </c>
      <c r="C6" s="701"/>
      <c r="D6" s="285">
        <v>84085</v>
      </c>
      <c r="E6" s="286">
        <v>100</v>
      </c>
      <c r="F6" s="285">
        <v>17334</v>
      </c>
      <c r="G6" s="286">
        <v>100</v>
      </c>
      <c r="H6" s="285">
        <v>5610</v>
      </c>
      <c r="I6" s="286">
        <v>100</v>
      </c>
      <c r="J6" s="285">
        <v>46667</v>
      </c>
      <c r="K6" s="286">
        <v>100</v>
      </c>
      <c r="L6" s="285">
        <v>175378</v>
      </c>
      <c r="M6" s="286">
        <v>100</v>
      </c>
      <c r="O6" s="296"/>
      <c r="X6" s="287"/>
    </row>
    <row r="7" spans="1:24" ht="15" customHeight="1">
      <c r="B7" s="691" t="s">
        <v>502</v>
      </c>
      <c r="C7" s="692"/>
      <c r="D7" s="285">
        <v>70037</v>
      </c>
      <c r="E7" s="286">
        <v>83.293096271629892</v>
      </c>
      <c r="F7" s="285">
        <v>15462</v>
      </c>
      <c r="G7" s="286">
        <v>89.200415368639668</v>
      </c>
      <c r="H7" s="285">
        <v>5031</v>
      </c>
      <c r="I7" s="286">
        <v>89.679144385026746</v>
      </c>
      <c r="J7" s="285">
        <v>38657</v>
      </c>
      <c r="K7" s="286">
        <v>82.835836886879378</v>
      </c>
      <c r="L7" s="285">
        <v>139377</v>
      </c>
      <c r="M7" s="286">
        <v>79.472339746148322</v>
      </c>
      <c r="N7" s="288"/>
      <c r="O7" s="296"/>
    </row>
    <row r="8" spans="1:24" ht="15" customHeight="1">
      <c r="B8" s="289"/>
      <c r="C8" s="290" t="s">
        <v>350</v>
      </c>
      <c r="D8" s="285">
        <v>25968</v>
      </c>
      <c r="E8" s="286">
        <v>30.883035024082773</v>
      </c>
      <c r="F8" s="285">
        <v>7893</v>
      </c>
      <c r="G8" s="286">
        <v>45.534787123572166</v>
      </c>
      <c r="H8" s="285">
        <v>3055</v>
      </c>
      <c r="I8" s="286">
        <v>54.456327985739748</v>
      </c>
      <c r="J8" s="285">
        <v>14851</v>
      </c>
      <c r="K8" s="286">
        <v>31.823344118970581</v>
      </c>
      <c r="L8" s="285">
        <v>47373</v>
      </c>
      <c r="M8" s="286">
        <v>27.011939924049766</v>
      </c>
      <c r="N8" s="288"/>
      <c r="O8" s="296"/>
    </row>
    <row r="9" spans="1:24" ht="15" customHeight="1">
      <c r="B9" s="289"/>
      <c r="C9" s="290" t="s">
        <v>356</v>
      </c>
      <c r="D9" s="285">
        <v>2352</v>
      </c>
      <c r="E9" s="286">
        <v>2.797169530831896</v>
      </c>
      <c r="F9" s="285">
        <v>603</v>
      </c>
      <c r="G9" s="286">
        <v>3.47871235721703</v>
      </c>
      <c r="H9" s="285">
        <v>16</v>
      </c>
      <c r="I9" s="286">
        <v>0.28520499108734404</v>
      </c>
      <c r="J9" s="285">
        <v>631</v>
      </c>
      <c r="K9" s="286">
        <v>1.3521331990485783</v>
      </c>
      <c r="L9" s="285">
        <v>3726</v>
      </c>
      <c r="M9" s="286">
        <v>2.1245538208897354</v>
      </c>
      <c r="N9" s="288"/>
      <c r="O9" s="296"/>
    </row>
    <row r="10" spans="1:24" ht="15" customHeight="1">
      <c r="B10" s="289"/>
      <c r="C10" s="290" t="s">
        <v>352</v>
      </c>
      <c r="D10" s="285">
        <v>28304</v>
      </c>
      <c r="E10" s="286">
        <v>33.661176190759349</v>
      </c>
      <c r="F10" s="285">
        <v>4033</v>
      </c>
      <c r="G10" s="286">
        <v>23.266412830275758</v>
      </c>
      <c r="H10" s="285">
        <v>1479</v>
      </c>
      <c r="I10" s="286">
        <v>26.36363636363636</v>
      </c>
      <c r="J10" s="285">
        <v>17840</v>
      </c>
      <c r="K10" s="286">
        <v>38.228298369297363</v>
      </c>
      <c r="L10" s="285">
        <v>62535</v>
      </c>
      <c r="M10" s="286">
        <v>35.657266019683199</v>
      </c>
      <c r="N10" s="288"/>
      <c r="O10" s="296"/>
    </row>
    <row r="11" spans="1:24" ht="15" customHeight="1">
      <c r="B11" s="289"/>
      <c r="C11" s="290" t="s">
        <v>358</v>
      </c>
      <c r="D11" s="285">
        <v>11682</v>
      </c>
      <c r="E11" s="286">
        <v>13.893084378902302</v>
      </c>
      <c r="F11" s="285">
        <v>1432</v>
      </c>
      <c r="G11" s="286">
        <v>8.2612207222799121</v>
      </c>
      <c r="H11" s="285">
        <v>430</v>
      </c>
      <c r="I11" s="286">
        <v>7.66488413547237</v>
      </c>
      <c r="J11" s="285">
        <v>3242</v>
      </c>
      <c r="K11" s="286">
        <v>6.947093235048321</v>
      </c>
      <c r="L11" s="285">
        <v>14347</v>
      </c>
      <c r="M11" s="286">
        <v>8.1806155846229291</v>
      </c>
      <c r="N11" s="288"/>
      <c r="O11" s="296"/>
    </row>
    <row r="12" spans="1:24" ht="15" customHeight="1">
      <c r="B12" s="289"/>
      <c r="C12" s="290" t="s">
        <v>354</v>
      </c>
      <c r="D12" s="285">
        <v>274</v>
      </c>
      <c r="E12" s="286">
        <v>0.32586073615983824</v>
      </c>
      <c r="F12" s="285">
        <v>433</v>
      </c>
      <c r="G12" s="286">
        <v>2.497980846890504</v>
      </c>
      <c r="H12" s="285">
        <v>11</v>
      </c>
      <c r="I12" s="286">
        <v>0.19607843137254902</v>
      </c>
      <c r="J12" s="285">
        <v>1400</v>
      </c>
      <c r="K12" s="286">
        <v>2.9999785715816318</v>
      </c>
      <c r="L12" s="285">
        <v>5085</v>
      </c>
      <c r="M12" s="286">
        <v>2.8994514705379237</v>
      </c>
      <c r="N12" s="288"/>
      <c r="O12" s="296"/>
    </row>
    <row r="13" spans="1:24" ht="15" customHeight="1">
      <c r="B13" s="291"/>
      <c r="C13" s="290" t="s">
        <v>360</v>
      </c>
      <c r="D13" s="285">
        <v>1457</v>
      </c>
      <c r="E13" s="286">
        <v>1.7327704108937385</v>
      </c>
      <c r="F13" s="285">
        <v>1068</v>
      </c>
      <c r="G13" s="286">
        <v>6.161301488404292</v>
      </c>
      <c r="H13" s="285">
        <v>40</v>
      </c>
      <c r="I13" s="286">
        <v>0.71301247771836007</v>
      </c>
      <c r="J13" s="285">
        <v>693</v>
      </c>
      <c r="K13" s="286">
        <v>1.4849893929329077</v>
      </c>
      <c r="L13" s="285">
        <v>6311</v>
      </c>
      <c r="M13" s="286">
        <v>3.5985129263647666</v>
      </c>
      <c r="N13" s="288"/>
      <c r="O13" s="296"/>
    </row>
    <row r="14" spans="1:24" ht="15" customHeight="1">
      <c r="B14" s="691" t="s">
        <v>503</v>
      </c>
      <c r="C14" s="692"/>
      <c r="D14" s="285">
        <v>3179</v>
      </c>
      <c r="E14" s="286">
        <v>3.7806981031099482</v>
      </c>
      <c r="F14" s="285">
        <v>93</v>
      </c>
      <c r="G14" s="286">
        <v>0.53651782623745237</v>
      </c>
      <c r="H14" s="285">
        <v>6</v>
      </c>
      <c r="I14" s="286">
        <v>0.10695187165775401</v>
      </c>
      <c r="J14" s="285">
        <v>946</v>
      </c>
      <c r="K14" s="286">
        <v>2.0271283776544453</v>
      </c>
      <c r="L14" s="285">
        <v>9480</v>
      </c>
      <c r="M14" s="286">
        <v>5.4054670483184895</v>
      </c>
      <c r="N14" s="288"/>
      <c r="O14" s="296"/>
    </row>
    <row r="15" spans="1:24" ht="15" customHeight="1">
      <c r="B15" s="289"/>
      <c r="C15" s="290" t="s">
        <v>371</v>
      </c>
      <c r="D15" s="285">
        <v>786</v>
      </c>
      <c r="E15" s="286">
        <v>0.93476838913004701</v>
      </c>
      <c r="F15" s="285">
        <v>5</v>
      </c>
      <c r="G15" s="286">
        <v>2.8845044421368413E-2</v>
      </c>
      <c r="H15" s="285">
        <v>3</v>
      </c>
      <c r="I15" s="286">
        <v>5.3475935828877004E-2</v>
      </c>
      <c r="J15" s="285">
        <v>72</v>
      </c>
      <c r="K15" s="286">
        <v>0.15428461225276963</v>
      </c>
      <c r="L15" s="285">
        <v>1914</v>
      </c>
      <c r="M15" s="286">
        <v>1.0913569546921507</v>
      </c>
      <c r="N15" s="288"/>
      <c r="O15" s="296"/>
    </row>
    <row r="16" spans="1:24" ht="15" customHeight="1">
      <c r="B16" s="289"/>
      <c r="C16" s="290" t="s">
        <v>373</v>
      </c>
      <c r="D16" s="285">
        <v>1203</v>
      </c>
      <c r="E16" s="286">
        <v>1.430695129928049</v>
      </c>
      <c r="F16" s="285">
        <v>20</v>
      </c>
      <c r="G16" s="286">
        <v>0.11538017768547365</v>
      </c>
      <c r="H16" s="285">
        <v>0</v>
      </c>
      <c r="I16" s="286">
        <v>0</v>
      </c>
      <c r="J16" s="285">
        <v>128</v>
      </c>
      <c r="K16" s="286">
        <v>0.27428375511603487</v>
      </c>
      <c r="L16" s="285">
        <v>2614</v>
      </c>
      <c r="M16" s="286">
        <v>1.4904948169097607</v>
      </c>
      <c r="N16" s="288"/>
      <c r="O16" s="296"/>
    </row>
    <row r="17" spans="2:15" ht="15" customHeight="1">
      <c r="B17" s="289"/>
      <c r="C17" s="290" t="s">
        <v>374</v>
      </c>
      <c r="D17" s="285">
        <v>33</v>
      </c>
      <c r="E17" s="286">
        <v>3.9246001070345482E-2</v>
      </c>
      <c r="F17" s="285">
        <v>10</v>
      </c>
      <c r="G17" s="286">
        <v>5.7690088842736825E-2</v>
      </c>
      <c r="H17" s="285">
        <v>0</v>
      </c>
      <c r="I17" s="286">
        <v>0</v>
      </c>
      <c r="J17" s="285">
        <v>39</v>
      </c>
      <c r="K17" s="286">
        <v>8.3570831636916879E-2</v>
      </c>
      <c r="L17" s="285">
        <v>676</v>
      </c>
      <c r="M17" s="286">
        <v>0.3854531355130062</v>
      </c>
      <c r="N17" s="288"/>
      <c r="O17" s="296"/>
    </row>
    <row r="18" spans="2:15" ht="15" customHeight="1">
      <c r="B18" s="289"/>
      <c r="C18" s="290" t="s">
        <v>369</v>
      </c>
      <c r="D18" s="285">
        <v>410</v>
      </c>
      <c r="E18" s="286">
        <v>0.48760183148004993</v>
      </c>
      <c r="F18" s="285">
        <v>42</v>
      </c>
      <c r="G18" s="286">
        <v>0.24229837313949465</v>
      </c>
      <c r="H18" s="285">
        <v>2</v>
      </c>
      <c r="I18" s="286">
        <v>3.5650623885918005E-2</v>
      </c>
      <c r="J18" s="285">
        <v>157</v>
      </c>
      <c r="K18" s="286">
        <v>0.33642616838451156</v>
      </c>
      <c r="L18" s="285">
        <v>933</v>
      </c>
      <c r="M18" s="286">
        <v>0.53199375064147159</v>
      </c>
      <c r="N18" s="288"/>
      <c r="O18" s="296"/>
    </row>
    <row r="19" spans="2:15" ht="15" customHeight="1">
      <c r="B19" s="289"/>
      <c r="C19" s="290" t="s">
        <v>375</v>
      </c>
      <c r="D19" s="285">
        <v>747</v>
      </c>
      <c r="E19" s="286">
        <v>0.88838675150145696</v>
      </c>
      <c r="F19" s="285">
        <v>16</v>
      </c>
      <c r="G19" s="286">
        <v>9.2304142148378898E-2</v>
      </c>
      <c r="H19" s="285">
        <v>1</v>
      </c>
      <c r="I19" s="286">
        <v>1.7825311942959002E-2</v>
      </c>
      <c r="J19" s="285">
        <v>550</v>
      </c>
      <c r="K19" s="286">
        <v>1.1785630102642124</v>
      </c>
      <c r="L19" s="285">
        <v>3343</v>
      </c>
      <c r="M19" s="286">
        <v>1.9061683905621001</v>
      </c>
      <c r="N19" s="288"/>
      <c r="O19" s="296"/>
    </row>
    <row r="20" spans="2:15" ht="15" customHeight="1">
      <c r="B20" s="691" t="s">
        <v>504</v>
      </c>
      <c r="C20" s="692"/>
      <c r="D20" s="285">
        <v>10191</v>
      </c>
      <c r="E20" s="286">
        <v>12.11987869417851</v>
      </c>
      <c r="F20" s="285">
        <v>1085</v>
      </c>
      <c r="G20" s="286">
        <v>6.2593746394369445</v>
      </c>
      <c r="H20" s="285">
        <v>459</v>
      </c>
      <c r="I20" s="286">
        <v>8.1818181818181817</v>
      </c>
      <c r="J20" s="285">
        <v>4162</v>
      </c>
      <c r="K20" s="286">
        <v>8.9185077249448206</v>
      </c>
      <c r="L20" s="285">
        <v>13911</v>
      </c>
      <c r="M20" s="286">
        <v>7.9320097161559602</v>
      </c>
      <c r="N20" s="288"/>
      <c r="O20" s="296"/>
    </row>
    <row r="21" spans="2:15" ht="15" customHeight="1">
      <c r="B21" s="289"/>
      <c r="C21" s="290" t="s">
        <v>364</v>
      </c>
      <c r="D21" s="285">
        <v>337</v>
      </c>
      <c r="E21" s="286">
        <v>0.40078492002140692</v>
      </c>
      <c r="F21" s="285">
        <v>552</v>
      </c>
      <c r="G21" s="286">
        <v>3.1844929041190726</v>
      </c>
      <c r="H21" s="285">
        <v>34</v>
      </c>
      <c r="I21" s="286">
        <v>0.60606060606060608</v>
      </c>
      <c r="J21" s="285">
        <v>488</v>
      </c>
      <c r="K21" s="286">
        <v>1.0457068163798831</v>
      </c>
      <c r="L21" s="285">
        <v>1678</v>
      </c>
      <c r="M21" s="286">
        <v>0.95679047543021367</v>
      </c>
      <c r="N21" s="288"/>
      <c r="O21" s="296"/>
    </row>
    <row r="22" spans="2:15" ht="15" customHeight="1">
      <c r="B22" s="289"/>
      <c r="C22" s="290" t="s">
        <v>370</v>
      </c>
      <c r="D22" s="285">
        <v>96</v>
      </c>
      <c r="E22" s="286">
        <v>0.11417018493191415</v>
      </c>
      <c r="F22" s="285">
        <v>22</v>
      </c>
      <c r="G22" s="286">
        <v>0.126918195454021</v>
      </c>
      <c r="H22" s="285">
        <v>0</v>
      </c>
      <c r="I22" s="286">
        <v>0</v>
      </c>
      <c r="J22" s="285">
        <v>219</v>
      </c>
      <c r="K22" s="286">
        <v>0.4692823622688409</v>
      </c>
      <c r="L22" s="285">
        <v>384</v>
      </c>
      <c r="M22" s="286">
        <v>0.21895562727366033</v>
      </c>
      <c r="N22" s="288"/>
      <c r="O22" s="296"/>
    </row>
    <row r="23" spans="2:15" ht="15" customHeight="1">
      <c r="B23" s="289"/>
      <c r="C23" s="290" t="s">
        <v>368</v>
      </c>
      <c r="D23" s="285">
        <v>310</v>
      </c>
      <c r="E23" s="286">
        <v>0.36867455550930606</v>
      </c>
      <c r="F23" s="285">
        <v>76</v>
      </c>
      <c r="G23" s="286">
        <v>0.43844467520479979</v>
      </c>
      <c r="H23" s="285">
        <v>18</v>
      </c>
      <c r="I23" s="286">
        <v>0.32085561497326204</v>
      </c>
      <c r="J23" s="285">
        <v>254</v>
      </c>
      <c r="K23" s="286">
        <v>0.54428182655838175</v>
      </c>
      <c r="L23" s="285">
        <v>1438</v>
      </c>
      <c r="M23" s="286">
        <v>0.819943208384176</v>
      </c>
      <c r="N23" s="288"/>
      <c r="O23" s="296"/>
    </row>
    <row r="24" spans="2:15" ht="15" customHeight="1">
      <c r="B24" s="289"/>
      <c r="C24" s="290" t="s">
        <v>366</v>
      </c>
      <c r="D24" s="285">
        <v>9439</v>
      </c>
      <c r="E24" s="286">
        <v>11.225545578878515</v>
      </c>
      <c r="F24" s="285">
        <v>428</v>
      </c>
      <c r="G24" s="286">
        <v>2.4691358024691357</v>
      </c>
      <c r="H24" s="285">
        <v>400</v>
      </c>
      <c r="I24" s="286">
        <v>7.1301247771836014</v>
      </c>
      <c r="J24" s="285">
        <v>3144</v>
      </c>
      <c r="K24" s="286">
        <v>6.7370947350376058</v>
      </c>
      <c r="L24" s="285">
        <v>9421</v>
      </c>
      <c r="M24" s="286">
        <v>5.3718254285030049</v>
      </c>
      <c r="N24" s="288"/>
      <c r="O24" s="296"/>
    </row>
    <row r="25" spans="2:15" ht="15" customHeight="1">
      <c r="B25" s="289"/>
      <c r="C25" s="290" t="s">
        <v>372</v>
      </c>
      <c r="D25" s="285">
        <v>9</v>
      </c>
      <c r="E25" s="286">
        <v>1.0703454837366951E-2</v>
      </c>
      <c r="F25" s="285">
        <v>7</v>
      </c>
      <c r="G25" s="286">
        <v>4.0383062189915768E-2</v>
      </c>
      <c r="H25" s="285">
        <v>7</v>
      </c>
      <c r="I25" s="286">
        <v>0.12477718360071302</v>
      </c>
      <c r="J25" s="285">
        <v>57</v>
      </c>
      <c r="K25" s="286">
        <v>0.12214198470010929</v>
      </c>
      <c r="L25" s="285">
        <v>990</v>
      </c>
      <c r="M25" s="286">
        <v>0.56449497656490555</v>
      </c>
      <c r="N25" s="288"/>
      <c r="O25" s="296"/>
    </row>
    <row r="26" spans="2:15" ht="15" customHeight="1">
      <c r="B26" s="691" t="s">
        <v>505</v>
      </c>
      <c r="C26" s="692"/>
      <c r="D26" s="285">
        <v>389</v>
      </c>
      <c r="E26" s="286">
        <v>0.46262710352619368</v>
      </c>
      <c r="F26" s="285">
        <v>387</v>
      </c>
      <c r="G26" s="286">
        <v>2.232606438213915</v>
      </c>
      <c r="H26" s="285">
        <v>9</v>
      </c>
      <c r="I26" s="286">
        <v>0.16042780748663102</v>
      </c>
      <c r="J26" s="285">
        <v>1326</v>
      </c>
      <c r="K26" s="286">
        <v>2.8414082756551737</v>
      </c>
      <c r="L26" s="285">
        <v>5559</v>
      </c>
      <c r="M26" s="286">
        <v>3.1697248229538482</v>
      </c>
      <c r="N26" s="288"/>
      <c r="O26" s="296"/>
    </row>
    <row r="27" spans="2:15" ht="15" customHeight="1">
      <c r="B27" s="289"/>
      <c r="C27" s="290" t="s">
        <v>349</v>
      </c>
      <c r="D27" s="285">
        <v>165</v>
      </c>
      <c r="E27" s="286">
        <v>0.19623000535172741</v>
      </c>
      <c r="F27" s="285">
        <v>80</v>
      </c>
      <c r="G27" s="286">
        <v>0.4615207107418946</v>
      </c>
      <c r="H27" s="285">
        <v>2</v>
      </c>
      <c r="I27" s="286">
        <v>3.5650623885918005E-2</v>
      </c>
      <c r="J27" s="285">
        <v>388</v>
      </c>
      <c r="K27" s="286">
        <v>0.83142263269548078</v>
      </c>
      <c r="L27" s="285">
        <v>1245</v>
      </c>
      <c r="M27" s="286">
        <v>0.7098951978013206</v>
      </c>
      <c r="N27" s="288"/>
      <c r="O27" s="296"/>
    </row>
    <row r="28" spans="2:15" ht="15" customHeight="1">
      <c r="B28" s="289"/>
      <c r="C28" s="290" t="s">
        <v>351</v>
      </c>
      <c r="D28" s="285">
        <v>114</v>
      </c>
      <c r="E28" s="286">
        <v>0.13557709460664805</v>
      </c>
      <c r="F28" s="285">
        <v>269</v>
      </c>
      <c r="G28" s="286">
        <v>1.5518633898696206</v>
      </c>
      <c r="H28" s="285">
        <v>4</v>
      </c>
      <c r="I28" s="286">
        <v>7.130124777183601E-2</v>
      </c>
      <c r="J28" s="285">
        <v>411</v>
      </c>
      <c r="K28" s="286">
        <v>0.8807079949428932</v>
      </c>
      <c r="L28" s="285">
        <v>3180</v>
      </c>
      <c r="M28" s="286">
        <v>1.8132262883599994</v>
      </c>
      <c r="N28" s="288"/>
      <c r="O28" s="296"/>
    </row>
    <row r="29" spans="2:15" ht="15" customHeight="1">
      <c r="B29" s="289"/>
      <c r="C29" s="290" t="s">
        <v>353</v>
      </c>
      <c r="D29" s="285">
        <v>59</v>
      </c>
      <c r="E29" s="286">
        <v>7.0167092822738905E-2</v>
      </c>
      <c r="F29" s="285">
        <v>27</v>
      </c>
      <c r="G29" s="286">
        <v>0.1557632398753894</v>
      </c>
      <c r="H29" s="285">
        <v>3</v>
      </c>
      <c r="I29" s="286">
        <v>5.3475935828877004E-2</v>
      </c>
      <c r="J29" s="285">
        <v>183</v>
      </c>
      <c r="K29" s="286">
        <v>0.39214005614245617</v>
      </c>
      <c r="L29" s="285">
        <v>282</v>
      </c>
      <c r="M29" s="286">
        <v>0.1607955387790943</v>
      </c>
      <c r="N29" s="288"/>
      <c r="O29" s="296"/>
    </row>
    <row r="30" spans="2:15" ht="15" customHeight="1">
      <c r="B30" s="289"/>
      <c r="C30" s="290" t="s">
        <v>355</v>
      </c>
      <c r="D30" s="285">
        <v>51</v>
      </c>
      <c r="E30" s="286">
        <v>6.0652910745079391E-2</v>
      </c>
      <c r="F30" s="285">
        <v>11</v>
      </c>
      <c r="G30" s="286">
        <v>6.3459097727010499E-2</v>
      </c>
      <c r="H30" s="285">
        <v>0</v>
      </c>
      <c r="I30" s="286">
        <v>0</v>
      </c>
      <c r="J30" s="285">
        <v>344</v>
      </c>
      <c r="K30" s="286">
        <v>0.7371375918743438</v>
      </c>
      <c r="L30" s="285">
        <v>852</v>
      </c>
      <c r="M30" s="286">
        <v>0.48580779801343382</v>
      </c>
      <c r="N30" s="288"/>
      <c r="O30" s="296"/>
    </row>
    <row r="31" spans="2:15" ht="15" customHeight="1">
      <c r="B31" s="691" t="s">
        <v>506</v>
      </c>
      <c r="C31" s="692"/>
      <c r="D31" s="285">
        <v>289</v>
      </c>
      <c r="E31" s="286">
        <v>0.34369982755544987</v>
      </c>
      <c r="F31" s="285">
        <v>307</v>
      </c>
      <c r="G31" s="286">
        <v>1.7710857274720202</v>
      </c>
      <c r="H31" s="285">
        <v>105</v>
      </c>
      <c r="I31" s="286">
        <v>1.8716577540106951</v>
      </c>
      <c r="J31" s="285">
        <v>1576</v>
      </c>
      <c r="K31" s="286">
        <v>3.3771187348661793</v>
      </c>
      <c r="L31" s="285">
        <v>7051</v>
      </c>
      <c r="M31" s="286">
        <v>4.0204586664233828</v>
      </c>
      <c r="N31" s="288"/>
      <c r="O31" s="296"/>
    </row>
    <row r="32" spans="2:15" ht="15" customHeight="1">
      <c r="B32" s="289"/>
      <c r="C32" s="290" t="s">
        <v>359</v>
      </c>
      <c r="D32" s="285">
        <v>126</v>
      </c>
      <c r="E32" s="286">
        <v>0.14984836772313731</v>
      </c>
      <c r="F32" s="285">
        <v>43</v>
      </c>
      <c r="G32" s="286">
        <v>0.2480673820237683</v>
      </c>
      <c r="H32" s="285">
        <v>35</v>
      </c>
      <c r="I32" s="286">
        <v>0.62388591800356508</v>
      </c>
      <c r="J32" s="285">
        <v>812</v>
      </c>
      <c r="K32" s="286">
        <v>1.7399875715173465</v>
      </c>
      <c r="L32" s="285">
        <v>2729</v>
      </c>
      <c r="M32" s="286">
        <v>1.5560674657026536</v>
      </c>
      <c r="N32" s="288"/>
      <c r="O32" s="296"/>
    </row>
    <row r="33" spans="2:25" ht="15" customHeight="1">
      <c r="B33" s="289"/>
      <c r="C33" s="290" t="s">
        <v>361</v>
      </c>
      <c r="D33" s="285">
        <v>110</v>
      </c>
      <c r="E33" s="286">
        <v>0.13082000356781828</v>
      </c>
      <c r="F33" s="285">
        <v>168</v>
      </c>
      <c r="G33" s="286">
        <v>0.9691934925579786</v>
      </c>
      <c r="H33" s="285">
        <v>63</v>
      </c>
      <c r="I33" s="286">
        <v>1.1229946524064172</v>
      </c>
      <c r="J33" s="285">
        <v>303</v>
      </c>
      <c r="K33" s="286">
        <v>0.6492810765637389</v>
      </c>
      <c r="L33" s="285">
        <v>1111</v>
      </c>
      <c r="M33" s="286">
        <v>0.6334888070339495</v>
      </c>
      <c r="N33" s="288"/>
      <c r="O33" s="296"/>
    </row>
    <row r="34" spans="2:25" ht="15" customHeight="1">
      <c r="B34" s="289"/>
      <c r="C34" s="290" t="s">
        <v>363</v>
      </c>
      <c r="D34" s="285">
        <v>40</v>
      </c>
      <c r="E34" s="286">
        <v>4.7570910388297555E-2</v>
      </c>
      <c r="F34" s="285">
        <v>50</v>
      </c>
      <c r="G34" s="286">
        <v>0.2884504442136841</v>
      </c>
      <c r="H34" s="285">
        <v>7</v>
      </c>
      <c r="I34" s="286">
        <v>0.12477718360071302</v>
      </c>
      <c r="J34" s="285">
        <v>346</v>
      </c>
      <c r="K34" s="286">
        <v>0.74142327554803178</v>
      </c>
      <c r="L34" s="285">
        <v>809</v>
      </c>
      <c r="M34" s="286">
        <v>0.46128932933435213</v>
      </c>
      <c r="N34" s="288"/>
      <c r="O34" s="296"/>
    </row>
    <row r="35" spans="2:25" ht="15" customHeight="1">
      <c r="B35" s="291"/>
      <c r="C35" s="290" t="s">
        <v>365</v>
      </c>
      <c r="D35" s="285">
        <v>13</v>
      </c>
      <c r="E35" s="286">
        <v>1.5460545876196706E-2</v>
      </c>
      <c r="F35" s="285">
        <v>46</v>
      </c>
      <c r="G35" s="286">
        <v>0.26537440867658935</v>
      </c>
      <c r="H35" s="285">
        <v>0</v>
      </c>
      <c r="I35" s="286">
        <v>0</v>
      </c>
      <c r="J35" s="285">
        <v>115</v>
      </c>
      <c r="K35" s="286">
        <v>0.24642681123706259</v>
      </c>
      <c r="L35" s="285">
        <v>2402</v>
      </c>
      <c r="M35" s="286">
        <v>1.3696130643524274</v>
      </c>
      <c r="N35" s="288"/>
      <c r="O35" s="296"/>
    </row>
    <row r="36" spans="2:25" ht="6.75" customHeight="1"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3"/>
      <c r="O36" s="297"/>
      <c r="P36" s="292"/>
      <c r="Q36" s="292"/>
      <c r="R36" s="292"/>
      <c r="S36" s="292"/>
      <c r="T36" s="292"/>
      <c r="U36" s="292"/>
      <c r="V36" s="292"/>
      <c r="W36" s="292"/>
      <c r="X36" s="292"/>
      <c r="Y36" s="292"/>
    </row>
    <row r="37" spans="2:25" s="44" customFormat="1" ht="13.5" customHeight="1">
      <c r="B37" s="365" t="s">
        <v>723</v>
      </c>
      <c r="C37" s="365"/>
      <c r="D37" s="365"/>
      <c r="E37" s="365"/>
      <c r="F37" s="365"/>
      <c r="N37" s="46"/>
      <c r="O37" s="21"/>
    </row>
    <row r="38" spans="2:25" s="44" customFormat="1" ht="13.5" customHeight="1">
      <c r="B38" s="365" t="s">
        <v>724</v>
      </c>
      <c r="C38" s="365"/>
      <c r="D38" s="365"/>
      <c r="E38" s="365"/>
      <c r="F38" s="365"/>
      <c r="N38" s="46"/>
      <c r="O38" s="21"/>
    </row>
    <row r="39" spans="2:25" s="44" customFormat="1" ht="13.5" customHeight="1">
      <c r="B39" s="365" t="s">
        <v>725</v>
      </c>
      <c r="C39" s="365"/>
      <c r="D39" s="365"/>
      <c r="E39" s="365"/>
      <c r="F39" s="365"/>
      <c r="N39" s="46"/>
      <c r="O39" s="21"/>
    </row>
    <row r="40" spans="2:25" s="44" customFormat="1" ht="13.5" customHeight="1">
      <c r="B40" s="365" t="s">
        <v>726</v>
      </c>
      <c r="C40" s="365"/>
      <c r="D40" s="365"/>
      <c r="E40" s="365"/>
      <c r="F40" s="365"/>
      <c r="N40" s="46"/>
      <c r="O40" s="21"/>
    </row>
    <row r="41" spans="2:25" s="44" customFormat="1" ht="13.5" customHeight="1">
      <c r="B41" s="365" t="s">
        <v>507</v>
      </c>
      <c r="C41" s="365"/>
      <c r="D41" s="365"/>
      <c r="E41" s="365"/>
      <c r="F41" s="365"/>
      <c r="N41" s="46"/>
      <c r="O41" s="21"/>
    </row>
    <row r="42" spans="2:25" s="44" customFormat="1" ht="13.5" customHeight="1">
      <c r="N42" s="46"/>
      <c r="O42" s="21"/>
    </row>
    <row r="44" spans="2:25">
      <c r="O44" s="137"/>
      <c r="P44" s="287"/>
    </row>
  </sheetData>
  <mergeCells count="12">
    <mergeCell ref="J4:K4"/>
    <mergeCell ref="L4:M4"/>
    <mergeCell ref="B31:C31"/>
    <mergeCell ref="B4:C5"/>
    <mergeCell ref="D4:E4"/>
    <mergeCell ref="F4:G4"/>
    <mergeCell ref="H4:I4"/>
    <mergeCell ref="B6:C6"/>
    <mergeCell ref="B7:C7"/>
    <mergeCell ref="B14:C14"/>
    <mergeCell ref="B20:C20"/>
    <mergeCell ref="B26:C26"/>
  </mergeCells>
  <phoneticPr fontId="8"/>
  <pageMargins left="0.74803149606299213" right="0" top="0.3543307086614173" bottom="0.15748031496062992" header="0.31496062992125984" footer="0.31496062992125984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zoomScaleNormal="100" workbookViewId="0"/>
  </sheetViews>
  <sheetFormatPr defaultRowHeight="12"/>
  <cols>
    <col min="1" max="3" width="1.625" style="298" customWidth="1"/>
    <col min="4" max="4" width="28.75" style="298" customWidth="1"/>
    <col min="5" max="5" width="7.125" style="298" customWidth="1"/>
    <col min="6" max="6" width="7.125" style="298" bestFit="1" customWidth="1"/>
    <col min="7" max="10" width="7.125" style="298" customWidth="1"/>
    <col min="11" max="12" width="1.625" style="298" customWidth="1"/>
    <col min="13" max="16384" width="9" style="298"/>
  </cols>
  <sheetData>
    <row r="1" spans="1:15" s="41" customFormat="1" ht="14.25">
      <c r="A1" s="40" t="s">
        <v>508</v>
      </c>
      <c r="B1" s="40"/>
      <c r="C1" s="40"/>
      <c r="D1" s="43"/>
    </row>
    <row r="2" spans="1:15" s="41" customFormat="1" ht="13.5" customHeight="1">
      <c r="A2" s="40"/>
      <c r="B2" s="40"/>
      <c r="C2" s="40"/>
      <c r="D2" s="43"/>
    </row>
    <row r="3" spans="1:15" ht="13.5" customHeight="1">
      <c r="B3" s="299"/>
      <c r="H3" s="300"/>
      <c r="J3" s="300" t="s">
        <v>509</v>
      </c>
      <c r="K3" s="301"/>
      <c r="L3" s="301"/>
      <c r="M3" s="301"/>
      <c r="N3" s="301"/>
      <c r="O3" s="301"/>
    </row>
    <row r="4" spans="1:15" s="302" customFormat="1" ht="13.5" customHeight="1">
      <c r="B4" s="303"/>
      <c r="C4" s="304"/>
      <c r="D4" s="305"/>
      <c r="E4" s="704"/>
      <c r="F4" s="704"/>
      <c r="G4" s="704"/>
      <c r="H4" s="704"/>
      <c r="I4" s="704"/>
      <c r="J4" s="704"/>
      <c r="K4" s="306"/>
      <c r="L4" s="306"/>
      <c r="M4" s="306"/>
      <c r="N4" s="306"/>
      <c r="O4" s="306"/>
    </row>
    <row r="5" spans="1:15" s="302" customFormat="1">
      <c r="B5" s="307"/>
      <c r="C5" s="306"/>
      <c r="D5" s="306"/>
      <c r="E5" s="705" t="s">
        <v>510</v>
      </c>
      <c r="F5" s="706"/>
      <c r="G5" s="705" t="s">
        <v>511</v>
      </c>
      <c r="H5" s="706"/>
      <c r="I5" s="705" t="s">
        <v>512</v>
      </c>
      <c r="J5" s="706"/>
      <c r="K5" s="306"/>
      <c r="L5" s="306"/>
      <c r="M5" s="306"/>
      <c r="N5" s="306"/>
      <c r="O5" s="306"/>
    </row>
    <row r="6" spans="1:15" ht="24">
      <c r="B6" s="308"/>
      <c r="C6" s="309"/>
      <c r="D6" s="310"/>
      <c r="E6" s="311" t="s">
        <v>513</v>
      </c>
      <c r="F6" s="312" t="s">
        <v>514</v>
      </c>
      <c r="G6" s="311" t="s">
        <v>513</v>
      </c>
      <c r="H6" s="312" t="s">
        <v>514</v>
      </c>
      <c r="I6" s="311" t="s">
        <v>513</v>
      </c>
      <c r="J6" s="312" t="s">
        <v>514</v>
      </c>
      <c r="K6" s="313"/>
      <c r="L6" s="314"/>
      <c r="M6" s="306"/>
      <c r="N6" s="306"/>
      <c r="O6" s="313"/>
    </row>
    <row r="7" spans="1:15" ht="14.45" customHeight="1">
      <c r="B7" s="315" t="s">
        <v>515</v>
      </c>
      <c r="C7" s="316"/>
      <c r="D7" s="317"/>
      <c r="E7" s="318">
        <v>26562</v>
      </c>
      <c r="F7" s="319">
        <v>4.3488440248009521</v>
      </c>
      <c r="G7" s="318">
        <v>26280</v>
      </c>
      <c r="H7" s="319">
        <v>4.2406863844598535</v>
      </c>
      <c r="I7" s="318">
        <v>24426</v>
      </c>
      <c r="J7" s="319">
        <v>4.1340651640780104</v>
      </c>
      <c r="K7" s="320"/>
      <c r="L7" s="313"/>
      <c r="M7" s="321"/>
      <c r="N7" s="321"/>
      <c r="O7" s="313"/>
    </row>
    <row r="8" spans="1:15" ht="14.45" customHeight="1">
      <c r="B8" s="322"/>
      <c r="C8" s="316" t="s">
        <v>516</v>
      </c>
      <c r="D8" s="317"/>
      <c r="E8" s="318">
        <v>124</v>
      </c>
      <c r="F8" s="319">
        <v>6.3427109974424551</v>
      </c>
      <c r="G8" s="318">
        <v>135</v>
      </c>
      <c r="H8" s="319">
        <v>6.3499529633113827</v>
      </c>
      <c r="I8" s="318">
        <v>149</v>
      </c>
      <c r="J8" s="319">
        <v>5.9033280507131538</v>
      </c>
      <c r="K8" s="313"/>
      <c r="L8" s="313"/>
      <c r="M8" s="321"/>
      <c r="N8" s="321"/>
      <c r="O8" s="313"/>
    </row>
    <row r="9" spans="1:15" ht="14.45" customHeight="1">
      <c r="B9" s="323"/>
      <c r="C9" s="316" t="s">
        <v>517</v>
      </c>
      <c r="D9" s="317"/>
      <c r="E9" s="318">
        <v>1579</v>
      </c>
      <c r="F9" s="319">
        <v>2.8475591062379397</v>
      </c>
      <c r="G9" s="318">
        <v>1430</v>
      </c>
      <c r="H9" s="319">
        <v>2.7258344293856389</v>
      </c>
      <c r="I9" s="318">
        <v>1293</v>
      </c>
      <c r="J9" s="319">
        <v>2.5690953525800238</v>
      </c>
      <c r="K9" s="313"/>
      <c r="L9" s="313"/>
      <c r="M9" s="321"/>
      <c r="N9" s="321"/>
      <c r="O9" s="313"/>
    </row>
    <row r="10" spans="1:15" ht="14.45" customHeight="1">
      <c r="B10" s="322"/>
      <c r="C10" s="316" t="s">
        <v>518</v>
      </c>
      <c r="D10" s="317"/>
      <c r="E10" s="318">
        <v>7107</v>
      </c>
      <c r="F10" s="319">
        <v>4.0857507502328314</v>
      </c>
      <c r="G10" s="318">
        <v>7320</v>
      </c>
      <c r="H10" s="319">
        <v>4.1342851979034885</v>
      </c>
      <c r="I10" s="318">
        <v>7018</v>
      </c>
      <c r="J10" s="319">
        <v>4.1001133402661747</v>
      </c>
      <c r="K10" s="313"/>
      <c r="L10" s="313"/>
      <c r="M10" s="321"/>
      <c r="N10" s="321"/>
      <c r="O10" s="313"/>
    </row>
    <row r="11" spans="1:15" ht="14.45" customHeight="1">
      <c r="B11" s="323"/>
      <c r="C11" s="316" t="s">
        <v>519</v>
      </c>
      <c r="D11" s="317"/>
      <c r="E11" s="318">
        <v>1086</v>
      </c>
      <c r="F11" s="319">
        <v>3.4077002729925634</v>
      </c>
      <c r="G11" s="318">
        <v>1030</v>
      </c>
      <c r="H11" s="319">
        <v>3.3104068907887125</v>
      </c>
      <c r="I11" s="318">
        <v>946</v>
      </c>
      <c r="J11" s="319">
        <v>3.2467309606342449</v>
      </c>
      <c r="K11" s="313"/>
      <c r="L11" s="313"/>
      <c r="M11" s="321"/>
      <c r="N11" s="321"/>
      <c r="O11" s="313"/>
    </row>
    <row r="12" spans="1:15" ht="14.45" customHeight="1">
      <c r="B12" s="323"/>
      <c r="C12" s="316" t="s">
        <v>520</v>
      </c>
      <c r="D12" s="317"/>
      <c r="E12" s="318">
        <v>924</v>
      </c>
      <c r="F12" s="319">
        <v>3.6184210526315792</v>
      </c>
      <c r="G12" s="318">
        <v>862</v>
      </c>
      <c r="H12" s="319">
        <v>3.5813702272632848</v>
      </c>
      <c r="I12" s="318">
        <v>796</v>
      </c>
      <c r="J12" s="319">
        <v>3.5288380547058558</v>
      </c>
      <c r="K12" s="313"/>
      <c r="L12" s="313"/>
      <c r="M12" s="321"/>
      <c r="N12" s="321"/>
      <c r="O12" s="313"/>
    </row>
    <row r="13" spans="1:15" ht="14.45" customHeight="1">
      <c r="B13" s="323"/>
      <c r="C13" s="316" t="s">
        <v>521</v>
      </c>
      <c r="D13" s="317"/>
      <c r="E13" s="318">
        <v>5310</v>
      </c>
      <c r="F13" s="319">
        <v>4.4897648580777716</v>
      </c>
      <c r="G13" s="318">
        <v>5772</v>
      </c>
      <c r="H13" s="319">
        <v>4.4515740926408665</v>
      </c>
      <c r="I13" s="318">
        <v>5518</v>
      </c>
      <c r="J13" s="319">
        <v>4.4152477275636928</v>
      </c>
      <c r="K13" s="313"/>
      <c r="L13" s="313"/>
      <c r="M13" s="321"/>
      <c r="N13" s="321"/>
      <c r="O13" s="313"/>
    </row>
    <row r="14" spans="1:15" ht="14.45" customHeight="1">
      <c r="B14" s="323"/>
      <c r="C14" s="317" t="s">
        <v>522</v>
      </c>
      <c r="D14" s="324"/>
      <c r="E14" s="318">
        <v>3849</v>
      </c>
      <c r="F14" s="319">
        <v>3.7734184288697388</v>
      </c>
      <c r="G14" s="318">
        <v>3476</v>
      </c>
      <c r="H14" s="319">
        <v>3.3604346523071564</v>
      </c>
      <c r="I14" s="318">
        <v>2982</v>
      </c>
      <c r="J14" s="319">
        <v>3.1168342496394006</v>
      </c>
      <c r="K14" s="313"/>
      <c r="L14" s="313"/>
      <c r="M14" s="321"/>
      <c r="N14" s="321"/>
      <c r="O14" s="313"/>
    </row>
    <row r="15" spans="1:15" ht="14.45" customHeight="1">
      <c r="B15" s="323"/>
      <c r="C15" s="316" t="s">
        <v>523</v>
      </c>
      <c r="D15" s="317"/>
      <c r="E15" s="318">
        <v>4750</v>
      </c>
      <c r="F15" s="319">
        <v>6.7419876799046179</v>
      </c>
      <c r="G15" s="318">
        <v>4478</v>
      </c>
      <c r="H15" s="319">
        <v>6.3986968263721185</v>
      </c>
      <c r="I15" s="318">
        <v>4081</v>
      </c>
      <c r="J15" s="319">
        <v>6.0730974136135005</v>
      </c>
      <c r="K15" s="313"/>
      <c r="L15" s="313"/>
      <c r="M15" s="321"/>
      <c r="N15" s="321"/>
      <c r="O15" s="313"/>
    </row>
    <row r="16" spans="1:15" ht="14.45" customHeight="1">
      <c r="B16" s="325"/>
      <c r="C16" s="317" t="s">
        <v>524</v>
      </c>
      <c r="D16" s="324"/>
      <c r="E16" s="318">
        <v>1833</v>
      </c>
      <c r="F16" s="319">
        <v>5.8562300319488818</v>
      </c>
      <c r="G16" s="318">
        <v>1777</v>
      </c>
      <c r="H16" s="319">
        <v>5.9628871514378714</v>
      </c>
      <c r="I16" s="318">
        <v>1642</v>
      </c>
      <c r="J16" s="319">
        <v>6.0199442733538646</v>
      </c>
      <c r="K16" s="313"/>
      <c r="L16" s="313"/>
      <c r="M16" s="321"/>
      <c r="N16" s="321"/>
      <c r="O16" s="313"/>
    </row>
    <row r="17" spans="2:15" ht="14.45" customHeight="1">
      <c r="B17" s="322" t="s">
        <v>727</v>
      </c>
      <c r="C17" s="317"/>
      <c r="D17" s="324"/>
      <c r="E17" s="318">
        <v>1227</v>
      </c>
      <c r="F17" s="319">
        <v>2.7016910339968296</v>
      </c>
      <c r="G17" s="318">
        <v>1456</v>
      </c>
      <c r="H17" s="319">
        <v>2.6033006132775482</v>
      </c>
      <c r="I17" s="318">
        <v>1482</v>
      </c>
      <c r="J17" s="319">
        <v>2.6440677966101696</v>
      </c>
      <c r="K17" s="320"/>
      <c r="L17" s="313"/>
      <c r="M17" s="321"/>
      <c r="N17" s="321"/>
      <c r="O17" s="313"/>
    </row>
    <row r="18" spans="2:15" ht="14.45" customHeight="1">
      <c r="B18" s="323"/>
      <c r="C18" s="317" t="s">
        <v>516</v>
      </c>
      <c r="D18" s="324"/>
      <c r="E18" s="318">
        <v>13</v>
      </c>
      <c r="F18" s="319">
        <v>4.8507462686567164</v>
      </c>
      <c r="G18" s="318">
        <v>11</v>
      </c>
      <c r="H18" s="319">
        <v>3.8062283737024223</v>
      </c>
      <c r="I18" s="318">
        <v>23</v>
      </c>
      <c r="J18" s="319">
        <v>5.3240740740740744</v>
      </c>
      <c r="K18" s="313"/>
      <c r="L18" s="313"/>
      <c r="M18" s="321"/>
      <c r="N18" s="321"/>
      <c r="O18" s="313"/>
    </row>
    <row r="19" spans="2:15" ht="14.45" customHeight="1">
      <c r="B19" s="322"/>
      <c r="C19" s="317" t="s">
        <v>525</v>
      </c>
      <c r="D19" s="324"/>
      <c r="E19" s="318">
        <v>569</v>
      </c>
      <c r="F19" s="319">
        <v>4.3759132507882796</v>
      </c>
      <c r="G19" s="318">
        <v>566</v>
      </c>
      <c r="H19" s="319">
        <v>4.4060407909076753</v>
      </c>
      <c r="I19" s="318">
        <v>540</v>
      </c>
      <c r="J19" s="319">
        <v>4.3902439024390238</v>
      </c>
      <c r="K19" s="313"/>
      <c r="L19" s="313"/>
      <c r="M19" s="321"/>
      <c r="N19" s="321"/>
      <c r="O19" s="313"/>
    </row>
    <row r="20" spans="2:15" ht="14.45" customHeight="1">
      <c r="B20" s="325"/>
      <c r="C20" s="316" t="s">
        <v>526</v>
      </c>
      <c r="D20" s="317"/>
      <c r="E20" s="318">
        <v>645</v>
      </c>
      <c r="F20" s="319">
        <v>2.0065328978068129</v>
      </c>
      <c r="G20" s="318">
        <v>879</v>
      </c>
      <c r="H20" s="319">
        <v>2.0540262653643038</v>
      </c>
      <c r="I20" s="318">
        <v>919</v>
      </c>
      <c r="J20" s="319">
        <v>2.1215199224340919</v>
      </c>
      <c r="K20" s="313"/>
      <c r="L20" s="313"/>
      <c r="M20" s="321"/>
      <c r="N20" s="321"/>
      <c r="O20" s="313"/>
    </row>
    <row r="21" spans="2:15" ht="12.75" customHeight="1">
      <c r="K21" s="313"/>
      <c r="L21" s="313"/>
      <c r="M21" s="313"/>
      <c r="N21" s="313"/>
      <c r="O21" s="313"/>
    </row>
    <row r="22" spans="2:15" ht="13.5" customHeight="1">
      <c r="B22" s="299"/>
      <c r="H22" s="300"/>
      <c r="J22" s="300" t="s">
        <v>527</v>
      </c>
      <c r="K22" s="313"/>
      <c r="L22" s="313"/>
      <c r="M22" s="313"/>
      <c r="N22" s="313"/>
      <c r="O22" s="313"/>
    </row>
    <row r="23" spans="2:15" s="302" customFormat="1" ht="13.5" customHeight="1">
      <c r="B23" s="326"/>
      <c r="C23" s="327"/>
      <c r="D23" s="328"/>
      <c r="E23" s="707"/>
      <c r="F23" s="707"/>
      <c r="G23" s="707"/>
      <c r="H23" s="707"/>
      <c r="I23" s="707"/>
      <c r="J23" s="707"/>
    </row>
    <row r="24" spans="2:15" s="302" customFormat="1">
      <c r="B24" s="329"/>
      <c r="C24" s="330"/>
      <c r="D24" s="330"/>
      <c r="E24" s="702" t="s">
        <v>510</v>
      </c>
      <c r="F24" s="703"/>
      <c r="G24" s="702" t="s">
        <v>511</v>
      </c>
      <c r="H24" s="703"/>
      <c r="I24" s="702" t="s">
        <v>512</v>
      </c>
      <c r="J24" s="703"/>
    </row>
    <row r="25" spans="2:15" ht="24">
      <c r="B25" s="331"/>
      <c r="C25" s="332"/>
      <c r="D25" s="333"/>
      <c r="E25" s="311" t="s">
        <v>513</v>
      </c>
      <c r="F25" s="312" t="s">
        <v>514</v>
      </c>
      <c r="G25" s="311" t="s">
        <v>513</v>
      </c>
      <c r="H25" s="312" t="s">
        <v>514</v>
      </c>
      <c r="I25" s="311" t="s">
        <v>513</v>
      </c>
      <c r="J25" s="312" t="s">
        <v>514</v>
      </c>
    </row>
    <row r="26" spans="2:15" ht="14.45" customHeight="1">
      <c r="B26" s="315" t="s">
        <v>515</v>
      </c>
      <c r="C26" s="316"/>
      <c r="D26" s="317"/>
      <c r="E26" s="318">
        <v>185139</v>
      </c>
      <c r="F26" s="319">
        <v>4.4059953655170574</v>
      </c>
      <c r="G26" s="318">
        <v>185354</v>
      </c>
      <c r="H26" s="319">
        <v>4.3804083345779867</v>
      </c>
      <c r="I26" s="318">
        <v>177965</v>
      </c>
      <c r="J26" s="319">
        <v>4.3192463422986647</v>
      </c>
      <c r="K26" s="334"/>
    </row>
    <row r="27" spans="2:15" ht="14.45" customHeight="1">
      <c r="B27" s="322"/>
      <c r="C27" s="316" t="s">
        <v>516</v>
      </c>
      <c r="D27" s="317"/>
      <c r="E27" s="318">
        <v>5142</v>
      </c>
      <c r="F27" s="319">
        <v>12.375749115502179</v>
      </c>
      <c r="G27" s="318">
        <v>1610</v>
      </c>
      <c r="H27" s="319">
        <v>5.1746858226464818</v>
      </c>
      <c r="I27" s="318">
        <v>1996</v>
      </c>
      <c r="J27" s="319">
        <v>7.2240318494390152</v>
      </c>
    </row>
    <row r="28" spans="2:15" ht="14.45" customHeight="1">
      <c r="B28" s="323"/>
      <c r="C28" s="316" t="s">
        <v>517</v>
      </c>
      <c r="D28" s="317"/>
      <c r="E28" s="318">
        <v>12472</v>
      </c>
      <c r="F28" s="319">
        <v>2.4503139513866512</v>
      </c>
      <c r="G28" s="318">
        <v>11184</v>
      </c>
      <c r="H28" s="319">
        <v>2.5552506699993374</v>
      </c>
      <c r="I28" s="318">
        <v>10000</v>
      </c>
      <c r="J28" s="319">
        <v>2.316106902230179</v>
      </c>
    </row>
    <row r="29" spans="2:15" ht="14.45" customHeight="1">
      <c r="B29" s="322"/>
      <c r="C29" s="316" t="s">
        <v>518</v>
      </c>
      <c r="D29" s="317"/>
      <c r="E29" s="318">
        <v>63204</v>
      </c>
      <c r="F29" s="319">
        <v>4.3461040193416896</v>
      </c>
      <c r="G29" s="318">
        <v>68366</v>
      </c>
      <c r="H29" s="319">
        <v>4.4707474896758734</v>
      </c>
      <c r="I29" s="318">
        <v>66965</v>
      </c>
      <c r="J29" s="319">
        <v>4.4603606387910499</v>
      </c>
    </row>
    <row r="30" spans="2:15" ht="14.45" customHeight="1">
      <c r="B30" s="323"/>
      <c r="C30" s="316" t="s">
        <v>519</v>
      </c>
      <c r="D30" s="317"/>
      <c r="E30" s="318">
        <v>7704</v>
      </c>
      <c r="F30" s="319">
        <v>3.5313207616358486</v>
      </c>
      <c r="G30" s="318">
        <v>8143</v>
      </c>
      <c r="H30" s="319">
        <v>3.7515664160401001</v>
      </c>
      <c r="I30" s="318">
        <v>7388</v>
      </c>
      <c r="J30" s="319">
        <v>3.6460723785835194</v>
      </c>
    </row>
    <row r="31" spans="2:15" ht="14.45" customHeight="1">
      <c r="B31" s="323"/>
      <c r="C31" s="316" t="s">
        <v>520</v>
      </c>
      <c r="D31" s="317"/>
      <c r="E31" s="318">
        <v>7976</v>
      </c>
      <c r="F31" s="319">
        <v>3.3048536930994188</v>
      </c>
      <c r="G31" s="318">
        <v>7944</v>
      </c>
      <c r="H31" s="319">
        <v>3.1671862914736346</v>
      </c>
      <c r="I31" s="318">
        <v>7449</v>
      </c>
      <c r="J31" s="319">
        <v>2.917480994661664</v>
      </c>
    </row>
    <row r="32" spans="2:15" ht="14.45" customHeight="1">
      <c r="B32" s="323"/>
      <c r="C32" s="316" t="s">
        <v>521</v>
      </c>
      <c r="D32" s="317"/>
      <c r="E32" s="318">
        <v>34052</v>
      </c>
      <c r="F32" s="319">
        <v>5.3102202871249142</v>
      </c>
      <c r="G32" s="318">
        <v>35674</v>
      </c>
      <c r="H32" s="319">
        <v>5.1590939986521622</v>
      </c>
      <c r="I32" s="318">
        <v>36914</v>
      </c>
      <c r="J32" s="319">
        <v>5.2125386732412942</v>
      </c>
    </row>
    <row r="33" spans="2:10" ht="14.45" customHeight="1">
      <c r="B33" s="323"/>
      <c r="C33" s="317" t="s">
        <v>522</v>
      </c>
      <c r="D33" s="324"/>
      <c r="E33" s="318">
        <v>16273</v>
      </c>
      <c r="F33" s="319">
        <v>4.2212491763985653</v>
      </c>
      <c r="G33" s="318">
        <v>14682</v>
      </c>
      <c r="H33" s="319">
        <v>3.9184706168081624</v>
      </c>
      <c r="I33" s="318">
        <v>12730</v>
      </c>
      <c r="J33" s="319">
        <v>3.7045659575706429</v>
      </c>
    </row>
    <row r="34" spans="2:10" ht="14.45" customHeight="1">
      <c r="B34" s="323"/>
      <c r="C34" s="316" t="s">
        <v>523</v>
      </c>
      <c r="D34" s="317"/>
      <c r="E34" s="318">
        <v>21052</v>
      </c>
      <c r="F34" s="319">
        <v>6.4968089965312492</v>
      </c>
      <c r="G34" s="318">
        <v>21113</v>
      </c>
      <c r="H34" s="319">
        <v>6.2279501126830361</v>
      </c>
      <c r="I34" s="318">
        <v>19358</v>
      </c>
      <c r="J34" s="319">
        <v>5.8858048058183057</v>
      </c>
    </row>
    <row r="35" spans="2:10" ht="14.45" customHeight="1">
      <c r="B35" s="325"/>
      <c r="C35" s="317" t="s">
        <v>524</v>
      </c>
      <c r="D35" s="324"/>
      <c r="E35" s="318">
        <v>17264</v>
      </c>
      <c r="F35" s="319">
        <v>4.4624809367487783</v>
      </c>
      <c r="G35" s="318">
        <v>16638</v>
      </c>
      <c r="H35" s="319">
        <v>4.6165371809100995</v>
      </c>
      <c r="I35" s="318">
        <v>15161</v>
      </c>
      <c r="J35" s="319">
        <v>4.7258501917022535</v>
      </c>
    </row>
    <row r="36" spans="2:10" ht="14.45" customHeight="1">
      <c r="B36" s="322" t="s">
        <v>727</v>
      </c>
      <c r="C36" s="317"/>
      <c r="D36" s="324"/>
      <c r="E36" s="318">
        <v>15071</v>
      </c>
      <c r="F36" s="319">
        <v>3.0707947471907251</v>
      </c>
      <c r="G36" s="318">
        <v>18390</v>
      </c>
      <c r="H36" s="319">
        <v>3.1061985467247255</v>
      </c>
      <c r="I36" s="318">
        <v>16967</v>
      </c>
      <c r="J36" s="319">
        <v>3.0449974785044751</v>
      </c>
    </row>
    <row r="37" spans="2:10" ht="14.45" customHeight="1">
      <c r="B37" s="323"/>
      <c r="C37" s="317" t="s">
        <v>516</v>
      </c>
      <c r="D37" s="324"/>
      <c r="E37" s="318">
        <v>706</v>
      </c>
      <c r="F37" s="319">
        <v>15.334491746307558</v>
      </c>
      <c r="G37" s="318">
        <v>439</v>
      </c>
      <c r="H37" s="319">
        <v>10.233100233100233</v>
      </c>
      <c r="I37" s="318">
        <v>1310</v>
      </c>
      <c r="J37" s="319">
        <v>16.675152749490834</v>
      </c>
    </row>
    <row r="38" spans="2:10" ht="14.45" customHeight="1">
      <c r="B38" s="322"/>
      <c r="C38" s="317" t="s">
        <v>525</v>
      </c>
      <c r="D38" s="324"/>
      <c r="E38" s="318">
        <v>3117</v>
      </c>
      <c r="F38" s="319">
        <v>3.4815145761197361</v>
      </c>
      <c r="G38" s="318">
        <v>3001</v>
      </c>
      <c r="H38" s="319">
        <v>3.2759862891077005</v>
      </c>
      <c r="I38" s="318">
        <v>2960</v>
      </c>
      <c r="J38" s="319">
        <v>3.5807173531724432</v>
      </c>
    </row>
    <row r="39" spans="2:10" ht="14.45" customHeight="1">
      <c r="B39" s="325"/>
      <c r="C39" s="316" t="s">
        <v>526</v>
      </c>
      <c r="D39" s="317"/>
      <c r="E39" s="318">
        <v>11248</v>
      </c>
      <c r="F39" s="319">
        <v>2.8357422520049114</v>
      </c>
      <c r="G39" s="318">
        <v>14950</v>
      </c>
      <c r="H39" s="319">
        <v>3.013225945588597</v>
      </c>
      <c r="I39" s="318">
        <v>12697</v>
      </c>
      <c r="J39" s="319">
        <v>2.7206613411958309</v>
      </c>
    </row>
    <row r="40" spans="2:10" ht="13.5" customHeight="1">
      <c r="B40" s="299"/>
      <c r="G40" s="300"/>
      <c r="I40" s="300"/>
    </row>
    <row r="41" spans="2:10">
      <c r="B41" s="302"/>
      <c r="C41" s="302"/>
      <c r="D41" s="302"/>
    </row>
    <row r="42" spans="2:10">
      <c r="B42" s="298" t="s">
        <v>528</v>
      </c>
      <c r="C42" s="302"/>
    </row>
    <row r="43" spans="2:10">
      <c r="B43" s="298" t="s">
        <v>528</v>
      </c>
      <c r="C43" s="302"/>
    </row>
    <row r="44" spans="2:10">
      <c r="B44" s="302"/>
      <c r="C44" s="306"/>
    </row>
    <row r="45" spans="2:10">
      <c r="B45" s="302"/>
    </row>
    <row r="46" spans="2:10" ht="14.25" customHeight="1"/>
    <row r="47" spans="2:10" ht="14.25" customHeight="1"/>
    <row r="48" spans="2:10" ht="14.25" customHeight="1"/>
    <row r="49" ht="14.25" customHeight="1"/>
    <row r="50" ht="14.25" customHeight="1"/>
    <row r="51" ht="14.25" customHeight="1"/>
    <row r="52" ht="7.5" customHeight="1"/>
  </sheetData>
  <mergeCells count="8">
    <mergeCell ref="E24:F24"/>
    <mergeCell ref="G24:H24"/>
    <mergeCell ref="I24:J24"/>
    <mergeCell ref="E4:J4"/>
    <mergeCell ref="E5:F5"/>
    <mergeCell ref="G5:H5"/>
    <mergeCell ref="I5:J5"/>
    <mergeCell ref="E23:J23"/>
  </mergeCells>
  <phoneticPr fontId="8"/>
  <pageMargins left="0.74803149606299213" right="0" top="0.3543307086614173" bottom="0.15748031496062992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6"/>
  <sheetViews>
    <sheetView showGridLines="0" zoomScaleNormal="100" workbookViewId="0"/>
  </sheetViews>
  <sheetFormatPr defaultRowHeight="12"/>
  <cols>
    <col min="1" max="1" width="1.625" style="44" customWidth="1"/>
    <col min="2" max="2" width="1.75" style="44" customWidth="1"/>
    <col min="3" max="3" width="16.625" style="21" customWidth="1"/>
    <col min="4" max="6" width="8.625" style="21" customWidth="1"/>
    <col min="7" max="7" width="2.625" style="21" customWidth="1"/>
    <col min="8" max="8" width="2.25" style="21" customWidth="1"/>
    <col min="9" max="9" width="16.625" style="21" customWidth="1"/>
    <col min="10" max="12" width="8.625" style="21" customWidth="1"/>
    <col min="13" max="14" width="1.625" style="44" customWidth="1"/>
    <col min="15" max="15" width="10.875" style="44" customWidth="1"/>
    <col min="16" max="16" width="10.25" style="44" customWidth="1"/>
    <col min="17" max="17" width="10.625" style="44" customWidth="1"/>
    <col min="18" max="18" width="10.875" style="44" bestFit="1" customWidth="1"/>
    <col min="19" max="16384" width="9" style="44"/>
  </cols>
  <sheetData>
    <row r="1" spans="1:17" s="41" customFormat="1" ht="13.5" customHeight="1">
      <c r="A1" s="40" t="s">
        <v>717</v>
      </c>
      <c r="C1" s="42"/>
      <c r="D1" s="42"/>
      <c r="E1" s="42"/>
      <c r="F1" s="42"/>
      <c r="G1" s="43"/>
      <c r="H1" s="43"/>
      <c r="I1" s="43"/>
      <c r="J1" s="42"/>
      <c r="K1" s="42"/>
      <c r="L1" s="42"/>
      <c r="M1" s="40"/>
    </row>
    <row r="2" spans="1:17" s="41" customFormat="1" ht="13.5" customHeight="1">
      <c r="A2" s="40"/>
      <c r="C2" s="563"/>
      <c r="D2" s="42"/>
      <c r="E2" s="42"/>
      <c r="F2" s="42"/>
      <c r="G2" s="43"/>
      <c r="H2" s="43"/>
      <c r="I2" s="43"/>
      <c r="J2" s="42"/>
      <c r="K2" s="42"/>
      <c r="L2" s="42"/>
      <c r="M2" s="40"/>
    </row>
    <row r="3" spans="1:17" ht="10.5" customHeight="1">
      <c r="B3" s="45"/>
      <c r="C3" s="564"/>
      <c r="D3" s="565"/>
      <c r="E3" s="564"/>
      <c r="F3" s="564"/>
      <c r="G3" s="564"/>
      <c r="H3" s="564"/>
      <c r="I3" s="564"/>
      <c r="J3" s="564"/>
      <c r="K3" s="564"/>
      <c r="L3" s="566" t="s">
        <v>641</v>
      </c>
      <c r="M3" s="567"/>
      <c r="O3" s="567"/>
      <c r="P3" s="567"/>
      <c r="Q3" s="567"/>
    </row>
    <row r="4" spans="1:17" ht="12.75" customHeight="1">
      <c r="B4" s="568"/>
      <c r="C4" s="569"/>
      <c r="D4" s="570" t="s">
        <v>205</v>
      </c>
      <c r="E4" s="570" t="s">
        <v>29</v>
      </c>
      <c r="F4" s="562" t="s">
        <v>30</v>
      </c>
      <c r="G4" s="571"/>
      <c r="H4" s="568"/>
      <c r="I4" s="572"/>
      <c r="J4" s="562" t="s">
        <v>205</v>
      </c>
      <c r="K4" s="562" t="s">
        <v>29</v>
      </c>
      <c r="L4" s="562" t="s">
        <v>30</v>
      </c>
      <c r="N4" s="573"/>
      <c r="O4" s="573"/>
      <c r="P4" s="573"/>
      <c r="Q4" s="46"/>
    </row>
    <row r="5" spans="1:17" ht="12" customHeight="1">
      <c r="B5" s="574" t="s">
        <v>642</v>
      </c>
      <c r="C5" s="571"/>
      <c r="D5" s="575"/>
      <c r="E5" s="575"/>
      <c r="F5" s="576"/>
      <c r="G5" s="571"/>
      <c r="H5" s="577" t="s">
        <v>643</v>
      </c>
      <c r="I5" s="578"/>
      <c r="J5" s="151"/>
      <c r="K5" s="151"/>
      <c r="L5" s="579"/>
      <c r="N5" s="573"/>
      <c r="O5" s="573"/>
      <c r="P5" s="573"/>
      <c r="Q5" s="46"/>
    </row>
    <row r="6" spans="1:17" ht="12.75" customHeight="1">
      <c r="B6" s="574"/>
      <c r="C6" s="580" t="s">
        <v>644</v>
      </c>
      <c r="D6" s="581">
        <f>17427609/1000</f>
        <v>17427.609</v>
      </c>
      <c r="E6" s="581">
        <f>18120714/1000</f>
        <v>18120.714</v>
      </c>
      <c r="F6" s="582">
        <f>18624475/1000</f>
        <v>18624.474999999999</v>
      </c>
      <c r="G6" s="571"/>
      <c r="H6" s="574"/>
      <c r="I6" s="580" t="s">
        <v>645</v>
      </c>
      <c r="J6" s="581">
        <f>3890607/1000</f>
        <v>3890.607</v>
      </c>
      <c r="K6" s="581">
        <f>3375611/1000</f>
        <v>3375.6109999999999</v>
      </c>
      <c r="L6" s="581">
        <f>3477796/1000</f>
        <v>3477.7959999999998</v>
      </c>
      <c r="N6" s="573"/>
      <c r="O6" s="573"/>
      <c r="P6" s="573"/>
      <c r="Q6" s="46"/>
    </row>
    <row r="7" spans="1:17" ht="12.75" customHeight="1">
      <c r="B7" s="583"/>
      <c r="C7" s="580" t="s">
        <v>646</v>
      </c>
      <c r="D7" s="581">
        <f>1792883/1000</f>
        <v>1792.883</v>
      </c>
      <c r="E7" s="581">
        <f>1552808/1000</f>
        <v>1552.808</v>
      </c>
      <c r="F7" s="582">
        <f>1529760/1000</f>
        <v>1529.76</v>
      </c>
      <c r="G7" s="571"/>
      <c r="H7" s="574"/>
      <c r="I7" s="580" t="s">
        <v>647</v>
      </c>
      <c r="J7" s="581">
        <f>3022828/1000</f>
        <v>3022.828</v>
      </c>
      <c r="K7" s="581">
        <f>2885570/1000</f>
        <v>2885.57</v>
      </c>
      <c r="L7" s="581">
        <f>2647899/1000</f>
        <v>2647.8989999999999</v>
      </c>
      <c r="N7" s="573"/>
      <c r="O7" s="573"/>
      <c r="P7" s="573"/>
      <c r="Q7" s="46"/>
    </row>
    <row r="8" spans="1:17" ht="12.75" customHeight="1">
      <c r="B8" s="574" t="s">
        <v>648</v>
      </c>
      <c r="C8" s="571"/>
      <c r="D8" s="584"/>
      <c r="E8" s="584"/>
      <c r="F8" s="585"/>
      <c r="G8" s="571"/>
      <c r="H8" s="574"/>
      <c r="I8" s="580" t="s">
        <v>649</v>
      </c>
      <c r="J8" s="581">
        <f>2849305/1000</f>
        <v>2849.3049999999998</v>
      </c>
      <c r="K8" s="581">
        <f>2433562/1000</f>
        <v>2433.5619999999999</v>
      </c>
      <c r="L8" s="581">
        <f>2465454/1000</f>
        <v>2465.4540000000002</v>
      </c>
      <c r="N8" s="573"/>
      <c r="O8" s="573"/>
      <c r="P8" s="573"/>
      <c r="Q8" s="46"/>
    </row>
    <row r="9" spans="1:17" ht="12.75" customHeight="1">
      <c r="B9" s="574"/>
      <c r="C9" s="580" t="s">
        <v>650</v>
      </c>
      <c r="D9" s="581">
        <f>2456044/1000</f>
        <v>2456.0439999999999</v>
      </c>
      <c r="E9" s="581">
        <f>1803650/1000</f>
        <v>1803.65</v>
      </c>
      <c r="F9" s="582">
        <f>1795926/1000</f>
        <v>1795.9259999999999</v>
      </c>
      <c r="G9" s="571"/>
      <c r="H9" s="574"/>
      <c r="I9" s="580" t="s">
        <v>651</v>
      </c>
      <c r="J9" s="581">
        <f>2151733/1000</f>
        <v>2151.7330000000002</v>
      </c>
      <c r="K9" s="581">
        <f>1832347/1000</f>
        <v>1832.347</v>
      </c>
      <c r="L9" s="581">
        <f>1858913/1000</f>
        <v>1858.913</v>
      </c>
      <c r="N9" s="573"/>
      <c r="O9" s="573"/>
      <c r="P9" s="573"/>
      <c r="Q9" s="46"/>
    </row>
    <row r="10" spans="1:17" ht="12.75" customHeight="1">
      <c r="B10" s="574"/>
      <c r="C10" s="580" t="s">
        <v>652</v>
      </c>
      <c r="D10" s="581">
        <f>1314390/1000</f>
        <v>1314.39</v>
      </c>
      <c r="E10" s="581">
        <f>1169625/1000</f>
        <v>1169.625</v>
      </c>
      <c r="F10" s="582">
        <f>1076914/1000</f>
        <v>1076.914</v>
      </c>
      <c r="G10" s="571"/>
      <c r="H10" s="574"/>
      <c r="I10" s="580" t="s">
        <v>653</v>
      </c>
      <c r="J10" s="581">
        <f>2003922/1000</f>
        <v>2003.922</v>
      </c>
      <c r="K10" s="581">
        <f>1326324/1000</f>
        <v>1326.3240000000001</v>
      </c>
      <c r="L10" s="581">
        <f>1246015/1000</f>
        <v>1246.0150000000001</v>
      </c>
      <c r="N10" s="573"/>
      <c r="O10" s="573"/>
      <c r="P10" s="573"/>
      <c r="Q10" s="46"/>
    </row>
    <row r="11" spans="1:17" ht="12.75" customHeight="1">
      <c r="B11" s="574"/>
      <c r="C11" s="580" t="s">
        <v>654</v>
      </c>
      <c r="D11" s="581">
        <f>567050/1000</f>
        <v>567.04999999999995</v>
      </c>
      <c r="E11" s="581">
        <f>634019/1000</f>
        <v>634.01900000000001</v>
      </c>
      <c r="F11" s="582">
        <f>545866/1000</f>
        <v>545.86599999999999</v>
      </c>
      <c r="G11" s="571"/>
      <c r="H11" s="574"/>
      <c r="I11" s="580" t="s">
        <v>655</v>
      </c>
      <c r="J11" s="581">
        <f>1376911/1000</f>
        <v>1376.9110000000001</v>
      </c>
      <c r="K11" s="581">
        <f>1197790/1000</f>
        <v>1197.79</v>
      </c>
      <c r="L11" s="581">
        <f>1237255/1000</f>
        <v>1237.2550000000001</v>
      </c>
      <c r="N11" s="573"/>
      <c r="O11" s="573"/>
      <c r="P11" s="573"/>
      <c r="Q11" s="46"/>
    </row>
    <row r="12" spans="1:17" ht="12.75" customHeight="1">
      <c r="B12" s="574"/>
      <c r="C12" s="580" t="s">
        <v>656</v>
      </c>
      <c r="D12" s="581">
        <f>378196/1000</f>
        <v>378.19600000000003</v>
      </c>
      <c r="E12" s="581">
        <f>291520/1000</f>
        <v>291.52</v>
      </c>
      <c r="F12" s="582">
        <f>282463/1000</f>
        <v>282.46300000000002</v>
      </c>
      <c r="G12" s="571"/>
      <c r="H12" s="574"/>
      <c r="I12" s="580" t="s">
        <v>657</v>
      </c>
      <c r="J12" s="581">
        <f>879635/1000</f>
        <v>879.63499999999999</v>
      </c>
      <c r="K12" s="581">
        <f>757999/1000</f>
        <v>757.99900000000002</v>
      </c>
      <c r="L12" s="581">
        <f>777228/1000</f>
        <v>777.22799999999995</v>
      </c>
      <c r="O12" s="46"/>
      <c r="P12" s="46"/>
      <c r="Q12" s="46"/>
    </row>
    <row r="13" spans="1:17" ht="12.75" customHeight="1">
      <c r="B13" s="574"/>
      <c r="C13" s="580" t="s">
        <v>658</v>
      </c>
      <c r="D13" s="581">
        <f>260990/1000</f>
        <v>260.99</v>
      </c>
      <c r="E13" s="581">
        <f>242518/1000</f>
        <v>242.518</v>
      </c>
      <c r="F13" s="582">
        <f>247046/1000</f>
        <v>247.04599999999999</v>
      </c>
      <c r="G13" s="571"/>
      <c r="H13" s="574"/>
      <c r="I13" s="580" t="s">
        <v>659</v>
      </c>
      <c r="J13" s="581">
        <f>709183/1000</f>
        <v>709.18299999999999</v>
      </c>
      <c r="K13" s="581">
        <f>679289/1000</f>
        <v>679.28899999999999</v>
      </c>
      <c r="L13" s="581">
        <f>668851/1000</f>
        <v>668.851</v>
      </c>
    </row>
    <row r="14" spans="1:17" ht="12.75" customHeight="1">
      <c r="B14" s="574"/>
      <c r="C14" s="580" t="s">
        <v>660</v>
      </c>
      <c r="D14" s="581">
        <f>363282/1000</f>
        <v>363.28199999999998</v>
      </c>
      <c r="E14" s="581">
        <f>344375/1000</f>
        <v>344.375</v>
      </c>
      <c r="F14" s="582">
        <f>291376/1000</f>
        <v>291.37599999999998</v>
      </c>
      <c r="G14" s="571"/>
      <c r="H14" s="574"/>
      <c r="I14" s="580" t="s">
        <v>661</v>
      </c>
      <c r="J14" s="581">
        <f>573818/1000</f>
        <v>573.81799999999998</v>
      </c>
      <c r="K14" s="581">
        <f>497918/1000</f>
        <v>497.91800000000001</v>
      </c>
      <c r="L14" s="581">
        <f>514476/1000</f>
        <v>514.476</v>
      </c>
    </row>
    <row r="15" spans="1:17" ht="12.75" customHeight="1">
      <c r="B15" s="583"/>
      <c r="C15" s="580" t="s">
        <v>662</v>
      </c>
      <c r="D15" s="581">
        <f>201047/1000</f>
        <v>201.047</v>
      </c>
      <c r="E15" s="581">
        <f>189210/1000</f>
        <v>189.21</v>
      </c>
      <c r="F15" s="582">
        <f>192210/1000</f>
        <v>192.21</v>
      </c>
      <c r="G15" s="571"/>
      <c r="H15" s="574"/>
      <c r="I15" s="580" t="s">
        <v>663</v>
      </c>
      <c r="J15" s="581">
        <f>545172/1000</f>
        <v>545.17200000000003</v>
      </c>
      <c r="K15" s="581">
        <f>477356/1000</f>
        <v>477.35599999999999</v>
      </c>
      <c r="L15" s="581">
        <f>471402/1000</f>
        <v>471.40199999999999</v>
      </c>
    </row>
    <row r="16" spans="1:17" ht="12.75" customHeight="1">
      <c r="B16" s="574" t="s">
        <v>664</v>
      </c>
      <c r="C16" s="571"/>
      <c r="D16" s="584"/>
      <c r="E16" s="584"/>
      <c r="F16" s="585"/>
      <c r="G16" s="571"/>
      <c r="H16" s="574"/>
      <c r="I16" s="580" t="s">
        <v>665</v>
      </c>
      <c r="J16" s="581">
        <f>531076/1000</f>
        <v>531.07600000000002</v>
      </c>
      <c r="K16" s="581">
        <f>455200/1000</f>
        <v>455.2</v>
      </c>
      <c r="L16" s="581">
        <f>467955/1000</f>
        <v>467.95499999999998</v>
      </c>
    </row>
    <row r="17" spans="2:12" ht="12.75" customHeight="1">
      <c r="B17" s="574"/>
      <c r="C17" s="580" t="s">
        <v>666</v>
      </c>
      <c r="D17" s="581">
        <f>10534527/1000</f>
        <v>10534.527</v>
      </c>
      <c r="E17" s="581">
        <f>11226185/1000</f>
        <v>11226.184999999999</v>
      </c>
      <c r="F17" s="582">
        <f>11218281/1000</f>
        <v>11218.281000000001</v>
      </c>
      <c r="G17" s="571"/>
      <c r="H17" s="574"/>
      <c r="I17" s="580" t="s">
        <v>667</v>
      </c>
      <c r="J17" s="581">
        <f>499339/1000</f>
        <v>499.339</v>
      </c>
      <c r="K17" s="581">
        <f>386663/1000</f>
        <v>386.66300000000001</v>
      </c>
      <c r="L17" s="581">
        <f>371069/1000</f>
        <v>371.06900000000002</v>
      </c>
    </row>
    <row r="18" spans="2:12" ht="12.75" customHeight="1">
      <c r="B18" s="574"/>
      <c r="C18" s="580" t="s">
        <v>713</v>
      </c>
      <c r="D18" s="581">
        <f>1411334/1000</f>
        <v>1411.3340000000001</v>
      </c>
      <c r="E18" s="581">
        <f>1382764/1000</f>
        <v>1382.7639999999999</v>
      </c>
      <c r="F18" s="582">
        <f>1411246/1000</f>
        <v>1411.2460000000001</v>
      </c>
      <c r="G18" s="571"/>
      <c r="H18" s="574"/>
      <c r="I18" s="580" t="s">
        <v>668</v>
      </c>
      <c r="J18" s="581">
        <f>441885/1000</f>
        <v>441.88499999999999</v>
      </c>
      <c r="K18" s="581">
        <f>382066/1000</f>
        <v>382.06599999999997</v>
      </c>
      <c r="L18" s="581">
        <f>390800/1000</f>
        <v>390.8</v>
      </c>
    </row>
    <row r="19" spans="2:12" ht="12.75" customHeight="1">
      <c r="B19" s="574"/>
      <c r="C19" s="580" t="s">
        <v>714</v>
      </c>
      <c r="D19" s="581">
        <f>530519/1000</f>
        <v>530.51900000000001</v>
      </c>
      <c r="E19" s="581">
        <f>525196/1000</f>
        <v>525.19600000000003</v>
      </c>
      <c r="F19" s="581">
        <f>529910/1000</f>
        <v>529.91</v>
      </c>
      <c r="G19" s="571"/>
      <c r="H19" s="574"/>
      <c r="I19" s="580" t="s">
        <v>669</v>
      </c>
      <c r="J19" s="581">
        <f>352994/1000</f>
        <v>352.99400000000003</v>
      </c>
      <c r="K19" s="581">
        <f>301298/1000</f>
        <v>301.298</v>
      </c>
      <c r="L19" s="581">
        <f>306900/1000</f>
        <v>306.89999999999998</v>
      </c>
    </row>
    <row r="20" spans="2:12" ht="12.75" customHeight="1">
      <c r="B20" s="574"/>
      <c r="C20" s="580" t="s">
        <v>715</v>
      </c>
      <c r="D20" s="581">
        <f>308155/1000</f>
        <v>308.15499999999997</v>
      </c>
      <c r="E20" s="581">
        <f>296835/1000</f>
        <v>296.83499999999998</v>
      </c>
      <c r="F20" s="582">
        <f>296946/1000</f>
        <v>296.94600000000003</v>
      </c>
      <c r="G20" s="571"/>
      <c r="H20" s="574"/>
      <c r="I20" s="580" t="s">
        <v>670</v>
      </c>
      <c r="J20" s="581">
        <f>272609/1000</f>
        <v>272.60899999999998</v>
      </c>
      <c r="K20" s="581">
        <f>232439/1000</f>
        <v>232.43899999999999</v>
      </c>
      <c r="L20" s="581">
        <f>238503/1000</f>
        <v>238.50299999999999</v>
      </c>
    </row>
    <row r="21" spans="2:12" ht="12.75" customHeight="1">
      <c r="B21" s="574"/>
      <c r="C21" s="580" t="s">
        <v>716</v>
      </c>
      <c r="D21" s="581">
        <f>291460/1000</f>
        <v>291.45999999999998</v>
      </c>
      <c r="E21" s="581">
        <f>309406/1000</f>
        <v>309.40600000000001</v>
      </c>
      <c r="F21" s="582">
        <f>320912/1000</f>
        <v>320.91199999999998</v>
      </c>
      <c r="G21" s="571"/>
      <c r="H21" s="574"/>
      <c r="I21" s="580" t="s">
        <v>671</v>
      </c>
      <c r="J21" s="581">
        <f>258099/1000</f>
        <v>258.09899999999999</v>
      </c>
      <c r="K21" s="581">
        <f>290617/1000</f>
        <v>290.61700000000002</v>
      </c>
      <c r="L21" s="582">
        <f>304819/1000</f>
        <v>304.81900000000002</v>
      </c>
    </row>
    <row r="22" spans="2:12" ht="12.75" customHeight="1">
      <c r="B22" s="574"/>
      <c r="C22" s="580" t="s">
        <v>672</v>
      </c>
      <c r="D22" s="581">
        <f>2039198/1000</f>
        <v>2039.1980000000001</v>
      </c>
      <c r="E22" s="581">
        <f>2132755/1000</f>
        <v>2132.7550000000001</v>
      </c>
      <c r="F22" s="582">
        <f>2259642/1000</f>
        <v>2259.6419999999998</v>
      </c>
      <c r="G22" s="571"/>
      <c r="H22" s="574"/>
      <c r="I22" s="580" t="s">
        <v>673</v>
      </c>
      <c r="J22" s="581">
        <f>237030/1000</f>
        <v>237.03</v>
      </c>
      <c r="K22" s="581">
        <f>195542/1000</f>
        <v>195.542</v>
      </c>
      <c r="L22" s="581">
        <f>192691/1000</f>
        <v>192.691</v>
      </c>
    </row>
    <row r="23" spans="2:12" ht="12.75" customHeight="1">
      <c r="B23" s="574"/>
      <c r="C23" s="580" t="s">
        <v>674</v>
      </c>
      <c r="D23" s="581">
        <f>890815/1000</f>
        <v>890.81500000000005</v>
      </c>
      <c r="E23" s="581">
        <f>861256/1000</f>
        <v>861.25599999999997</v>
      </c>
      <c r="F23" s="582">
        <f>932259/1000</f>
        <v>932.25900000000001</v>
      </c>
      <c r="G23" s="571"/>
      <c r="H23" s="574"/>
      <c r="I23" s="580" t="s">
        <v>675</v>
      </c>
      <c r="J23" s="581">
        <f>229630/1000</f>
        <v>229.63</v>
      </c>
      <c r="K23" s="581">
        <f>199420/1000</f>
        <v>199.42</v>
      </c>
      <c r="L23" s="581">
        <f>204837/1000</f>
        <v>204.83699999999999</v>
      </c>
    </row>
    <row r="24" spans="2:12" ht="12.75" customHeight="1">
      <c r="B24" s="574"/>
      <c r="C24" s="580" t="s">
        <v>676</v>
      </c>
      <c r="D24" s="581">
        <f>406521/1000</f>
        <v>406.52100000000002</v>
      </c>
      <c r="E24" s="581">
        <f>399234/1000</f>
        <v>399.23399999999998</v>
      </c>
      <c r="F24" s="582">
        <f>407026/1000</f>
        <v>407.02600000000001</v>
      </c>
      <c r="G24" s="571"/>
      <c r="H24" s="574"/>
      <c r="I24" s="580" t="s">
        <v>677</v>
      </c>
      <c r="J24" s="581">
        <f>207818/1000</f>
        <v>207.81800000000001</v>
      </c>
      <c r="K24" s="581">
        <f>186830/1000</f>
        <v>186.83</v>
      </c>
      <c r="L24" s="581">
        <f>195305/1000</f>
        <v>195.30500000000001</v>
      </c>
    </row>
    <row r="25" spans="2:12" ht="12.75" customHeight="1">
      <c r="B25" s="574"/>
      <c r="C25" s="580" t="s">
        <v>678</v>
      </c>
      <c r="D25" s="581">
        <f>338073/1000</f>
        <v>338.07299999999998</v>
      </c>
      <c r="E25" s="581">
        <f>296284/1000</f>
        <v>296.28399999999999</v>
      </c>
      <c r="F25" s="582">
        <f>296531/1000</f>
        <v>296.53100000000001</v>
      </c>
      <c r="G25" s="571"/>
      <c r="H25" s="583"/>
      <c r="I25" s="580" t="s">
        <v>679</v>
      </c>
      <c r="J25" s="581">
        <f>199495/1000</f>
        <v>199.495</v>
      </c>
      <c r="K25" s="581">
        <f>177524/1000</f>
        <v>177.524</v>
      </c>
      <c r="L25" s="581">
        <f>186691/1000</f>
        <v>186.691</v>
      </c>
    </row>
    <row r="26" spans="2:12" ht="12.75" customHeight="1">
      <c r="B26" s="574"/>
      <c r="C26" s="580" t="s">
        <v>680</v>
      </c>
      <c r="D26" s="581">
        <f>284585/1000</f>
        <v>284.58499999999998</v>
      </c>
      <c r="E26" s="581">
        <f>292774/1000</f>
        <v>292.774</v>
      </c>
      <c r="F26" s="582">
        <f>304906/1000</f>
        <v>304.90600000000001</v>
      </c>
      <c r="G26" s="571"/>
      <c r="H26" s="574" t="s">
        <v>681</v>
      </c>
      <c r="I26" s="571"/>
      <c r="J26" s="584"/>
      <c r="K26" s="584"/>
      <c r="L26" s="585"/>
    </row>
    <row r="27" spans="2:12" ht="12.75" customHeight="1">
      <c r="B27" s="574"/>
      <c r="C27" s="580" t="s">
        <v>682</v>
      </c>
      <c r="D27" s="581">
        <f>248949/1000</f>
        <v>248.94900000000001</v>
      </c>
      <c r="E27" s="581">
        <f>267523/1000</f>
        <v>267.52300000000002</v>
      </c>
      <c r="F27" s="582">
        <f>282506/1000</f>
        <v>282.50599999999997</v>
      </c>
      <c r="G27" s="571"/>
      <c r="H27" s="574"/>
      <c r="I27" s="580" t="s">
        <v>683</v>
      </c>
      <c r="J27" s="581">
        <f>934168/1000</f>
        <v>934.16800000000001</v>
      </c>
      <c r="K27" s="581">
        <f>859794/1000</f>
        <v>859.79399999999998</v>
      </c>
      <c r="L27" s="582">
        <f>863712/1000</f>
        <v>863.71199999999999</v>
      </c>
    </row>
    <row r="28" spans="2:12" ht="12.75" customHeight="1">
      <c r="B28" s="574"/>
      <c r="C28" s="580" t="s">
        <v>684</v>
      </c>
      <c r="D28" s="581">
        <f>221416/1000</f>
        <v>221.416</v>
      </c>
      <c r="E28" s="581">
        <f>184388/1000</f>
        <v>184.38800000000001</v>
      </c>
      <c r="F28" s="582">
        <f>135005/1000</f>
        <v>135.005</v>
      </c>
      <c r="G28" s="571"/>
      <c r="H28" s="574"/>
      <c r="I28" s="586" t="s">
        <v>685</v>
      </c>
      <c r="J28" s="581">
        <f>756350/1000</f>
        <v>756.35</v>
      </c>
      <c r="K28" s="581">
        <f>651757/1000</f>
        <v>651.75699999999995</v>
      </c>
      <c r="L28" s="582">
        <f>639617/1000</f>
        <v>639.61699999999996</v>
      </c>
    </row>
    <row r="29" spans="2:12" ht="12.75" customHeight="1">
      <c r="B29" s="574"/>
      <c r="C29" s="580" t="s">
        <v>686</v>
      </c>
      <c r="D29" s="581">
        <f>186205/1000</f>
        <v>186.20500000000001</v>
      </c>
      <c r="E29" s="581">
        <f>193241/1000</f>
        <v>193.24100000000001</v>
      </c>
      <c r="F29" s="582">
        <f>205276/1000</f>
        <v>205.27600000000001</v>
      </c>
      <c r="G29" s="571"/>
      <c r="H29" s="574"/>
      <c r="I29" s="586" t="s">
        <v>687</v>
      </c>
      <c r="J29" s="581">
        <f>443976/1000</f>
        <v>443.976</v>
      </c>
      <c r="K29" s="581">
        <f>393436/1000</f>
        <v>393.43599999999998</v>
      </c>
      <c r="L29" s="582">
        <f>425403/1000</f>
        <v>425.40300000000002</v>
      </c>
    </row>
    <row r="30" spans="2:12" ht="12.75" customHeight="1">
      <c r="B30" s="574"/>
      <c r="C30" s="580" t="s">
        <v>688</v>
      </c>
      <c r="D30" s="581">
        <f>173062/1000</f>
        <v>173.06200000000001</v>
      </c>
      <c r="E30" s="581">
        <f>194466/1000</f>
        <v>194.46600000000001</v>
      </c>
      <c r="F30" s="582">
        <f>220837/1000</f>
        <v>220.83699999999999</v>
      </c>
      <c r="G30" s="571"/>
      <c r="H30" s="574"/>
      <c r="I30" s="580" t="s">
        <v>689</v>
      </c>
      <c r="J30" s="581">
        <f>403137/1000</f>
        <v>403.137</v>
      </c>
      <c r="K30" s="581">
        <f>358135/1000</f>
        <v>358.13499999999999</v>
      </c>
      <c r="L30" s="582">
        <f>348744/1000</f>
        <v>348.74400000000003</v>
      </c>
    </row>
    <row r="31" spans="2:12" ht="12.75" customHeight="1">
      <c r="B31" s="587" t="s">
        <v>690</v>
      </c>
      <c r="C31" s="571"/>
      <c r="D31" s="581">
        <v>4854.8029999999999</v>
      </c>
      <c r="E31" s="581">
        <v>4395.4870000000001</v>
      </c>
      <c r="F31" s="581">
        <v>4947.3590000000004</v>
      </c>
      <c r="G31" s="571"/>
      <c r="H31" s="574"/>
      <c r="I31" s="586" t="s">
        <v>691</v>
      </c>
      <c r="J31" s="581">
        <f>308415/1000</f>
        <v>308.41500000000002</v>
      </c>
      <c r="K31" s="581">
        <f>299094/1000</f>
        <v>299.09399999999999</v>
      </c>
      <c r="L31" s="582">
        <f>317748/1000</f>
        <v>317.74799999999999</v>
      </c>
    </row>
    <row r="32" spans="2:12" ht="12.75" customHeight="1">
      <c r="B32" s="574"/>
      <c r="C32" s="580" t="s">
        <v>692</v>
      </c>
      <c r="D32" s="422">
        <v>740.45871189432899</v>
      </c>
      <c r="E32" s="588">
        <v>696.16668401223899</v>
      </c>
      <c r="F32" s="589" t="s">
        <v>305</v>
      </c>
      <c r="G32" s="571"/>
      <c r="H32" s="574"/>
      <c r="I32" s="580" t="s">
        <v>693</v>
      </c>
      <c r="J32" s="581">
        <f>199221/1000</f>
        <v>199.221</v>
      </c>
      <c r="K32" s="581">
        <f>167658/1000</f>
        <v>167.65799999999999</v>
      </c>
      <c r="L32" s="582">
        <f>160021/1000</f>
        <v>160.02099999999999</v>
      </c>
    </row>
    <row r="33" spans="1:12" ht="12.75" customHeight="1">
      <c r="B33" s="574"/>
      <c r="C33" s="580" t="s">
        <v>694</v>
      </c>
      <c r="D33" s="422">
        <v>347.48339171177702</v>
      </c>
      <c r="E33" s="422">
        <v>325.59941718876797</v>
      </c>
      <c r="F33" s="589" t="s">
        <v>708</v>
      </c>
      <c r="G33" s="571"/>
      <c r="H33" s="583"/>
      <c r="I33" s="580" t="s">
        <v>695</v>
      </c>
      <c r="J33" s="581">
        <f>206225/1000</f>
        <v>206.22499999999999</v>
      </c>
      <c r="K33" s="581">
        <f>164641/1000</f>
        <v>164.64099999999999</v>
      </c>
      <c r="L33" s="582">
        <f>152452/1000</f>
        <v>152.452</v>
      </c>
    </row>
    <row r="34" spans="1:12" ht="12.75" customHeight="1">
      <c r="B34" s="590"/>
      <c r="C34" s="580" t="s">
        <v>4</v>
      </c>
      <c r="D34" s="591">
        <f>D41/109.92/10</f>
        <v>177.14883551673944</v>
      </c>
      <c r="E34" s="588">
        <v>164.53435464063401</v>
      </c>
      <c r="F34" s="588">
        <f>F41/108.39/10</f>
        <v>184.96128794169204</v>
      </c>
      <c r="G34" s="571"/>
      <c r="H34" s="574" t="s">
        <v>696</v>
      </c>
      <c r="I34" s="592"/>
      <c r="J34" s="584"/>
      <c r="K34" s="584"/>
      <c r="L34" s="585"/>
    </row>
    <row r="35" spans="1:12" ht="12.75" customHeight="1">
      <c r="B35" s="593"/>
      <c r="C35" s="593"/>
      <c r="D35" s="593"/>
      <c r="E35" s="594"/>
      <c r="F35" s="593"/>
      <c r="G35" s="571"/>
      <c r="H35" s="574"/>
      <c r="I35" s="586" t="s">
        <v>697</v>
      </c>
      <c r="J35" s="581">
        <f>568499/1000</f>
        <v>568.49900000000002</v>
      </c>
      <c r="K35" s="581">
        <f>494583/1000</f>
        <v>494.58300000000003</v>
      </c>
      <c r="L35" s="581">
        <f>404649/1000</f>
        <v>404.649</v>
      </c>
    </row>
    <row r="36" spans="1:12" ht="12.75" customHeight="1">
      <c r="A36" s="46"/>
      <c r="B36" s="27" t="s">
        <v>698</v>
      </c>
      <c r="G36" s="571"/>
      <c r="H36" s="574"/>
      <c r="I36" s="586" t="s">
        <v>699</v>
      </c>
      <c r="J36" s="581">
        <f>350852/1000</f>
        <v>350.85199999999998</v>
      </c>
      <c r="K36" s="581">
        <f>317406/1000</f>
        <v>317.40600000000001</v>
      </c>
      <c r="L36" s="581">
        <f>295440/1000</f>
        <v>295.44</v>
      </c>
    </row>
    <row r="37" spans="1:12" ht="12.75" customHeight="1">
      <c r="B37" s="568" t="s">
        <v>700</v>
      </c>
      <c r="C37" s="595"/>
      <c r="D37" s="596">
        <v>5137027</v>
      </c>
      <c r="E37" s="596">
        <v>5305097</v>
      </c>
      <c r="F37" s="596">
        <v>5361921</v>
      </c>
      <c r="G37" s="571"/>
      <c r="H37" s="574"/>
      <c r="I37" s="586" t="s">
        <v>701</v>
      </c>
      <c r="J37" s="581">
        <f>296979/1000</f>
        <v>296.97899999999998</v>
      </c>
      <c r="K37" s="581">
        <f>317750/1000</f>
        <v>317.75</v>
      </c>
      <c r="L37" s="581">
        <f>270144/1000</f>
        <v>270.14400000000001</v>
      </c>
    </row>
    <row r="38" spans="1:12" ht="12.75" customHeight="1">
      <c r="B38" s="574" t="s">
        <v>702</v>
      </c>
      <c r="C38" s="571"/>
      <c r="D38" s="597"/>
      <c r="E38" s="598"/>
      <c r="F38" s="598"/>
      <c r="G38" s="571"/>
      <c r="H38" s="583"/>
      <c r="I38" s="580" t="s">
        <v>703</v>
      </c>
      <c r="J38" s="581">
        <f>213810/1000</f>
        <v>213.81</v>
      </c>
      <c r="K38" s="581">
        <f>165874/1000</f>
        <v>165.874</v>
      </c>
      <c r="L38" s="581">
        <f>159049/1000</f>
        <v>159.04900000000001</v>
      </c>
    </row>
    <row r="39" spans="1:12" ht="12.75" customHeight="1">
      <c r="B39" s="574"/>
      <c r="C39" s="580" t="s">
        <v>709</v>
      </c>
      <c r="D39" s="599">
        <v>813875.19317865104</v>
      </c>
      <c r="E39" s="600">
        <v>836148.4</v>
      </c>
      <c r="F39" s="589" t="s">
        <v>305</v>
      </c>
      <c r="G39" s="571"/>
      <c r="H39" s="574" t="s">
        <v>704</v>
      </c>
      <c r="I39" s="571"/>
      <c r="J39" s="584"/>
      <c r="K39" s="584"/>
      <c r="L39" s="585"/>
    </row>
    <row r="40" spans="1:12" ht="12.75" customHeight="1">
      <c r="B40" s="574"/>
      <c r="C40" s="580" t="s">
        <v>710</v>
      </c>
      <c r="D40" s="601">
        <v>381936.37</v>
      </c>
      <c r="E40" s="423">
        <v>391069.32</v>
      </c>
      <c r="F40" s="589" t="s">
        <v>711</v>
      </c>
      <c r="G40" s="571"/>
      <c r="H40" s="574"/>
      <c r="I40" s="580" t="s">
        <v>705</v>
      </c>
      <c r="J40" s="581">
        <f>1457607/1000</f>
        <v>1457.607</v>
      </c>
      <c r="K40" s="581">
        <f>1243240/1000</f>
        <v>1243.24</v>
      </c>
      <c r="L40" s="581">
        <f>1304463/1000</f>
        <v>1304.463</v>
      </c>
    </row>
    <row r="41" spans="1:12" ht="12.75" customHeight="1">
      <c r="B41" s="590"/>
      <c r="C41" s="580" t="s">
        <v>712</v>
      </c>
      <c r="D41" s="597">
        <v>194722</v>
      </c>
      <c r="E41" s="602">
        <v>197618.1</v>
      </c>
      <c r="F41" s="602">
        <v>200479.54</v>
      </c>
      <c r="G41" s="48"/>
      <c r="H41" s="590"/>
      <c r="I41" s="586" t="s">
        <v>706</v>
      </c>
      <c r="J41" s="581">
        <f>200955/1000</f>
        <v>200.95500000000001</v>
      </c>
      <c r="K41" s="581">
        <f>177621/1000</f>
        <v>177.62100000000001</v>
      </c>
      <c r="L41" s="581">
        <f>187517/1000</f>
        <v>187.517</v>
      </c>
    </row>
    <row r="42" spans="1:12" ht="12.75" customHeight="1">
      <c r="B42" s="603"/>
      <c r="C42" s="571"/>
      <c r="D42" s="571"/>
      <c r="E42" s="571"/>
      <c r="F42" s="571"/>
      <c r="G42" s="48"/>
      <c r="H42" s="48"/>
      <c r="I42" s="571"/>
      <c r="J42" s="571"/>
      <c r="K42" s="571"/>
      <c r="L42" s="571"/>
    </row>
    <row r="43" spans="1:12" ht="13.5" customHeight="1">
      <c r="B43" s="49"/>
      <c r="C43" s="49"/>
      <c r="D43" s="49"/>
      <c r="E43" s="49"/>
      <c r="F43" s="49"/>
      <c r="G43" s="604"/>
      <c r="H43" s="605"/>
      <c r="I43" s="571"/>
      <c r="J43" s="571"/>
      <c r="K43" s="571"/>
      <c r="L43" s="44"/>
    </row>
    <row r="44" spans="1:12" s="606" customFormat="1" ht="13.5" customHeight="1">
      <c r="B44" s="49"/>
      <c r="C44" s="49"/>
      <c r="D44" s="49"/>
      <c r="E44" s="49"/>
      <c r="F44" s="49"/>
      <c r="G44" s="48"/>
      <c r="H44" s="48"/>
      <c r="I44" s="21"/>
      <c r="J44" s="21"/>
      <c r="K44" s="21"/>
    </row>
    <row r="45" spans="1:12" ht="13.5" customHeight="1">
      <c r="B45" s="605"/>
      <c r="C45" s="605"/>
      <c r="D45" s="605"/>
      <c r="E45" s="605"/>
      <c r="F45" s="605"/>
      <c r="G45" s="48"/>
      <c r="L45" s="44"/>
    </row>
    <row r="46" spans="1:12" ht="13.5" customHeight="1">
      <c r="B46" s="49"/>
      <c r="G46" s="605"/>
      <c r="I46" s="605"/>
      <c r="J46" s="605"/>
      <c r="K46" s="605"/>
      <c r="L46" s="44"/>
    </row>
    <row r="47" spans="1:12" ht="13.5" customHeight="1">
      <c r="B47" s="21"/>
      <c r="G47" s="48"/>
      <c r="L47" s="44"/>
    </row>
    <row r="48" spans="1:12" s="21" customFormat="1" ht="13.5" customHeight="1">
      <c r="B48" s="49" t="s">
        <v>707</v>
      </c>
      <c r="H48" s="27"/>
      <c r="I48" s="571"/>
      <c r="J48" s="571"/>
      <c r="K48" s="571"/>
    </row>
    <row r="49" spans="1:12">
      <c r="B49" s="49" t="s">
        <v>707</v>
      </c>
      <c r="G49" s="48"/>
      <c r="H49" s="27"/>
      <c r="I49" s="571"/>
      <c r="J49" s="571"/>
      <c r="K49" s="571"/>
      <c r="L49" s="44"/>
    </row>
    <row r="50" spans="1:12">
      <c r="A50" s="27"/>
      <c r="B50" s="49"/>
      <c r="G50" s="48"/>
      <c r="H50" s="27"/>
      <c r="I50" s="571"/>
      <c r="J50" s="571"/>
      <c r="K50" s="571"/>
      <c r="L50" s="44"/>
    </row>
    <row r="51" spans="1:12">
      <c r="A51" s="27"/>
      <c r="G51" s="48"/>
      <c r="L51" s="44"/>
    </row>
    <row r="52" spans="1:12">
      <c r="L52" s="44"/>
    </row>
    <row r="53" spans="1:12">
      <c r="L53" s="44"/>
    </row>
    <row r="54" spans="1:12">
      <c r="L54" s="44"/>
    </row>
    <row r="55" spans="1:12">
      <c r="L55" s="44"/>
    </row>
    <row r="56" spans="1:12">
      <c r="L56" s="44"/>
    </row>
    <row r="254" spans="9:12">
      <c r="I254" s="44"/>
      <c r="J254" s="44"/>
      <c r="K254" s="44"/>
      <c r="L254" s="44"/>
    </row>
    <row r="255" spans="9:12">
      <c r="I255" s="44"/>
      <c r="J255" s="44"/>
      <c r="K255" s="44"/>
      <c r="L255" s="44"/>
    </row>
    <row r="256" spans="9:12">
      <c r="I256" s="44"/>
      <c r="J256" s="44"/>
      <c r="K256" s="44"/>
      <c r="L256" s="44"/>
    </row>
  </sheetData>
  <phoneticPr fontId="8"/>
  <pageMargins left="0.74803149606299213" right="0.31496062992125984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Normal="100" workbookViewId="0"/>
  </sheetViews>
  <sheetFormatPr defaultRowHeight="12"/>
  <cols>
    <col min="1" max="1" width="1.625" style="21" customWidth="1"/>
    <col min="2" max="3" width="5.625" style="21" customWidth="1"/>
    <col min="4" max="4" width="15.25" style="21" customWidth="1"/>
    <col min="5" max="14" width="10.625" style="21" customWidth="1"/>
    <col min="15" max="16" width="1.625" style="21" customWidth="1"/>
    <col min="17" max="16384" width="9" style="21"/>
  </cols>
  <sheetData>
    <row r="1" spans="1:14" s="42" customFormat="1" ht="13.5" customHeight="1">
      <c r="A1" s="352" t="s">
        <v>592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</row>
    <row r="2" spans="1:14" ht="13.5" customHeight="1">
      <c r="A2" s="354"/>
      <c r="B2" s="354"/>
      <c r="C2" s="354"/>
      <c r="D2" s="354"/>
      <c r="E2" s="354"/>
      <c r="F2" s="354"/>
      <c r="G2" s="354"/>
      <c r="H2" s="355"/>
      <c r="I2" s="354"/>
      <c r="J2" s="354"/>
      <c r="K2" s="354"/>
      <c r="L2" s="354"/>
      <c r="M2" s="354"/>
      <c r="N2" s="354"/>
    </row>
    <row r="3" spans="1:14" ht="15" customHeight="1">
      <c r="A3" s="354"/>
      <c r="B3" s="356"/>
      <c r="C3" s="356"/>
      <c r="D3" s="356"/>
      <c r="E3" s="357"/>
      <c r="F3" s="357"/>
      <c r="G3" s="354"/>
      <c r="H3" s="354"/>
      <c r="I3" s="354"/>
      <c r="J3" s="354"/>
      <c r="K3" s="354"/>
      <c r="L3" s="354"/>
      <c r="M3" s="357"/>
      <c r="N3" s="357" t="s">
        <v>593</v>
      </c>
    </row>
    <row r="4" spans="1:14" ht="16.5" customHeight="1">
      <c r="A4" s="356"/>
      <c r="B4" s="370"/>
      <c r="C4" s="461"/>
      <c r="D4" s="462"/>
      <c r="E4" s="463" t="s">
        <v>594</v>
      </c>
      <c r="F4" s="463" t="s">
        <v>595</v>
      </c>
      <c r="G4" s="463" t="s">
        <v>596</v>
      </c>
      <c r="H4" s="463" t="s">
        <v>597</v>
      </c>
      <c r="I4" s="463" t="s">
        <v>598</v>
      </c>
      <c r="J4" s="463" t="s">
        <v>599</v>
      </c>
      <c r="K4" s="463" t="s">
        <v>600</v>
      </c>
      <c r="L4" s="463" t="s">
        <v>601</v>
      </c>
      <c r="M4" s="463" t="s">
        <v>602</v>
      </c>
      <c r="N4" s="463" t="s">
        <v>603</v>
      </c>
    </row>
    <row r="5" spans="1:14" ht="15.75" customHeight="1">
      <c r="A5" s="356"/>
      <c r="B5" s="370" t="s">
        <v>604</v>
      </c>
      <c r="C5" s="464"/>
      <c r="D5" s="465"/>
      <c r="E5" s="415">
        <v>486</v>
      </c>
      <c r="F5" s="415">
        <v>452</v>
      </c>
      <c r="G5" s="415">
        <v>526</v>
      </c>
      <c r="H5" s="415">
        <v>454</v>
      </c>
      <c r="I5" s="415">
        <v>517</v>
      </c>
      <c r="J5" s="415">
        <v>755</v>
      </c>
      <c r="K5" s="415">
        <v>983</v>
      </c>
      <c r="L5" s="415">
        <v>1154</v>
      </c>
      <c r="M5" s="415">
        <v>1297</v>
      </c>
      <c r="N5" s="415">
        <v>1356</v>
      </c>
    </row>
    <row r="6" spans="1:14" ht="15.75" customHeight="1">
      <c r="A6" s="356"/>
      <c r="B6" s="370" t="s">
        <v>605</v>
      </c>
      <c r="C6" s="464"/>
      <c r="D6" s="465"/>
      <c r="E6" s="415">
        <v>752</v>
      </c>
      <c r="F6" s="415">
        <v>705</v>
      </c>
      <c r="G6" s="415">
        <v>597</v>
      </c>
      <c r="H6" s="415">
        <v>463</v>
      </c>
      <c r="I6" s="415">
        <v>463</v>
      </c>
      <c r="J6" s="415">
        <v>450</v>
      </c>
      <c r="K6" s="415">
        <v>414</v>
      </c>
      <c r="L6" s="415">
        <v>468</v>
      </c>
      <c r="M6" s="415">
        <v>504</v>
      </c>
      <c r="N6" s="415">
        <v>526</v>
      </c>
    </row>
    <row r="7" spans="1:14" ht="15.75" customHeight="1">
      <c r="A7" s="356"/>
      <c r="B7" s="370" t="s">
        <v>606</v>
      </c>
      <c r="C7" s="464"/>
      <c r="D7" s="465"/>
      <c r="E7" s="415">
        <v>2150896</v>
      </c>
      <c r="F7" s="415">
        <v>2254773</v>
      </c>
      <c r="G7" s="415">
        <v>2178177</v>
      </c>
      <c r="H7" s="415">
        <v>2014157</v>
      </c>
      <c r="I7" s="415">
        <v>1839908</v>
      </c>
      <c r="J7" s="415">
        <v>1831277</v>
      </c>
      <c r="K7" s="415">
        <v>1811950</v>
      </c>
      <c r="L7" s="415">
        <v>1787464</v>
      </c>
      <c r="M7" s="415">
        <v>1832700</v>
      </c>
      <c r="N7" s="415">
        <v>1882235</v>
      </c>
    </row>
    <row r="8" spans="1:14" ht="15.75" customHeight="1">
      <c r="A8" s="356"/>
      <c r="B8" s="629" t="s">
        <v>607</v>
      </c>
      <c r="C8" s="630"/>
      <c r="D8" s="631"/>
      <c r="E8" s="415">
        <v>397053</v>
      </c>
      <c r="F8" s="415">
        <v>383714</v>
      </c>
      <c r="G8" s="415">
        <v>369999</v>
      </c>
      <c r="H8" s="415">
        <v>382535</v>
      </c>
      <c r="I8" s="415">
        <v>378177</v>
      </c>
      <c r="J8" s="415">
        <v>334067</v>
      </c>
      <c r="K8" s="415">
        <v>322491</v>
      </c>
      <c r="L8" s="415">
        <v>361103</v>
      </c>
      <c r="M8" s="415">
        <v>374208</v>
      </c>
      <c r="N8" s="415">
        <v>394816</v>
      </c>
    </row>
    <row r="9" spans="1:14" ht="15.75" customHeight="1">
      <c r="A9" s="356"/>
      <c r="B9" s="370" t="s">
        <v>608</v>
      </c>
      <c r="C9" s="464"/>
      <c r="D9" s="465"/>
      <c r="E9" s="415">
        <v>635367</v>
      </c>
      <c r="F9" s="415">
        <v>574856</v>
      </c>
      <c r="G9" s="415">
        <v>645028</v>
      </c>
      <c r="H9" s="415">
        <v>563281</v>
      </c>
      <c r="I9" s="415">
        <v>544534</v>
      </c>
      <c r="J9" s="415">
        <v>517310</v>
      </c>
      <c r="K9" s="415">
        <v>501544</v>
      </c>
      <c r="L9" s="415">
        <v>494674</v>
      </c>
      <c r="M9" s="415">
        <v>499420</v>
      </c>
      <c r="N9" s="415">
        <v>552030</v>
      </c>
    </row>
    <row r="10" spans="1:14" ht="15.75" customHeight="1">
      <c r="A10" s="356"/>
      <c r="B10" s="370" t="s">
        <v>609</v>
      </c>
      <c r="C10" s="464"/>
      <c r="D10" s="465"/>
      <c r="E10" s="415">
        <v>5521525</v>
      </c>
      <c r="F10" s="415">
        <v>5393636</v>
      </c>
      <c r="G10" s="415">
        <v>5057543</v>
      </c>
      <c r="H10" s="415">
        <v>4364641</v>
      </c>
      <c r="I10" s="415">
        <v>4538156</v>
      </c>
      <c r="J10" s="415">
        <v>4768452</v>
      </c>
      <c r="K10" s="415">
        <v>4670828</v>
      </c>
      <c r="L10" s="415">
        <v>4797219</v>
      </c>
      <c r="M10" s="415">
        <v>4730138</v>
      </c>
      <c r="N10" s="415">
        <v>4686259</v>
      </c>
    </row>
    <row r="11" spans="1:14" ht="15.75" customHeight="1">
      <c r="A11" s="356"/>
      <c r="B11" s="370" t="s">
        <v>610</v>
      </c>
      <c r="C11" s="464"/>
      <c r="D11" s="465"/>
      <c r="E11" s="386">
        <v>952033</v>
      </c>
      <c r="F11" s="415">
        <v>971809</v>
      </c>
      <c r="G11" s="415">
        <v>931386</v>
      </c>
      <c r="H11" s="415">
        <v>864988</v>
      </c>
      <c r="I11" s="415">
        <v>867605</v>
      </c>
      <c r="J11" s="415">
        <v>863337</v>
      </c>
      <c r="K11" s="415">
        <v>892300</v>
      </c>
      <c r="L11" s="415">
        <v>918611</v>
      </c>
      <c r="M11" s="415">
        <v>926185</v>
      </c>
      <c r="N11" s="415">
        <v>961186</v>
      </c>
    </row>
    <row r="12" spans="1:14" ht="15.75" customHeight="1">
      <c r="A12" s="356"/>
      <c r="B12" s="370" t="s">
        <v>612</v>
      </c>
      <c r="C12" s="464"/>
      <c r="D12" s="465"/>
      <c r="E12" s="415">
        <v>584086</v>
      </c>
      <c r="F12" s="415">
        <v>610696</v>
      </c>
      <c r="G12" s="415">
        <v>590476</v>
      </c>
      <c r="H12" s="415">
        <v>606115</v>
      </c>
      <c r="I12" s="415">
        <v>562045</v>
      </c>
      <c r="J12" s="415">
        <v>546452</v>
      </c>
      <c r="K12" s="415">
        <v>515234</v>
      </c>
      <c r="L12" s="415">
        <v>519487</v>
      </c>
      <c r="M12" s="415">
        <v>531023</v>
      </c>
      <c r="N12" s="415">
        <v>568692</v>
      </c>
    </row>
    <row r="13" spans="1:14" ht="15.75" customHeight="1">
      <c r="A13" s="356"/>
      <c r="B13" s="370" t="s">
        <v>614</v>
      </c>
      <c r="C13" s="464"/>
      <c r="D13" s="465"/>
      <c r="E13" s="415">
        <v>2179548</v>
      </c>
      <c r="F13" s="415">
        <v>2218666</v>
      </c>
      <c r="G13" s="415">
        <v>2223476</v>
      </c>
      <c r="H13" s="415">
        <v>2171186</v>
      </c>
      <c r="I13" s="415">
        <v>2152331</v>
      </c>
      <c r="J13" s="415">
        <v>2183667</v>
      </c>
      <c r="K13" s="415">
        <v>2134147</v>
      </c>
      <c r="L13" s="415">
        <v>2155123</v>
      </c>
      <c r="M13" s="415">
        <v>2168351</v>
      </c>
      <c r="N13" s="415">
        <v>2176467</v>
      </c>
    </row>
    <row r="14" spans="1:14" ht="15.75" customHeight="1">
      <c r="A14" s="356"/>
      <c r="B14" s="370" t="s">
        <v>611</v>
      </c>
      <c r="C14" s="464"/>
      <c r="D14" s="465"/>
      <c r="E14" s="415">
        <v>1391653</v>
      </c>
      <c r="F14" s="415">
        <v>1321241</v>
      </c>
      <c r="G14" s="415">
        <v>1088550</v>
      </c>
      <c r="H14" s="415">
        <v>1073910</v>
      </c>
      <c r="I14" s="415">
        <v>1066478</v>
      </c>
      <c r="J14" s="415">
        <v>998783</v>
      </c>
      <c r="K14" s="415">
        <v>956372</v>
      </c>
      <c r="L14" s="415">
        <v>954234</v>
      </c>
      <c r="M14" s="415">
        <v>958812</v>
      </c>
      <c r="N14" s="415">
        <v>963129</v>
      </c>
    </row>
    <row r="15" spans="1:14" ht="15.75" customHeight="1">
      <c r="A15" s="356"/>
      <c r="B15" s="370" t="s">
        <v>613</v>
      </c>
      <c r="C15" s="464"/>
      <c r="D15" s="465"/>
      <c r="E15" s="415">
        <v>1621615</v>
      </c>
      <c r="F15" s="415">
        <v>1640758</v>
      </c>
      <c r="G15" s="415">
        <v>1654445</v>
      </c>
      <c r="H15" s="415">
        <v>1695783</v>
      </c>
      <c r="I15" s="415">
        <v>1718203</v>
      </c>
      <c r="J15" s="415">
        <v>1743278</v>
      </c>
      <c r="K15" s="415">
        <v>1737271</v>
      </c>
      <c r="L15" s="415">
        <v>1738484</v>
      </c>
      <c r="M15" s="415">
        <v>1757109</v>
      </c>
      <c r="N15" s="415">
        <v>1772002</v>
      </c>
    </row>
    <row r="16" spans="1:14" ht="15.75" customHeight="1">
      <c r="A16" s="356"/>
      <c r="B16" s="629" t="s">
        <v>615</v>
      </c>
      <c r="C16" s="630"/>
      <c r="D16" s="631"/>
      <c r="E16" s="415">
        <v>2336409</v>
      </c>
      <c r="F16" s="415">
        <v>2451263</v>
      </c>
      <c r="G16" s="415">
        <v>2501631</v>
      </c>
      <c r="H16" s="415">
        <v>2317946</v>
      </c>
      <c r="I16" s="415">
        <v>2278145</v>
      </c>
      <c r="J16" s="415">
        <v>2375592</v>
      </c>
      <c r="K16" s="415">
        <v>2330973</v>
      </c>
      <c r="L16" s="415">
        <v>2376245</v>
      </c>
      <c r="M16" s="415">
        <v>2419641</v>
      </c>
      <c r="N16" s="415">
        <v>2552833</v>
      </c>
    </row>
    <row r="17" spans="1:14" ht="15.75" customHeight="1">
      <c r="A17" s="356"/>
      <c r="B17" s="370" t="s">
        <v>616</v>
      </c>
      <c r="C17" s="464"/>
      <c r="D17" s="465"/>
      <c r="E17" s="415">
        <v>726511</v>
      </c>
      <c r="F17" s="415">
        <v>727535</v>
      </c>
      <c r="G17" s="415">
        <v>728649</v>
      </c>
      <c r="H17" s="415">
        <v>705074</v>
      </c>
      <c r="I17" s="415">
        <v>741307</v>
      </c>
      <c r="J17" s="415">
        <v>734715</v>
      </c>
      <c r="K17" s="415">
        <v>696762</v>
      </c>
      <c r="L17" s="415">
        <v>700289</v>
      </c>
      <c r="M17" s="415">
        <v>725983</v>
      </c>
      <c r="N17" s="415">
        <v>691081</v>
      </c>
    </row>
    <row r="18" spans="1:14" ht="15.75" customHeight="1">
      <c r="A18" s="356"/>
      <c r="B18" s="370" t="s">
        <v>617</v>
      </c>
      <c r="C18" s="464"/>
      <c r="D18" s="465"/>
      <c r="E18" s="415">
        <v>378415</v>
      </c>
      <c r="F18" s="415">
        <v>382776</v>
      </c>
      <c r="G18" s="415">
        <v>383800</v>
      </c>
      <c r="H18" s="415">
        <v>383896</v>
      </c>
      <c r="I18" s="415">
        <v>400754</v>
      </c>
      <c r="J18" s="415">
        <v>404913</v>
      </c>
      <c r="K18" s="415">
        <v>388998</v>
      </c>
      <c r="L18" s="415">
        <v>409861</v>
      </c>
      <c r="M18" s="415">
        <v>430604</v>
      </c>
      <c r="N18" s="415">
        <v>442710</v>
      </c>
    </row>
    <row r="19" spans="1:14" ht="15.75" customHeight="1">
      <c r="A19" s="356"/>
      <c r="B19" s="370" t="s">
        <v>618</v>
      </c>
      <c r="C19" s="464"/>
      <c r="D19" s="465"/>
      <c r="E19" s="415">
        <v>975770</v>
      </c>
      <c r="F19" s="415">
        <v>992456</v>
      </c>
      <c r="G19" s="415">
        <v>981959</v>
      </c>
      <c r="H19" s="415">
        <v>1045720</v>
      </c>
      <c r="I19" s="415">
        <v>1100590</v>
      </c>
      <c r="J19" s="415">
        <v>1108844</v>
      </c>
      <c r="K19" s="415">
        <v>1122694</v>
      </c>
      <c r="L19" s="415">
        <v>1169534</v>
      </c>
      <c r="M19" s="415">
        <v>1169283</v>
      </c>
      <c r="N19" s="415">
        <v>1199251</v>
      </c>
    </row>
    <row r="20" spans="1:14" ht="15.75" customHeight="1">
      <c r="A20" s="356"/>
      <c r="B20" s="370" t="s">
        <v>619</v>
      </c>
      <c r="C20" s="464"/>
      <c r="D20" s="465"/>
      <c r="E20" s="415">
        <v>877147</v>
      </c>
      <c r="F20" s="415">
        <v>847874</v>
      </c>
      <c r="G20" s="415">
        <v>810064</v>
      </c>
      <c r="H20" s="415">
        <v>769940</v>
      </c>
      <c r="I20" s="415">
        <v>756223</v>
      </c>
      <c r="J20" s="415">
        <v>759302</v>
      </c>
      <c r="K20" s="415">
        <v>753747</v>
      </c>
      <c r="L20" s="415">
        <v>744842</v>
      </c>
      <c r="M20" s="415">
        <v>754892</v>
      </c>
      <c r="N20" s="415">
        <v>767383</v>
      </c>
    </row>
    <row r="21" spans="1:14" ht="15.75" customHeight="1">
      <c r="A21" s="356"/>
      <c r="B21" s="370" t="s">
        <v>620</v>
      </c>
      <c r="C21" s="464"/>
      <c r="D21" s="465"/>
      <c r="E21" s="415">
        <v>20729268</v>
      </c>
      <c r="F21" s="415">
        <v>20773211</v>
      </c>
      <c r="G21" s="415">
        <v>20146307</v>
      </c>
      <c r="H21" s="415">
        <v>18960089</v>
      </c>
      <c r="I21" s="415">
        <v>18945436</v>
      </c>
      <c r="J21" s="415">
        <v>19171195</v>
      </c>
      <c r="K21" s="415">
        <v>18836707</v>
      </c>
      <c r="L21" s="415">
        <v>19128792</v>
      </c>
      <c r="M21" s="415">
        <v>19280149</v>
      </c>
      <c r="N21" s="415">
        <v>19611956</v>
      </c>
    </row>
    <row r="22" spans="1:14" ht="15.75" customHeight="1">
      <c r="A22" s="356"/>
      <c r="B22" s="370" t="s">
        <v>621</v>
      </c>
      <c r="C22" s="464"/>
      <c r="D22" s="465"/>
      <c r="E22" s="466">
        <v>212785</v>
      </c>
      <c r="F22" s="466">
        <v>223162</v>
      </c>
      <c r="G22" s="466">
        <v>230022</v>
      </c>
      <c r="H22" s="466">
        <v>169200</v>
      </c>
      <c r="I22" s="466">
        <v>183508</v>
      </c>
      <c r="J22" s="466">
        <v>216536</v>
      </c>
      <c r="K22" s="466">
        <v>217040</v>
      </c>
      <c r="L22" s="466">
        <v>242433</v>
      </c>
      <c r="M22" s="466">
        <v>325883</v>
      </c>
      <c r="N22" s="466">
        <v>322747</v>
      </c>
    </row>
    <row r="23" spans="1:14" ht="15.75" customHeight="1">
      <c r="A23" s="356"/>
      <c r="B23" s="629" t="s">
        <v>622</v>
      </c>
      <c r="C23" s="630"/>
      <c r="D23" s="631"/>
      <c r="E23" s="466">
        <v>-107538</v>
      </c>
      <c r="F23" s="466">
        <v>-118616</v>
      </c>
      <c r="G23" s="466">
        <v>-98966</v>
      </c>
      <c r="H23" s="466">
        <v>-93114</v>
      </c>
      <c r="I23" s="466">
        <v>-90520</v>
      </c>
      <c r="J23" s="466">
        <v>-99184</v>
      </c>
      <c r="K23" s="466">
        <v>-91997</v>
      </c>
      <c r="L23" s="466">
        <v>-103807</v>
      </c>
      <c r="M23" s="466">
        <v>-133854</v>
      </c>
      <c r="N23" s="466">
        <v>-172893</v>
      </c>
    </row>
    <row r="24" spans="1:14" ht="15.75" customHeight="1">
      <c r="A24" s="356"/>
      <c r="B24" s="370" t="s">
        <v>623</v>
      </c>
      <c r="C24" s="464"/>
      <c r="D24" s="465"/>
      <c r="E24" s="460">
        <v>20834515</v>
      </c>
      <c r="F24" s="460">
        <v>20877757</v>
      </c>
      <c r="G24" s="460">
        <v>20277363</v>
      </c>
      <c r="H24" s="460">
        <v>19036175</v>
      </c>
      <c r="I24" s="460">
        <v>19038424</v>
      </c>
      <c r="J24" s="460">
        <v>19288547</v>
      </c>
      <c r="K24" s="460">
        <v>18961750</v>
      </c>
      <c r="L24" s="460">
        <v>19267418</v>
      </c>
      <c r="M24" s="460">
        <v>19472178</v>
      </c>
      <c r="N24" s="460">
        <v>19761810</v>
      </c>
    </row>
    <row r="25" spans="1:14" ht="15.75" customHeight="1">
      <c r="A25" s="356"/>
      <c r="B25" s="354"/>
      <c r="C25" s="354"/>
      <c r="D25" s="354"/>
      <c r="E25" s="358"/>
      <c r="F25" s="358"/>
      <c r="G25" s="358"/>
      <c r="H25" s="358"/>
      <c r="I25" s="358"/>
      <c r="J25" s="358"/>
      <c r="K25" s="358"/>
      <c r="L25" s="358"/>
      <c r="M25" s="354"/>
      <c r="N25" s="354"/>
    </row>
    <row r="26" spans="1:14" ht="15.75" customHeight="1">
      <c r="A26" s="356"/>
      <c r="B26" s="354"/>
      <c r="C26" s="354"/>
      <c r="D26" s="354"/>
      <c r="E26" s="358"/>
      <c r="F26" s="358"/>
      <c r="G26" s="358"/>
      <c r="H26" s="358"/>
      <c r="I26" s="358"/>
      <c r="J26" s="358"/>
      <c r="K26" s="358"/>
      <c r="L26" s="358"/>
      <c r="M26" s="354"/>
      <c r="N26" s="354"/>
    </row>
    <row r="28" spans="1:14">
      <c r="E28" s="25"/>
    </row>
  </sheetData>
  <mergeCells count="3">
    <mergeCell ref="B23:D23"/>
    <mergeCell ref="B16:D16"/>
    <mergeCell ref="B8:D8"/>
  </mergeCells>
  <phoneticPr fontId="8"/>
  <pageMargins left="0.70866141732283472" right="0" top="0.55118110236220474" bottom="0.35433070866141736" header="0.31496062992125984" footer="0.31496062992125984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zoomScale="115" zoomScaleNormal="115" workbookViewId="0"/>
  </sheetViews>
  <sheetFormatPr defaultRowHeight="13.5"/>
  <cols>
    <col min="1" max="1" width="1.625" style="54" customWidth="1"/>
    <col min="2" max="2" width="9" style="54"/>
    <col min="3" max="3" width="11.375" style="54" bestFit="1" customWidth="1"/>
    <col min="4" max="4" width="11.125" style="54" customWidth="1"/>
    <col min="5" max="5" width="9" style="54"/>
    <col min="6" max="6" width="9.5" style="54" customWidth="1"/>
    <col min="7" max="7" width="10.25" style="54" bestFit="1" customWidth="1"/>
    <col min="8" max="8" width="11" style="54" bestFit="1" customWidth="1"/>
    <col min="9" max="10" width="9" style="54"/>
    <col min="11" max="12" width="1.625" style="54" customWidth="1"/>
    <col min="13" max="16384" width="9" style="54"/>
  </cols>
  <sheetData>
    <row r="1" spans="1:10">
      <c r="A1" s="54" t="s">
        <v>79</v>
      </c>
    </row>
    <row r="3" spans="1:10">
      <c r="B3" s="338"/>
      <c r="C3" s="338"/>
      <c r="D3" s="338"/>
      <c r="E3" s="338"/>
      <c r="F3" s="338"/>
      <c r="G3" s="338"/>
      <c r="H3" s="338"/>
      <c r="I3" s="338"/>
      <c r="J3" s="338"/>
    </row>
    <row r="4" spans="1:10">
      <c r="B4" s="467"/>
      <c r="C4" s="632" t="s">
        <v>50</v>
      </c>
      <c r="D4" s="468"/>
      <c r="E4" s="469"/>
      <c r="F4" s="470"/>
      <c r="G4" s="467"/>
      <c r="H4" s="632" t="s">
        <v>50</v>
      </c>
      <c r="I4" s="468"/>
      <c r="J4" s="469"/>
    </row>
    <row r="5" spans="1:10">
      <c r="B5" s="471"/>
      <c r="C5" s="633"/>
      <c r="D5" s="472" t="s">
        <v>51</v>
      </c>
      <c r="E5" s="472" t="s">
        <v>52</v>
      </c>
      <c r="F5" s="470"/>
      <c r="G5" s="471"/>
      <c r="H5" s="633"/>
      <c r="I5" s="472" t="s">
        <v>51</v>
      </c>
      <c r="J5" s="472" t="s">
        <v>52</v>
      </c>
    </row>
    <row r="6" spans="1:10">
      <c r="B6" s="473"/>
      <c r="C6" s="474" t="s">
        <v>53</v>
      </c>
      <c r="D6" s="475" t="s">
        <v>53</v>
      </c>
      <c r="E6" s="475" t="s">
        <v>566</v>
      </c>
      <c r="F6" s="470"/>
      <c r="G6" s="471"/>
      <c r="H6" s="474" t="s">
        <v>53</v>
      </c>
      <c r="I6" s="474" t="s">
        <v>53</v>
      </c>
      <c r="J6" s="474" t="s">
        <v>566</v>
      </c>
    </row>
    <row r="7" spans="1:10">
      <c r="B7" s="476" t="s">
        <v>54</v>
      </c>
      <c r="C7" s="477">
        <v>1219.6801499999999</v>
      </c>
      <c r="D7" s="477">
        <v>838.03255999999999</v>
      </c>
      <c r="E7" s="478">
        <v>0.68709207081873069</v>
      </c>
      <c r="F7" s="470"/>
      <c r="G7" s="476" t="s">
        <v>55</v>
      </c>
      <c r="H7" s="477">
        <v>186.08065999999999</v>
      </c>
      <c r="I7" s="477">
        <v>88.953500000000005</v>
      </c>
      <c r="J7" s="478">
        <v>0.47803731994501741</v>
      </c>
    </row>
    <row r="8" spans="1:10">
      <c r="B8" s="476" t="s">
        <v>56</v>
      </c>
      <c r="C8" s="477">
        <v>125.77455999999999</v>
      </c>
      <c r="D8" s="477">
        <v>45.826360000000001</v>
      </c>
      <c r="E8" s="478">
        <v>0.36435317285148922</v>
      </c>
      <c r="F8" s="470"/>
      <c r="G8" s="476" t="s">
        <v>57</v>
      </c>
      <c r="H8" s="477">
        <v>98.60369</v>
      </c>
      <c r="I8" s="477">
        <v>39.301960000000001</v>
      </c>
      <c r="J8" s="478">
        <v>0.39858508337771131</v>
      </c>
    </row>
    <row r="9" spans="1:10">
      <c r="B9" s="476" t="s">
        <v>58</v>
      </c>
      <c r="C9" s="477">
        <v>147.26114000000001</v>
      </c>
      <c r="D9" s="477">
        <v>79.764150000000001</v>
      </c>
      <c r="E9" s="478">
        <v>0.54165104249498541</v>
      </c>
      <c r="F9" s="470"/>
      <c r="G9" s="476" t="s">
        <v>59</v>
      </c>
      <c r="H9" s="477">
        <v>120.22342</v>
      </c>
      <c r="I9" s="477">
        <v>36.009639999999997</v>
      </c>
      <c r="J9" s="478">
        <v>0.29952267203844307</v>
      </c>
    </row>
    <row r="10" spans="1:10">
      <c r="B10" s="476" t="s">
        <v>60</v>
      </c>
      <c r="C10" s="477">
        <v>142.17983000000001</v>
      </c>
      <c r="D10" s="477">
        <v>105.89174</v>
      </c>
      <c r="E10" s="478">
        <v>0.74477329168279349</v>
      </c>
      <c r="F10" s="470"/>
      <c r="G10" s="476" t="s">
        <v>61</v>
      </c>
      <c r="H10" s="477">
        <v>103.28386999999999</v>
      </c>
      <c r="I10" s="477">
        <v>20.10127</v>
      </c>
      <c r="J10" s="478">
        <v>0.19462158031065258</v>
      </c>
    </row>
    <row r="11" spans="1:10">
      <c r="B11" s="476" t="s">
        <v>62</v>
      </c>
      <c r="C11" s="477">
        <v>1392.62554</v>
      </c>
      <c r="D11" s="477">
        <v>1056.78269</v>
      </c>
      <c r="E11" s="478">
        <v>0.96764789155749187</v>
      </c>
      <c r="F11" s="470"/>
      <c r="G11" s="476" t="s">
        <v>63</v>
      </c>
      <c r="H11" s="477">
        <v>155.19762</v>
      </c>
      <c r="I11" s="477">
        <v>51.891829999999999</v>
      </c>
      <c r="J11" s="478">
        <v>0.33435970216553579</v>
      </c>
    </row>
    <row r="12" spans="1:10">
      <c r="B12" s="476" t="s">
        <v>64</v>
      </c>
      <c r="C12" s="477">
        <v>389.72795000000002</v>
      </c>
      <c r="D12" s="477">
        <v>251.0538</v>
      </c>
      <c r="E12" s="478">
        <v>0.64417704709143897</v>
      </c>
      <c r="F12" s="470"/>
      <c r="G12" s="476" t="s">
        <v>65</v>
      </c>
      <c r="H12" s="477">
        <v>112.35120000000001</v>
      </c>
      <c r="I12" s="477">
        <v>39.364849999999997</v>
      </c>
      <c r="J12" s="478">
        <v>0.35037320473657596</v>
      </c>
    </row>
    <row r="13" spans="1:10">
      <c r="B13" s="476" t="s">
        <v>66</v>
      </c>
      <c r="C13" s="477">
        <v>111.53039</v>
      </c>
      <c r="D13" s="477">
        <v>58.614750000000001</v>
      </c>
      <c r="E13" s="478">
        <v>0.52554958339157609</v>
      </c>
      <c r="F13" s="470"/>
      <c r="G13" s="476" t="s">
        <v>67</v>
      </c>
      <c r="H13" s="477">
        <v>156.15929</v>
      </c>
      <c r="I13" s="477">
        <v>60.073459999999997</v>
      </c>
      <c r="J13" s="478">
        <v>0.38469347548903426</v>
      </c>
    </row>
    <row r="14" spans="1:10">
      <c r="B14" s="476" t="s">
        <v>68</v>
      </c>
      <c r="C14" s="477">
        <v>82.903670000000005</v>
      </c>
      <c r="D14" s="477">
        <v>44.695390000000003</v>
      </c>
      <c r="E14" s="478">
        <v>0.53912438375767924</v>
      </c>
      <c r="F14" s="470"/>
      <c r="G14" s="476" t="s">
        <v>69</v>
      </c>
      <c r="H14" s="477">
        <v>236.50375</v>
      </c>
      <c r="I14" s="477">
        <v>158.50968</v>
      </c>
      <c r="J14" s="478">
        <v>0.67022057789781353</v>
      </c>
    </row>
    <row r="15" spans="1:10">
      <c r="B15" s="476" t="s">
        <v>70</v>
      </c>
      <c r="C15" s="477">
        <v>199.33515</v>
      </c>
      <c r="D15" s="477">
        <v>72.406499999999994</v>
      </c>
      <c r="E15" s="478">
        <v>0.36324000057190109</v>
      </c>
      <c r="F15" s="470"/>
      <c r="G15" s="476" t="s">
        <v>71</v>
      </c>
      <c r="H15" s="477">
        <v>155.82570999999999</v>
      </c>
      <c r="I15" s="477">
        <v>33.235239999999997</v>
      </c>
      <c r="J15" s="478">
        <v>0.2132847012216405</v>
      </c>
    </row>
    <row r="16" spans="1:10">
      <c r="B16" s="476" t="s">
        <v>72</v>
      </c>
      <c r="C16" s="477">
        <v>167.12280000000001</v>
      </c>
      <c r="D16" s="477">
        <v>104.27202</v>
      </c>
      <c r="E16" s="478">
        <v>0.62392456325528289</v>
      </c>
      <c r="F16" s="470"/>
      <c r="G16" s="476" t="s">
        <v>73</v>
      </c>
      <c r="H16" s="477">
        <v>134.34608</v>
      </c>
      <c r="I16" s="477">
        <v>30.89002</v>
      </c>
      <c r="J16" s="478">
        <v>0.22992870353939615</v>
      </c>
    </row>
    <row r="17" spans="2:10">
      <c r="B17" s="476" t="s">
        <v>74</v>
      </c>
      <c r="C17" s="477">
        <v>172.10541000000001</v>
      </c>
      <c r="D17" s="477">
        <v>78.579759999999993</v>
      </c>
      <c r="E17" s="478">
        <v>0.45657925570149127</v>
      </c>
      <c r="F17" s="470"/>
      <c r="G17" s="476" t="s">
        <v>75</v>
      </c>
      <c r="H17" s="477">
        <v>179.51558</v>
      </c>
      <c r="I17" s="477">
        <v>53.200760000000002</v>
      </c>
      <c r="J17" s="478">
        <v>0.29635734124024221</v>
      </c>
    </row>
    <row r="18" spans="2:10">
      <c r="B18" s="476" t="s">
        <v>76</v>
      </c>
      <c r="C18" s="477">
        <v>408.42736000000002</v>
      </c>
      <c r="D18" s="477">
        <v>212.46529000000001</v>
      </c>
      <c r="E18" s="478">
        <v>0.52020337227163238</v>
      </c>
      <c r="F18" s="470"/>
      <c r="G18" s="476" t="s">
        <v>77</v>
      </c>
      <c r="H18" s="477">
        <v>90.344890000000007</v>
      </c>
      <c r="I18" s="477">
        <v>38.325499999999998</v>
      </c>
      <c r="J18" s="478">
        <v>0.42421325655496395</v>
      </c>
    </row>
    <row r="19" spans="2:10">
      <c r="B19" s="470"/>
      <c r="C19" s="470"/>
      <c r="D19" s="470"/>
      <c r="E19" s="470"/>
      <c r="F19" s="470"/>
      <c r="G19" s="476" t="s">
        <v>78</v>
      </c>
      <c r="H19" s="477">
        <v>6287.1097099999997</v>
      </c>
      <c r="I19" s="477">
        <v>3598.2427200000002</v>
      </c>
      <c r="J19" s="478">
        <v>0.57232065066031756</v>
      </c>
    </row>
    <row r="29" spans="2:10">
      <c r="B29" s="55"/>
    </row>
    <row r="30" spans="2:10">
      <c r="B30" s="55"/>
    </row>
    <row r="39" spans="3:5">
      <c r="C39" s="339"/>
    </row>
    <row r="40" spans="3:5">
      <c r="C40" s="339"/>
      <c r="D40" s="339"/>
      <c r="E40" s="339"/>
    </row>
    <row r="41" spans="3:5">
      <c r="C41" s="339"/>
      <c r="D41" s="339"/>
      <c r="E41" s="339"/>
    </row>
    <row r="42" spans="3:5">
      <c r="C42" s="56"/>
      <c r="D42" s="57"/>
      <c r="E42" s="58"/>
    </row>
    <row r="43" spans="3:5">
      <c r="C43" s="56"/>
      <c r="D43" s="57"/>
      <c r="E43" s="58"/>
    </row>
    <row r="44" spans="3:5">
      <c r="C44" s="56"/>
      <c r="D44" s="57"/>
      <c r="E44" s="58"/>
    </row>
    <row r="45" spans="3:5">
      <c r="C45" s="56"/>
      <c r="D45" s="57"/>
      <c r="E45" s="58"/>
    </row>
    <row r="52" spans="2:3">
      <c r="C52" s="56"/>
    </row>
    <row r="60" spans="2:3">
      <c r="B60" s="59"/>
    </row>
    <row r="61" spans="2:3">
      <c r="B61" s="59"/>
    </row>
    <row r="63" spans="2:3">
      <c r="B63" s="60"/>
    </row>
    <row r="65" spans="2:2">
      <c r="B65" s="59"/>
    </row>
    <row r="106" spans="1:9">
      <c r="F106" s="61"/>
      <c r="G106" s="61"/>
      <c r="H106" s="61"/>
      <c r="I106" s="61"/>
    </row>
    <row r="107" spans="1:9">
      <c r="A107" s="59"/>
      <c r="F107" s="61"/>
      <c r="G107" s="62"/>
      <c r="H107" s="63"/>
      <c r="I107" s="61"/>
    </row>
    <row r="108" spans="1:9">
      <c r="F108" s="61"/>
      <c r="G108" s="61"/>
      <c r="H108" s="61"/>
      <c r="I108" s="61"/>
    </row>
  </sheetData>
  <mergeCells count="2">
    <mergeCell ref="C4:C5"/>
    <mergeCell ref="H4:H5"/>
  </mergeCells>
  <phoneticPr fontId="8"/>
  <pageMargins left="0.74803149606299213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115" zoomScaleNormal="115" workbookViewId="0"/>
  </sheetViews>
  <sheetFormatPr defaultRowHeight="13.5"/>
  <cols>
    <col min="1" max="1" width="1.625" style="44" customWidth="1"/>
    <col min="2" max="2" width="1.5" style="44" customWidth="1"/>
    <col min="3" max="3" width="1.75" style="44" customWidth="1"/>
    <col min="4" max="4" width="24.625" style="44" customWidth="1"/>
    <col min="5" max="5" width="7.625" style="44" customWidth="1"/>
    <col min="6" max="6" width="5.375" style="44" bestFit="1" customWidth="1"/>
    <col min="7" max="7" width="6" style="44" customWidth="1"/>
    <col min="8" max="8" width="7.625" style="44" customWidth="1"/>
    <col min="9" max="9" width="5.375" style="44" bestFit="1" customWidth="1"/>
    <col min="10" max="10" width="6" style="44" customWidth="1"/>
    <col min="11" max="12" width="2.625" customWidth="1"/>
  </cols>
  <sheetData>
    <row r="1" spans="1:10">
      <c r="A1" s="346" t="s">
        <v>109</v>
      </c>
      <c r="B1" s="346"/>
      <c r="C1" s="346"/>
      <c r="D1" s="346"/>
      <c r="E1" s="346"/>
      <c r="F1" s="346"/>
      <c r="G1" s="346"/>
      <c r="H1" s="346"/>
      <c r="I1" s="347"/>
      <c r="J1" s="346"/>
    </row>
    <row r="2" spans="1:10">
      <c r="A2" s="340"/>
      <c r="B2" s="340"/>
      <c r="C2" s="340"/>
      <c r="D2" s="340"/>
      <c r="E2" s="340"/>
      <c r="F2" s="340"/>
      <c r="G2" s="340"/>
      <c r="H2" s="340"/>
      <c r="I2" s="346"/>
      <c r="J2" s="340"/>
    </row>
    <row r="3" spans="1:10">
      <c r="A3" s="340"/>
      <c r="B3" s="479" t="s">
        <v>80</v>
      </c>
      <c r="C3" s="480"/>
      <c r="D3" s="481"/>
      <c r="E3" s="482"/>
      <c r="F3" s="482"/>
      <c r="G3" s="483"/>
      <c r="H3" s="482"/>
      <c r="I3" s="482"/>
      <c r="J3" s="483" t="s">
        <v>81</v>
      </c>
    </row>
    <row r="4" spans="1:10">
      <c r="A4" s="340"/>
      <c r="B4" s="636"/>
      <c r="C4" s="637"/>
      <c r="D4" s="637"/>
      <c r="E4" s="638" t="s">
        <v>84</v>
      </c>
      <c r="F4" s="638"/>
      <c r="G4" s="638"/>
      <c r="H4" s="638" t="s">
        <v>85</v>
      </c>
      <c r="I4" s="638"/>
      <c r="J4" s="638"/>
    </row>
    <row r="5" spans="1:10" ht="33.75">
      <c r="A5" s="345"/>
      <c r="B5" s="637"/>
      <c r="C5" s="637"/>
      <c r="D5" s="637"/>
      <c r="E5" s="608" t="s">
        <v>86</v>
      </c>
      <c r="F5" s="609" t="s">
        <v>573</v>
      </c>
      <c r="G5" s="485" t="s">
        <v>87</v>
      </c>
      <c r="H5" s="608" t="s">
        <v>86</v>
      </c>
      <c r="I5" s="609" t="s">
        <v>573</v>
      </c>
      <c r="J5" s="485" t="s">
        <v>88</v>
      </c>
    </row>
    <row r="6" spans="1:10">
      <c r="A6" s="345"/>
      <c r="B6" s="486" t="s">
        <v>89</v>
      </c>
      <c r="C6" s="486"/>
      <c r="D6" s="487"/>
      <c r="E6" s="488">
        <v>208289</v>
      </c>
      <c r="F6" s="489">
        <v>100</v>
      </c>
      <c r="G6" s="490">
        <v>2.4943411081586486</v>
      </c>
      <c r="H6" s="488">
        <v>189234</v>
      </c>
      <c r="I6" s="489">
        <v>100</v>
      </c>
      <c r="J6" s="490">
        <v>-9.1483467681922725</v>
      </c>
    </row>
    <row r="7" spans="1:10">
      <c r="A7" s="345"/>
      <c r="B7" s="486" t="s">
        <v>572</v>
      </c>
      <c r="C7" s="486"/>
      <c r="D7" s="487"/>
      <c r="E7" s="488">
        <v>53</v>
      </c>
      <c r="F7" s="489">
        <v>2.5445414784266089E-2</v>
      </c>
      <c r="G7" s="490">
        <v>112.00000000000001</v>
      </c>
      <c r="H7" s="488">
        <v>45</v>
      </c>
      <c r="I7" s="489">
        <v>2.3780081803481404E-2</v>
      </c>
      <c r="J7" s="490">
        <v>-15.094339622641506</v>
      </c>
    </row>
    <row r="8" spans="1:10">
      <c r="A8" s="345"/>
      <c r="B8" s="486" t="s">
        <v>571</v>
      </c>
      <c r="C8" s="486"/>
      <c r="D8" s="487"/>
      <c r="E8" s="488">
        <v>8</v>
      </c>
      <c r="F8" s="489">
        <v>3.8408173259269571E-3</v>
      </c>
      <c r="G8" s="490">
        <v>60.000000000000007</v>
      </c>
      <c r="H8" s="488">
        <v>10</v>
      </c>
      <c r="I8" s="489">
        <v>5.2844626229958678E-3</v>
      </c>
      <c r="J8" s="490">
        <v>25</v>
      </c>
    </row>
    <row r="9" spans="1:10">
      <c r="A9" s="345"/>
      <c r="B9" s="486" t="s">
        <v>90</v>
      </c>
      <c r="C9" s="491"/>
      <c r="D9" s="487"/>
      <c r="E9" s="488">
        <v>11193</v>
      </c>
      <c r="F9" s="489">
        <v>5.3737835411375539</v>
      </c>
      <c r="G9" s="490">
        <v>9.1254752851710919</v>
      </c>
      <c r="H9" s="488">
        <v>9748</v>
      </c>
      <c r="I9" s="489">
        <v>5.1512941648963713</v>
      </c>
      <c r="J9" s="490">
        <v>-12.909854373269003</v>
      </c>
    </row>
    <row r="10" spans="1:10">
      <c r="A10" s="345"/>
      <c r="B10" s="486" t="s">
        <v>91</v>
      </c>
      <c r="C10" s="491"/>
      <c r="D10" s="487"/>
      <c r="E10" s="488">
        <v>22656</v>
      </c>
      <c r="F10" s="489">
        <v>10.877194667025144</v>
      </c>
      <c r="G10" s="490">
        <v>-7.8387503559370302</v>
      </c>
      <c r="H10" s="488">
        <v>19223</v>
      </c>
      <c r="I10" s="489">
        <v>10.158322500184957</v>
      </c>
      <c r="J10" s="490">
        <v>-15.152718926553677</v>
      </c>
    </row>
    <row r="11" spans="1:10">
      <c r="A11" s="345"/>
      <c r="B11" s="639" t="s">
        <v>570</v>
      </c>
      <c r="C11" s="639"/>
      <c r="D11" s="639"/>
      <c r="E11" s="488">
        <v>88</v>
      </c>
      <c r="F11" s="489">
        <v>4.224899058519653E-2</v>
      </c>
      <c r="G11" s="490">
        <v>109.52380952380953</v>
      </c>
      <c r="H11" s="488">
        <v>62</v>
      </c>
      <c r="I11" s="489">
        <v>3.2763668262574375E-2</v>
      </c>
      <c r="J11" s="490">
        <v>-29.54545454545454</v>
      </c>
    </row>
    <row r="12" spans="1:10">
      <c r="A12" s="345"/>
      <c r="B12" s="486" t="s">
        <v>92</v>
      </c>
      <c r="C12" s="491"/>
      <c r="D12" s="487"/>
      <c r="E12" s="488">
        <v>5721</v>
      </c>
      <c r="F12" s="489">
        <v>2.7466644902035151</v>
      </c>
      <c r="G12" s="490">
        <v>47.296601441812555</v>
      </c>
      <c r="H12" s="488">
        <v>4964</v>
      </c>
      <c r="I12" s="489">
        <v>2.623207246055149</v>
      </c>
      <c r="J12" s="490">
        <v>-13.231952455864359</v>
      </c>
    </row>
    <row r="13" spans="1:10">
      <c r="A13" s="345"/>
      <c r="B13" s="486" t="s">
        <v>93</v>
      </c>
      <c r="C13" s="491"/>
      <c r="D13" s="487"/>
      <c r="E13" s="488">
        <v>4966</v>
      </c>
      <c r="F13" s="489">
        <v>2.3841873550691584</v>
      </c>
      <c r="G13" s="490">
        <v>17.260920897284528</v>
      </c>
      <c r="H13" s="488">
        <v>4466</v>
      </c>
      <c r="I13" s="489">
        <v>2.3600410074299543</v>
      </c>
      <c r="J13" s="490">
        <v>-10.068465565847761</v>
      </c>
    </row>
    <row r="14" spans="1:10">
      <c r="A14" s="345"/>
      <c r="B14" s="640" t="s">
        <v>94</v>
      </c>
      <c r="C14" s="639"/>
      <c r="D14" s="639"/>
      <c r="E14" s="488">
        <v>56884</v>
      </c>
      <c r="F14" s="489">
        <v>27.310131596003629</v>
      </c>
      <c r="G14" s="490">
        <v>-6.7230749048930889</v>
      </c>
      <c r="H14" s="488">
        <v>52463</v>
      </c>
      <c r="I14" s="489">
        <v>27.723876259023221</v>
      </c>
      <c r="J14" s="490">
        <v>-7.7719569650516851</v>
      </c>
    </row>
    <row r="15" spans="1:10">
      <c r="A15" s="340"/>
      <c r="B15" s="492"/>
      <c r="C15" s="486" t="s">
        <v>95</v>
      </c>
      <c r="D15" s="486"/>
      <c r="E15" s="493">
        <v>25434</v>
      </c>
      <c r="F15" s="489">
        <v>12.210918483453279</v>
      </c>
      <c r="G15" s="490">
        <v>-2.0940796058203093</v>
      </c>
      <c r="H15" s="493">
        <v>23843</v>
      </c>
      <c r="I15" s="489">
        <v>12.599744232009048</v>
      </c>
      <c r="J15" s="490">
        <v>-6.2554061492490316</v>
      </c>
    </row>
    <row r="16" spans="1:10">
      <c r="A16" s="340"/>
      <c r="B16" s="494"/>
      <c r="C16" s="486" t="s">
        <v>96</v>
      </c>
      <c r="D16" s="486"/>
      <c r="E16" s="493">
        <v>31450</v>
      </c>
      <c r="F16" s="489">
        <v>15.09921311255035</v>
      </c>
      <c r="G16" s="490">
        <v>-10.158258584242697</v>
      </c>
      <c r="H16" s="493">
        <v>28620</v>
      </c>
      <c r="I16" s="489">
        <v>15.124132027014173</v>
      </c>
      <c r="J16" s="490">
        <v>-8.9984101748807674</v>
      </c>
    </row>
    <row r="17" spans="1:10">
      <c r="A17" s="345"/>
      <c r="B17" s="486" t="s">
        <v>569</v>
      </c>
      <c r="C17" s="491"/>
      <c r="D17" s="487"/>
      <c r="E17" s="488">
        <v>3281</v>
      </c>
      <c r="F17" s="489">
        <v>1.5752152057957931</v>
      </c>
      <c r="G17" s="490">
        <v>17.47225205871823</v>
      </c>
      <c r="H17" s="488">
        <v>3054</v>
      </c>
      <c r="I17" s="489">
        <v>1.6138748850629381</v>
      </c>
      <c r="J17" s="490">
        <v>-6.918622371228289</v>
      </c>
    </row>
    <row r="18" spans="1:10">
      <c r="A18" s="345"/>
      <c r="B18" s="486" t="s">
        <v>568</v>
      </c>
      <c r="C18" s="486"/>
      <c r="D18" s="487"/>
      <c r="E18" s="488">
        <v>19088</v>
      </c>
      <c r="F18" s="489">
        <v>9.16419013966172</v>
      </c>
      <c r="G18" s="490">
        <v>21.968051118210852</v>
      </c>
      <c r="H18" s="488">
        <v>17091</v>
      </c>
      <c r="I18" s="489">
        <v>9.0316750689622367</v>
      </c>
      <c r="J18" s="490">
        <v>-10.462070410729252</v>
      </c>
    </row>
    <row r="19" spans="1:10">
      <c r="A19" s="345"/>
      <c r="B19" s="486" t="s">
        <v>97</v>
      </c>
      <c r="C19" s="486"/>
      <c r="D19" s="487"/>
      <c r="E19" s="488">
        <v>13970</v>
      </c>
      <c r="F19" s="489">
        <v>6.7070272553999484</v>
      </c>
      <c r="G19" s="495" t="s">
        <v>574</v>
      </c>
      <c r="H19" s="488">
        <v>12438</v>
      </c>
      <c r="I19" s="489">
        <v>6.5728146104822596</v>
      </c>
      <c r="J19" s="490">
        <v>-10.966356478167505</v>
      </c>
    </row>
    <row r="20" spans="1:10">
      <c r="A20" s="345"/>
      <c r="B20" s="486" t="s">
        <v>98</v>
      </c>
      <c r="C20" s="491"/>
      <c r="D20" s="487"/>
      <c r="E20" s="488">
        <v>31670</v>
      </c>
      <c r="F20" s="489">
        <v>15.20483558901334</v>
      </c>
      <c r="G20" s="490">
        <v>-3.0520096733706814</v>
      </c>
      <c r="H20" s="488">
        <v>28574</v>
      </c>
      <c r="I20" s="489">
        <v>15.099823498948393</v>
      </c>
      <c r="J20" s="490">
        <v>-9.775813072308182</v>
      </c>
    </row>
    <row r="21" spans="1:10">
      <c r="A21" s="345"/>
      <c r="B21" s="486" t="s">
        <v>99</v>
      </c>
      <c r="C21" s="491"/>
      <c r="D21" s="487"/>
      <c r="E21" s="488">
        <v>12661</v>
      </c>
      <c r="F21" s="489">
        <v>6.0785735204451505</v>
      </c>
      <c r="G21" s="495" t="s">
        <v>574</v>
      </c>
      <c r="H21" s="488">
        <v>11646</v>
      </c>
      <c r="I21" s="489">
        <v>6.1542851707409874</v>
      </c>
      <c r="J21" s="490">
        <v>-8.0167443329910775</v>
      </c>
    </row>
    <row r="22" spans="1:10">
      <c r="A22" s="345"/>
      <c r="B22" s="486" t="s">
        <v>100</v>
      </c>
      <c r="C22" s="491"/>
      <c r="D22" s="487"/>
      <c r="E22" s="488">
        <v>3628</v>
      </c>
      <c r="F22" s="489">
        <v>1.7418106573078751</v>
      </c>
      <c r="G22" s="490">
        <v>12.113720642768854</v>
      </c>
      <c r="H22" s="488">
        <v>3475</v>
      </c>
      <c r="I22" s="489">
        <v>1.8363507614910641</v>
      </c>
      <c r="J22" s="490">
        <v>-4.2171995589856621</v>
      </c>
    </row>
    <row r="23" spans="1:10">
      <c r="A23" s="345"/>
      <c r="B23" s="486" t="s">
        <v>101</v>
      </c>
      <c r="C23" s="491"/>
      <c r="D23" s="487"/>
      <c r="E23" s="488">
        <v>10652</v>
      </c>
      <c r="F23" s="489">
        <v>5.114048269471744</v>
      </c>
      <c r="G23" s="490">
        <v>26.885050625372251</v>
      </c>
      <c r="H23" s="488">
        <v>10793</v>
      </c>
      <c r="I23" s="489">
        <v>5.7035205089994401</v>
      </c>
      <c r="J23" s="490">
        <v>1.3236950807360204</v>
      </c>
    </row>
    <row r="24" spans="1:10">
      <c r="A24" s="345"/>
      <c r="B24" s="486" t="s">
        <v>102</v>
      </c>
      <c r="C24" s="491"/>
      <c r="D24" s="487"/>
      <c r="E24" s="488">
        <v>529</v>
      </c>
      <c r="F24" s="489">
        <v>0.25397404567692006</v>
      </c>
      <c r="G24" s="490">
        <v>10.20833333333333</v>
      </c>
      <c r="H24" s="488">
        <v>474</v>
      </c>
      <c r="I24" s="489">
        <v>0.25048352833000415</v>
      </c>
      <c r="J24" s="490">
        <v>-10.396975425330812</v>
      </c>
    </row>
    <row r="25" spans="1:10">
      <c r="A25" s="345"/>
      <c r="B25" s="634" t="s">
        <v>567</v>
      </c>
      <c r="C25" s="635"/>
      <c r="D25" s="635"/>
      <c r="E25" s="488">
        <v>11241</v>
      </c>
      <c r="F25" s="489">
        <v>5.3968284450931154</v>
      </c>
      <c r="G25" s="490">
        <v>-68.761116051578483</v>
      </c>
      <c r="H25" s="488">
        <v>10708</v>
      </c>
      <c r="I25" s="489">
        <v>5.6586025767039754</v>
      </c>
      <c r="J25" s="490">
        <v>-4.7415710346054629</v>
      </c>
    </row>
    <row r="26" spans="1:10">
      <c r="A26" s="344"/>
      <c r="B26" s="496"/>
      <c r="C26" s="496"/>
      <c r="D26" s="497"/>
      <c r="E26" s="497"/>
      <c r="F26" s="497"/>
      <c r="G26" s="497"/>
      <c r="H26" s="497"/>
      <c r="I26" s="497"/>
      <c r="J26" s="497"/>
    </row>
    <row r="27" spans="1:10">
      <c r="A27" s="340"/>
      <c r="B27" s="641"/>
      <c r="C27" s="638"/>
      <c r="D27" s="638"/>
      <c r="E27" s="638" t="s">
        <v>103</v>
      </c>
      <c r="F27" s="638"/>
      <c r="G27" s="638"/>
      <c r="H27" s="638" t="s">
        <v>104</v>
      </c>
      <c r="I27" s="638"/>
      <c r="J27" s="638"/>
    </row>
    <row r="28" spans="1:10" ht="33.75">
      <c r="A28" s="340"/>
      <c r="B28" s="638"/>
      <c r="C28" s="638"/>
      <c r="D28" s="638"/>
      <c r="E28" s="608" t="s">
        <v>86</v>
      </c>
      <c r="F28" s="609" t="s">
        <v>573</v>
      </c>
      <c r="G28" s="485" t="s">
        <v>105</v>
      </c>
      <c r="H28" s="608" t="s">
        <v>86</v>
      </c>
      <c r="I28" s="609" t="s">
        <v>573</v>
      </c>
      <c r="J28" s="485" t="s">
        <v>106</v>
      </c>
    </row>
    <row r="29" spans="1:10">
      <c r="A29" s="340"/>
      <c r="B29" s="486" t="s">
        <v>89</v>
      </c>
      <c r="C29" s="486"/>
      <c r="D29" s="487"/>
      <c r="E29" s="488">
        <v>190629</v>
      </c>
      <c r="F29" s="489">
        <v>100</v>
      </c>
      <c r="G29" s="490">
        <v>0.73718253590793381</v>
      </c>
      <c r="H29" s="488">
        <v>179252</v>
      </c>
      <c r="I29" s="489">
        <v>100</v>
      </c>
      <c r="J29" s="490">
        <v>-5.9681370620419765</v>
      </c>
    </row>
    <row r="30" spans="1:10">
      <c r="A30" s="340"/>
      <c r="B30" s="486" t="s">
        <v>572</v>
      </c>
      <c r="C30" s="486"/>
      <c r="D30" s="487"/>
      <c r="E30" s="488">
        <v>55</v>
      </c>
      <c r="F30" s="489">
        <v>2.8851853600449038E-2</v>
      </c>
      <c r="G30" s="490">
        <v>22.222222222222229</v>
      </c>
      <c r="H30" s="488">
        <v>51</v>
      </c>
      <c r="I30" s="489">
        <v>2.84515653939705E-2</v>
      </c>
      <c r="J30" s="490">
        <v>-7.2727272727272725</v>
      </c>
    </row>
    <row r="31" spans="1:10">
      <c r="A31" s="340"/>
      <c r="B31" s="486" t="s">
        <v>571</v>
      </c>
      <c r="C31" s="486"/>
      <c r="D31" s="487"/>
      <c r="E31" s="488">
        <v>9</v>
      </c>
      <c r="F31" s="489">
        <v>4.721212407346206E-3</v>
      </c>
      <c r="G31" s="490">
        <v>-10</v>
      </c>
      <c r="H31" s="488">
        <v>5</v>
      </c>
      <c r="I31" s="489">
        <v>2.7893691562716175E-3</v>
      </c>
      <c r="J31" s="490">
        <v>-44.444444444444443</v>
      </c>
    </row>
    <row r="32" spans="1:10">
      <c r="A32" s="340"/>
      <c r="B32" s="486" t="s">
        <v>90</v>
      </c>
      <c r="C32" s="491"/>
      <c r="D32" s="487"/>
      <c r="E32" s="488">
        <v>9431</v>
      </c>
      <c r="F32" s="489">
        <v>4.9473060237424527</v>
      </c>
      <c r="G32" s="490">
        <v>-3.2519491177677509</v>
      </c>
      <c r="H32" s="488">
        <v>8829</v>
      </c>
      <c r="I32" s="489">
        <v>4.9254680561444228</v>
      </c>
      <c r="J32" s="490">
        <v>-6.3832043261584133</v>
      </c>
    </row>
    <row r="33" spans="1:10">
      <c r="A33" s="340"/>
      <c r="B33" s="486" t="s">
        <v>91</v>
      </c>
      <c r="C33" s="491"/>
      <c r="D33" s="487"/>
      <c r="E33" s="488">
        <v>18467</v>
      </c>
      <c r="F33" s="489">
        <v>9.6874032807180441</v>
      </c>
      <c r="G33" s="490">
        <v>-3.9327888466940664</v>
      </c>
      <c r="H33" s="488">
        <v>16574</v>
      </c>
      <c r="I33" s="489">
        <v>9.2462008792091588</v>
      </c>
      <c r="J33" s="490">
        <v>-10.250717496074078</v>
      </c>
    </row>
    <row r="34" spans="1:10">
      <c r="A34" s="340"/>
      <c r="B34" s="639" t="s">
        <v>570</v>
      </c>
      <c r="C34" s="639"/>
      <c r="D34" s="639"/>
      <c r="E34" s="488">
        <v>77</v>
      </c>
      <c r="F34" s="489">
        <v>4.0392595040628657E-2</v>
      </c>
      <c r="G34" s="490">
        <v>24.193548387096769</v>
      </c>
      <c r="H34" s="488">
        <v>78</v>
      </c>
      <c r="I34" s="489">
        <v>4.3514158837837234E-2</v>
      </c>
      <c r="J34" s="490">
        <v>1.2987012987012987</v>
      </c>
    </row>
    <row r="35" spans="1:10">
      <c r="A35" s="340"/>
      <c r="B35" s="486" t="s">
        <v>92</v>
      </c>
      <c r="C35" s="491"/>
      <c r="D35" s="487"/>
      <c r="E35" s="488">
        <v>4895</v>
      </c>
      <c r="F35" s="489">
        <v>2.5678149704399647</v>
      </c>
      <c r="G35" s="490">
        <v>-1.3900080580177274</v>
      </c>
      <c r="H35" s="488">
        <v>4688</v>
      </c>
      <c r="I35" s="489">
        <v>2.6153125209202686</v>
      </c>
      <c r="J35" s="490">
        <v>-4.2288049029622066</v>
      </c>
    </row>
    <row r="36" spans="1:10">
      <c r="A36" s="340"/>
      <c r="B36" s="486" t="s">
        <v>93</v>
      </c>
      <c r="C36" s="491"/>
      <c r="D36" s="487"/>
      <c r="E36" s="488">
        <v>4423</v>
      </c>
      <c r="F36" s="489">
        <v>2.3202136086324749</v>
      </c>
      <c r="G36" s="490">
        <v>-0.96283027317510061</v>
      </c>
      <c r="H36" s="488">
        <v>4151</v>
      </c>
      <c r="I36" s="489">
        <v>2.3157342735366968</v>
      </c>
      <c r="J36" s="490">
        <v>-6.1496721682116204</v>
      </c>
    </row>
    <row r="37" spans="1:10">
      <c r="A37" s="340"/>
      <c r="B37" s="640" t="s">
        <v>94</v>
      </c>
      <c r="C37" s="639"/>
      <c r="D37" s="639"/>
      <c r="E37" s="488">
        <v>52474</v>
      </c>
      <c r="F37" s="489">
        <v>27.526766651453872</v>
      </c>
      <c r="G37" s="490">
        <v>2.0967157806467185E-2</v>
      </c>
      <c r="H37" s="488">
        <v>49355</v>
      </c>
      <c r="I37" s="489">
        <v>27.533862941557135</v>
      </c>
      <c r="J37" s="490">
        <v>-5.9438960246979455</v>
      </c>
    </row>
    <row r="38" spans="1:10">
      <c r="A38" s="340"/>
      <c r="B38" s="492"/>
      <c r="C38" s="486" t="s">
        <v>95</v>
      </c>
      <c r="D38" s="486"/>
      <c r="E38" s="493">
        <v>23765</v>
      </c>
      <c r="F38" s="489">
        <v>12.466623651175844</v>
      </c>
      <c r="G38" s="490">
        <v>-0.3271400411022114</v>
      </c>
      <c r="H38" s="498">
        <v>22668</v>
      </c>
      <c r="I38" s="499">
        <v>12.645884006873006</v>
      </c>
      <c r="J38" s="490">
        <v>-4.61603197980223</v>
      </c>
    </row>
    <row r="39" spans="1:10">
      <c r="A39" s="340"/>
      <c r="B39" s="494"/>
      <c r="C39" s="486" t="s">
        <v>96</v>
      </c>
      <c r="D39" s="486"/>
      <c r="E39" s="493">
        <v>28709</v>
      </c>
      <c r="F39" s="489">
        <v>15.060143000278025</v>
      </c>
      <c r="G39" s="490">
        <v>0.31097134870718435</v>
      </c>
      <c r="H39" s="498">
        <v>26687</v>
      </c>
      <c r="I39" s="499">
        <v>14.887978934684131</v>
      </c>
      <c r="J39" s="490">
        <v>-7.043087533526073</v>
      </c>
    </row>
    <row r="40" spans="1:10">
      <c r="A40" s="340"/>
      <c r="B40" s="486" t="s">
        <v>569</v>
      </c>
      <c r="C40" s="491"/>
      <c r="D40" s="487"/>
      <c r="E40" s="488">
        <v>3111</v>
      </c>
      <c r="F40" s="489">
        <v>1.6319657554726721</v>
      </c>
      <c r="G40" s="490">
        <v>1.8664047151277146</v>
      </c>
      <c r="H40" s="488">
        <v>2973</v>
      </c>
      <c r="I40" s="489">
        <v>1.6585589003191039</v>
      </c>
      <c r="J40" s="490">
        <v>-4.4358727097396331</v>
      </c>
    </row>
    <row r="41" spans="1:10">
      <c r="A41" s="340"/>
      <c r="B41" s="486" t="s">
        <v>568</v>
      </c>
      <c r="C41" s="486"/>
      <c r="D41" s="487"/>
      <c r="E41" s="488">
        <v>16999</v>
      </c>
      <c r="F41" s="489">
        <v>8.9173210791642408</v>
      </c>
      <c r="G41" s="490">
        <v>-0.53829500906910255</v>
      </c>
      <c r="H41" s="488">
        <v>15228</v>
      </c>
      <c r="I41" s="489">
        <v>8.4953027023408385</v>
      </c>
      <c r="J41" s="490">
        <v>-10.418259897641038</v>
      </c>
    </row>
    <row r="42" spans="1:10">
      <c r="A42" s="340"/>
      <c r="B42" s="486" t="s">
        <v>107</v>
      </c>
      <c r="C42" s="486"/>
      <c r="D42" s="487"/>
      <c r="E42" s="488">
        <v>12547</v>
      </c>
      <c r="F42" s="489">
        <v>6.5818946749969838</v>
      </c>
      <c r="G42" s="490">
        <v>0.87634667953047085</v>
      </c>
      <c r="H42" s="488">
        <v>12103</v>
      </c>
      <c r="I42" s="489">
        <v>6.7519469796710778</v>
      </c>
      <c r="J42" s="490">
        <v>-3.538694508647485</v>
      </c>
    </row>
    <row r="43" spans="1:10">
      <c r="A43" s="340"/>
      <c r="B43" s="486" t="s">
        <v>98</v>
      </c>
      <c r="C43" s="491"/>
      <c r="D43" s="487"/>
      <c r="E43" s="488">
        <v>28422</v>
      </c>
      <c r="F43" s="489">
        <v>14.909588782399318</v>
      </c>
      <c r="G43" s="490">
        <v>-0.53195212430881611</v>
      </c>
      <c r="H43" s="488">
        <v>26607</v>
      </c>
      <c r="I43" s="489">
        <v>14.843349028183786</v>
      </c>
      <c r="J43" s="490">
        <v>-6.3858982478361828</v>
      </c>
    </row>
    <row r="44" spans="1:10">
      <c r="A44" s="340"/>
      <c r="B44" s="486" t="s">
        <v>99</v>
      </c>
      <c r="C44" s="491"/>
      <c r="D44" s="487"/>
      <c r="E44" s="488">
        <v>11728</v>
      </c>
      <c r="F44" s="489">
        <v>6.1522643459284785</v>
      </c>
      <c r="G44" s="490">
        <v>0.70410441353254782</v>
      </c>
      <c r="H44" s="488">
        <v>11163</v>
      </c>
      <c r="I44" s="489">
        <v>6.2275455782920135</v>
      </c>
      <c r="J44" s="490">
        <v>-4.8175306957708042</v>
      </c>
    </row>
    <row r="45" spans="1:10">
      <c r="A45" s="340"/>
      <c r="B45" s="486" t="s">
        <v>100</v>
      </c>
      <c r="C45" s="491"/>
      <c r="D45" s="487"/>
      <c r="E45" s="488">
        <v>3780</v>
      </c>
      <c r="F45" s="489">
        <v>1.9829092110854067</v>
      </c>
      <c r="G45" s="490">
        <v>8.7769784172661929</v>
      </c>
      <c r="H45" s="488">
        <v>3705</v>
      </c>
      <c r="I45" s="489">
        <v>2.0669225447972686</v>
      </c>
      <c r="J45" s="490">
        <v>-1.984126984126984</v>
      </c>
    </row>
    <row r="46" spans="1:10">
      <c r="A46" s="340"/>
      <c r="B46" s="486" t="s">
        <v>101</v>
      </c>
      <c r="C46" s="491"/>
      <c r="D46" s="487"/>
      <c r="E46" s="488">
        <v>12752</v>
      </c>
      <c r="F46" s="489">
        <v>6.6894334020532034</v>
      </c>
      <c r="G46" s="490">
        <v>18.150653201148899</v>
      </c>
      <c r="H46" s="488">
        <v>12805</v>
      </c>
      <c r="I46" s="489">
        <v>7.1435744092116131</v>
      </c>
      <c r="J46" s="490">
        <v>0.41562107904642404</v>
      </c>
    </row>
    <row r="47" spans="1:10">
      <c r="A47" s="340"/>
      <c r="B47" s="486" t="s">
        <v>102</v>
      </c>
      <c r="C47" s="491"/>
      <c r="D47" s="487"/>
      <c r="E47" s="488">
        <v>453</v>
      </c>
      <c r="F47" s="489">
        <v>0.23763435783642575</v>
      </c>
      <c r="G47" s="490">
        <v>-4.4303797468354418</v>
      </c>
      <c r="H47" s="488">
        <v>438</v>
      </c>
      <c r="I47" s="489">
        <v>0.2443487380893937</v>
      </c>
      <c r="J47" s="490">
        <v>-3.3112582781456954</v>
      </c>
    </row>
    <row r="48" spans="1:10">
      <c r="A48" s="340"/>
      <c r="B48" s="634" t="s">
        <v>567</v>
      </c>
      <c r="C48" s="635"/>
      <c r="D48" s="635"/>
      <c r="E48" s="488">
        <v>11006</v>
      </c>
      <c r="F48" s="489">
        <v>5.7735181950280383</v>
      </c>
      <c r="G48" s="490">
        <v>2.7829660067239388</v>
      </c>
      <c r="H48" s="488">
        <v>10499</v>
      </c>
      <c r="I48" s="489">
        <v>5.8571173543391426</v>
      </c>
      <c r="J48" s="490">
        <v>-4.6065782300563329</v>
      </c>
    </row>
    <row r="49" spans="1:10">
      <c r="A49" s="340"/>
      <c r="B49" s="340"/>
      <c r="C49" s="340"/>
      <c r="D49" s="342"/>
      <c r="E49" s="340"/>
      <c r="F49" s="340"/>
      <c r="G49" s="340"/>
      <c r="H49" s="343"/>
      <c r="I49" s="340"/>
      <c r="J49" s="340"/>
    </row>
    <row r="50" spans="1:10">
      <c r="A50" s="340"/>
      <c r="B50" s="340"/>
      <c r="C50" s="340"/>
      <c r="D50" s="342"/>
      <c r="E50" s="340"/>
      <c r="F50" s="340"/>
      <c r="G50" s="340"/>
      <c r="H50" s="340"/>
      <c r="I50" s="340"/>
      <c r="J50" s="340"/>
    </row>
    <row r="51" spans="1:10">
      <c r="A51" s="340"/>
      <c r="B51" s="340"/>
      <c r="C51" s="340"/>
      <c r="D51" s="342"/>
      <c r="E51" s="340"/>
      <c r="F51" s="340"/>
      <c r="G51" s="340"/>
      <c r="H51" s="340"/>
      <c r="I51" s="340"/>
      <c r="J51" s="340"/>
    </row>
    <row r="52" spans="1:10">
      <c r="A52" s="340"/>
      <c r="B52" s="341"/>
      <c r="C52" s="340"/>
      <c r="D52" s="342"/>
      <c r="E52" s="340"/>
      <c r="F52" s="340"/>
      <c r="G52" s="340"/>
      <c r="H52" s="340"/>
      <c r="I52" s="340"/>
      <c r="J52" s="340"/>
    </row>
    <row r="53" spans="1:10">
      <c r="A53" s="340"/>
      <c r="B53" s="340"/>
      <c r="C53" s="340"/>
      <c r="D53" s="342"/>
      <c r="E53" s="340"/>
      <c r="F53" s="340"/>
      <c r="G53" s="340"/>
      <c r="H53" s="340"/>
      <c r="I53" s="340"/>
      <c r="J53" s="340"/>
    </row>
    <row r="54" spans="1:10">
      <c r="A54" s="340"/>
      <c r="B54" s="340"/>
      <c r="C54" s="340"/>
      <c r="D54" s="340"/>
      <c r="E54" s="340"/>
      <c r="F54" s="340"/>
      <c r="G54" s="340"/>
      <c r="H54" s="340"/>
      <c r="I54" s="340"/>
      <c r="J54" s="340"/>
    </row>
  </sheetData>
  <mergeCells count="12">
    <mergeCell ref="B48:D48"/>
    <mergeCell ref="B4:D5"/>
    <mergeCell ref="E4:G4"/>
    <mergeCell ref="H4:J4"/>
    <mergeCell ref="B11:D11"/>
    <mergeCell ref="B14:D14"/>
    <mergeCell ref="B25:D25"/>
    <mergeCell ref="B27:D28"/>
    <mergeCell ref="E27:G27"/>
    <mergeCell ref="H27:J27"/>
    <mergeCell ref="B34:D34"/>
    <mergeCell ref="B37:D37"/>
  </mergeCells>
  <phoneticPr fontId="8"/>
  <pageMargins left="0.74803149606299213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zoomScale="115" zoomScaleNormal="115" workbookViewId="0"/>
  </sheetViews>
  <sheetFormatPr defaultRowHeight="13.5"/>
  <cols>
    <col min="1" max="1" width="1.625" style="44" customWidth="1"/>
    <col min="2" max="2" width="1.5" style="44" customWidth="1"/>
    <col min="3" max="3" width="1.75" style="44" customWidth="1"/>
    <col min="4" max="4" width="24.625" style="44" customWidth="1"/>
    <col min="5" max="5" width="7.625" style="44" customWidth="1"/>
    <col min="6" max="6" width="5.375" style="44" bestFit="1" customWidth="1"/>
    <col min="7" max="7" width="6" style="44" customWidth="1"/>
    <col min="8" max="8" width="7.625" style="44" customWidth="1"/>
    <col min="9" max="9" width="5.375" style="44" bestFit="1" customWidth="1"/>
    <col min="10" max="10" width="6" style="44" customWidth="1"/>
    <col min="11" max="12" width="2.625" style="160" customWidth="1"/>
    <col min="13" max="16384" width="9" style="160"/>
  </cols>
  <sheetData>
    <row r="1" spans="1:10">
      <c r="A1" s="346" t="s">
        <v>109</v>
      </c>
      <c r="B1" s="346"/>
      <c r="C1" s="346"/>
      <c r="D1" s="346"/>
      <c r="E1" s="346"/>
      <c r="F1" s="346"/>
      <c r="G1" s="346"/>
      <c r="H1" s="346"/>
      <c r="I1" s="346"/>
      <c r="J1" s="346"/>
    </row>
    <row r="2" spans="1:10">
      <c r="A2" s="340"/>
      <c r="B2" s="344"/>
      <c r="C2" s="344"/>
      <c r="D2" s="340"/>
      <c r="E2" s="342"/>
      <c r="F2" s="342"/>
      <c r="G2" s="342"/>
      <c r="H2" s="342"/>
      <c r="I2" s="342"/>
      <c r="J2" s="342"/>
    </row>
    <row r="3" spans="1:10">
      <c r="A3" s="340"/>
      <c r="B3" s="480" t="s">
        <v>82</v>
      </c>
      <c r="C3" s="480"/>
      <c r="D3" s="481"/>
      <c r="E3" s="482"/>
      <c r="F3" s="483"/>
      <c r="G3" s="483"/>
      <c r="H3" s="482"/>
      <c r="I3" s="482"/>
      <c r="J3" s="483" t="s">
        <v>83</v>
      </c>
    </row>
    <row r="4" spans="1:10">
      <c r="A4" s="340"/>
      <c r="B4" s="638"/>
      <c r="C4" s="638"/>
      <c r="D4" s="638"/>
      <c r="E4" s="638" t="s">
        <v>84</v>
      </c>
      <c r="F4" s="638"/>
      <c r="G4" s="638"/>
      <c r="H4" s="638" t="s">
        <v>85</v>
      </c>
      <c r="I4" s="638"/>
      <c r="J4" s="638"/>
    </row>
    <row r="5" spans="1:10" ht="33.75">
      <c r="A5" s="345"/>
      <c r="B5" s="638"/>
      <c r="C5" s="638"/>
      <c r="D5" s="638"/>
      <c r="E5" s="608" t="s">
        <v>86</v>
      </c>
      <c r="F5" s="609" t="s">
        <v>573</v>
      </c>
      <c r="G5" s="485" t="s">
        <v>87</v>
      </c>
      <c r="H5" s="608" t="s">
        <v>86</v>
      </c>
      <c r="I5" s="609" t="s">
        <v>573</v>
      </c>
      <c r="J5" s="485" t="s">
        <v>88</v>
      </c>
    </row>
    <row r="6" spans="1:10">
      <c r="A6" s="345"/>
      <c r="B6" s="486" t="s">
        <v>89</v>
      </c>
      <c r="C6" s="486"/>
      <c r="D6" s="487"/>
      <c r="E6" s="488">
        <v>2364216</v>
      </c>
      <c r="F6" s="489">
        <v>100</v>
      </c>
      <c r="G6" s="490">
        <v>14.473026731173722</v>
      </c>
      <c r="H6" s="488">
        <v>2192422</v>
      </c>
      <c r="I6" s="489">
        <v>100</v>
      </c>
      <c r="J6" s="490">
        <v>-7.2664257411336308</v>
      </c>
    </row>
    <row r="7" spans="1:10">
      <c r="A7" s="345"/>
      <c r="B7" s="486" t="s">
        <v>572</v>
      </c>
      <c r="C7" s="486"/>
      <c r="D7" s="487"/>
      <c r="E7" s="488">
        <v>794</v>
      </c>
      <c r="F7" s="489">
        <v>3.3584071844535358E-2</v>
      </c>
      <c r="G7" s="490">
        <v>206.56370656370657</v>
      </c>
      <c r="H7" s="488">
        <v>636</v>
      </c>
      <c r="I7" s="489">
        <v>2.900901377563261E-2</v>
      </c>
      <c r="J7" s="490">
        <v>-19.899244332493705</v>
      </c>
    </row>
    <row r="8" spans="1:10">
      <c r="A8" s="345"/>
      <c r="B8" s="486" t="s">
        <v>571</v>
      </c>
      <c r="C8" s="486"/>
      <c r="D8" s="487"/>
      <c r="E8" s="488">
        <v>48</v>
      </c>
      <c r="F8" s="489">
        <v>2.0302713457653618E-3</v>
      </c>
      <c r="G8" s="490">
        <v>166.66666666666666</v>
      </c>
      <c r="H8" s="488">
        <v>38</v>
      </c>
      <c r="I8" s="489">
        <v>1.7332429614371684E-3</v>
      </c>
      <c r="J8" s="490">
        <v>-20.833333333333336</v>
      </c>
    </row>
    <row r="9" spans="1:10">
      <c r="A9" s="345"/>
      <c r="B9" s="486" t="s">
        <v>90</v>
      </c>
      <c r="C9" s="491"/>
      <c r="D9" s="487"/>
      <c r="E9" s="488">
        <v>139086</v>
      </c>
      <c r="F9" s="489">
        <v>5.8829650082733558</v>
      </c>
      <c r="G9" s="490">
        <v>6.1960281283642837</v>
      </c>
      <c r="H9" s="488">
        <v>124631</v>
      </c>
      <c r="I9" s="489">
        <v>5.6846264086019938</v>
      </c>
      <c r="J9" s="490">
        <v>-10.392850466617777</v>
      </c>
    </row>
    <row r="10" spans="1:10">
      <c r="A10" s="345"/>
      <c r="B10" s="486" t="s">
        <v>91</v>
      </c>
      <c r="C10" s="491"/>
      <c r="D10" s="487"/>
      <c r="E10" s="488">
        <v>285782</v>
      </c>
      <c r="F10" s="489">
        <v>12.087812619489927</v>
      </c>
      <c r="G10" s="490">
        <v>1.4152182090463317</v>
      </c>
      <c r="H10" s="488">
        <v>220875</v>
      </c>
      <c r="I10" s="489">
        <v>10.074474713353542</v>
      </c>
      <c r="J10" s="490">
        <v>-22.712067240064105</v>
      </c>
    </row>
    <row r="11" spans="1:10">
      <c r="A11" s="345"/>
      <c r="B11" s="639" t="s">
        <v>570</v>
      </c>
      <c r="C11" s="639"/>
      <c r="D11" s="639"/>
      <c r="E11" s="488">
        <v>10794</v>
      </c>
      <c r="F11" s="489">
        <v>0.45655726887898573</v>
      </c>
      <c r="G11" s="490">
        <v>22.062648422481068</v>
      </c>
      <c r="H11" s="488">
        <v>10015</v>
      </c>
      <c r="I11" s="489">
        <v>0.45680074365245377</v>
      </c>
      <c r="J11" s="490">
        <v>-7.2169723920696649</v>
      </c>
    </row>
    <row r="12" spans="1:10">
      <c r="A12" s="345"/>
      <c r="B12" s="486" t="s">
        <v>92</v>
      </c>
      <c r="C12" s="491"/>
      <c r="D12" s="487"/>
      <c r="E12" s="488">
        <v>136727</v>
      </c>
      <c r="F12" s="489">
        <v>5.7831856310929286</v>
      </c>
      <c r="G12" s="490">
        <v>26.286864880342108</v>
      </c>
      <c r="H12" s="488">
        <v>133881</v>
      </c>
      <c r="I12" s="489">
        <v>6.1065342347413045</v>
      </c>
      <c r="J12" s="490">
        <v>-2.0815201094151137</v>
      </c>
    </row>
    <row r="13" spans="1:10">
      <c r="A13" s="345"/>
      <c r="B13" s="486" t="s">
        <v>93</v>
      </c>
      <c r="C13" s="491"/>
      <c r="D13" s="487"/>
      <c r="E13" s="488">
        <v>118437</v>
      </c>
      <c r="F13" s="489">
        <v>5.0095676537169194</v>
      </c>
      <c r="G13" s="490">
        <v>25.049624123659097</v>
      </c>
      <c r="H13" s="488">
        <v>112053</v>
      </c>
      <c r="I13" s="489">
        <v>5.1109229883662906</v>
      </c>
      <c r="J13" s="490">
        <v>-5.3902074520631231</v>
      </c>
    </row>
    <row r="14" spans="1:10">
      <c r="A14" s="345"/>
      <c r="B14" s="640" t="s">
        <v>94</v>
      </c>
      <c r="C14" s="639"/>
      <c r="D14" s="639"/>
      <c r="E14" s="488">
        <v>575718</v>
      </c>
      <c r="F14" s="489">
        <v>24.351328305027966</v>
      </c>
      <c r="G14" s="490">
        <v>4.3199843443376018</v>
      </c>
      <c r="H14" s="488">
        <v>534917</v>
      </c>
      <c r="I14" s="489">
        <v>24.398450663239103</v>
      </c>
      <c r="J14" s="490">
        <v>-7.0869766100764569</v>
      </c>
    </row>
    <row r="15" spans="1:10">
      <c r="A15" s="340"/>
      <c r="B15" s="492"/>
      <c r="C15" s="486" t="s">
        <v>95</v>
      </c>
      <c r="D15" s="486"/>
      <c r="E15" s="493">
        <v>328532</v>
      </c>
      <c r="F15" s="489">
        <v>13.896023036812203</v>
      </c>
      <c r="G15" s="490">
        <v>-1.1666315694473739</v>
      </c>
      <c r="H15" s="493">
        <v>319038</v>
      </c>
      <c r="I15" s="489">
        <v>14.551851787657668</v>
      </c>
      <c r="J15" s="490">
        <v>-2.8898250398743497</v>
      </c>
    </row>
    <row r="16" spans="1:10">
      <c r="A16" s="340"/>
      <c r="B16" s="494"/>
      <c r="C16" s="486" t="s">
        <v>96</v>
      </c>
      <c r="D16" s="486"/>
      <c r="E16" s="493">
        <v>247186</v>
      </c>
      <c r="F16" s="489">
        <v>10.455305268215763</v>
      </c>
      <c r="G16" s="490">
        <v>12.6301448509343</v>
      </c>
      <c r="H16" s="493">
        <v>215879</v>
      </c>
      <c r="I16" s="489">
        <v>9.8465988755814351</v>
      </c>
      <c r="J16" s="490">
        <v>-12.665361306870127</v>
      </c>
    </row>
    <row r="17" spans="1:10">
      <c r="A17" s="345"/>
      <c r="B17" s="486" t="s">
        <v>569</v>
      </c>
      <c r="C17" s="491"/>
      <c r="D17" s="487"/>
      <c r="E17" s="488">
        <v>87041</v>
      </c>
      <c r="F17" s="489">
        <v>3.6816010043075589</v>
      </c>
      <c r="G17" s="490">
        <v>17.310672938258964</v>
      </c>
      <c r="H17" s="488">
        <v>84973</v>
      </c>
      <c r="I17" s="489">
        <v>3.8757593200579086</v>
      </c>
      <c r="J17" s="490">
        <v>-2.3758918210958102</v>
      </c>
    </row>
    <row r="18" spans="1:10">
      <c r="A18" s="345"/>
      <c r="B18" s="486" t="s">
        <v>568</v>
      </c>
      <c r="C18" s="486"/>
      <c r="D18" s="487"/>
      <c r="E18" s="488">
        <v>95776</v>
      </c>
      <c r="F18" s="489">
        <v>4.051068091917152</v>
      </c>
      <c r="G18" s="490">
        <v>44.897804807939615</v>
      </c>
      <c r="H18" s="488">
        <v>87129</v>
      </c>
      <c r="I18" s="489">
        <v>3.9740980522910281</v>
      </c>
      <c r="J18" s="490">
        <v>-9.0283578349482081</v>
      </c>
    </row>
    <row r="19" spans="1:10">
      <c r="A19" s="345"/>
      <c r="B19" s="486" t="s">
        <v>97</v>
      </c>
      <c r="C19" s="486"/>
      <c r="D19" s="487"/>
      <c r="E19" s="488">
        <v>105369</v>
      </c>
      <c r="F19" s="489">
        <v>4.4568262798323</v>
      </c>
      <c r="G19" s="495" t="s">
        <v>574</v>
      </c>
      <c r="H19" s="488">
        <v>95161</v>
      </c>
      <c r="I19" s="489">
        <v>4.3404508803505895</v>
      </c>
      <c r="J19" s="490">
        <v>-9.6878588579183642</v>
      </c>
    </row>
    <row r="20" spans="1:10">
      <c r="A20" s="345"/>
      <c r="B20" s="486" t="s">
        <v>98</v>
      </c>
      <c r="C20" s="491"/>
      <c r="D20" s="487"/>
      <c r="E20" s="488">
        <v>246512</v>
      </c>
      <c r="F20" s="489">
        <v>10.426796874735642</v>
      </c>
      <c r="G20" s="490">
        <v>25.269074019493253</v>
      </c>
      <c r="H20" s="488">
        <v>222686</v>
      </c>
      <c r="I20" s="489">
        <v>10.157077423963088</v>
      </c>
      <c r="J20" s="490">
        <v>-9.6652495618874568</v>
      </c>
    </row>
    <row r="21" spans="1:10">
      <c r="A21" s="345"/>
      <c r="B21" s="486" t="s">
        <v>99</v>
      </c>
      <c r="C21" s="491"/>
      <c r="D21" s="487"/>
      <c r="E21" s="488">
        <v>84298</v>
      </c>
      <c r="F21" s="489">
        <v>3.5655794563610095</v>
      </c>
      <c r="G21" s="495" t="s">
        <v>574</v>
      </c>
      <c r="H21" s="488">
        <v>85645</v>
      </c>
      <c r="I21" s="489">
        <v>3.9064103534812182</v>
      </c>
      <c r="J21" s="490">
        <v>1.5979026785926109</v>
      </c>
    </row>
    <row r="22" spans="1:10">
      <c r="A22" s="345"/>
      <c r="B22" s="486" t="s">
        <v>100</v>
      </c>
      <c r="C22" s="491"/>
      <c r="D22" s="487"/>
      <c r="E22" s="488">
        <v>49358</v>
      </c>
      <c r="F22" s="489">
        <v>2.0877111059226396</v>
      </c>
      <c r="G22" s="490">
        <v>18.995154174401495</v>
      </c>
      <c r="H22" s="488">
        <v>48651</v>
      </c>
      <c r="I22" s="489">
        <v>2.2190527188652549</v>
      </c>
      <c r="J22" s="490">
        <v>-1.4323919121520312</v>
      </c>
    </row>
    <row r="23" spans="1:10">
      <c r="A23" s="345"/>
      <c r="B23" s="486" t="s">
        <v>101</v>
      </c>
      <c r="C23" s="491"/>
      <c r="D23" s="487"/>
      <c r="E23" s="488">
        <v>156545</v>
      </c>
      <c r="F23" s="489">
        <v>6.6214339129758022</v>
      </c>
      <c r="G23" s="490">
        <v>38.949788306720045</v>
      </c>
      <c r="H23" s="488">
        <v>170047</v>
      </c>
      <c r="I23" s="489">
        <v>7.7561254174606891</v>
      </c>
      <c r="J23" s="490">
        <v>8.6249960075377672</v>
      </c>
    </row>
    <row r="24" spans="1:10">
      <c r="A24" s="345"/>
      <c r="B24" s="486" t="s">
        <v>102</v>
      </c>
      <c r="C24" s="491"/>
      <c r="D24" s="487"/>
      <c r="E24" s="488">
        <v>5274</v>
      </c>
      <c r="F24" s="489">
        <v>0.22307606411596909</v>
      </c>
      <c r="G24" s="490">
        <v>106.90466849744999</v>
      </c>
      <c r="H24" s="488">
        <v>5183</v>
      </c>
      <c r="I24" s="489">
        <v>0.23640521760865379</v>
      </c>
      <c r="J24" s="490">
        <v>-1.7254455821008707</v>
      </c>
    </row>
    <row r="25" spans="1:10">
      <c r="A25" s="345"/>
      <c r="B25" s="634" t="s">
        <v>567</v>
      </c>
      <c r="C25" s="635"/>
      <c r="D25" s="635"/>
      <c r="E25" s="488">
        <v>266657</v>
      </c>
      <c r="F25" s="489">
        <v>11.278876380161542</v>
      </c>
      <c r="G25" s="490">
        <v>-32.455989260112972</v>
      </c>
      <c r="H25" s="488">
        <v>255901</v>
      </c>
      <c r="I25" s="489">
        <v>11.672068607229813</v>
      </c>
      <c r="J25" s="490">
        <v>-4.0336462196754681</v>
      </c>
    </row>
    <row r="26" spans="1:10">
      <c r="A26" s="344"/>
      <c r="B26" s="497"/>
      <c r="C26" s="496"/>
      <c r="D26" s="497"/>
      <c r="E26" s="484"/>
      <c r="F26" s="484"/>
      <c r="G26" s="484"/>
      <c r="H26" s="484"/>
      <c r="I26" s="484"/>
      <c r="J26" s="484"/>
    </row>
    <row r="27" spans="1:10">
      <c r="A27" s="340"/>
      <c r="B27" s="638"/>
      <c r="C27" s="638"/>
      <c r="D27" s="638"/>
      <c r="E27" s="638" t="s">
        <v>103</v>
      </c>
      <c r="F27" s="638"/>
      <c r="G27" s="638"/>
      <c r="H27" s="638" t="s">
        <v>104</v>
      </c>
      <c r="I27" s="638"/>
      <c r="J27" s="638"/>
    </row>
    <row r="28" spans="1:10" ht="33.75">
      <c r="A28" s="340"/>
      <c r="B28" s="638"/>
      <c r="C28" s="638"/>
      <c r="D28" s="638"/>
      <c r="E28" s="608" t="s">
        <v>86</v>
      </c>
      <c r="F28" s="609" t="s">
        <v>573</v>
      </c>
      <c r="G28" s="485" t="s">
        <v>105</v>
      </c>
      <c r="H28" s="608" t="s">
        <v>86</v>
      </c>
      <c r="I28" s="609" t="s">
        <v>573</v>
      </c>
      <c r="J28" s="485" t="s">
        <v>106</v>
      </c>
    </row>
    <row r="29" spans="1:10">
      <c r="A29" s="340"/>
      <c r="B29" s="486" t="s">
        <v>89</v>
      </c>
      <c r="C29" s="486"/>
      <c r="D29" s="487"/>
      <c r="E29" s="488">
        <v>2267364</v>
      </c>
      <c r="F29" s="489">
        <v>100</v>
      </c>
      <c r="G29" s="490">
        <v>3.418228789895366</v>
      </c>
      <c r="H29" s="488">
        <v>2209412</v>
      </c>
      <c r="I29" s="489">
        <v>100</v>
      </c>
      <c r="J29" s="490">
        <v>-2.5559195612173431</v>
      </c>
    </row>
    <row r="30" spans="1:10">
      <c r="A30" s="340"/>
      <c r="B30" s="486" t="s">
        <v>572</v>
      </c>
      <c r="C30" s="486"/>
      <c r="D30" s="487"/>
      <c r="E30" s="488">
        <v>412</v>
      </c>
      <c r="F30" s="489">
        <v>1.8170880370333129E-2</v>
      </c>
      <c r="G30" s="490">
        <v>-35.220125786163521</v>
      </c>
      <c r="H30" s="488">
        <v>452</v>
      </c>
      <c r="I30" s="489">
        <v>2.0457931793617486E-2</v>
      </c>
      <c r="J30" s="490">
        <v>9.7087378640776691</v>
      </c>
    </row>
    <row r="31" spans="1:10">
      <c r="A31" s="340"/>
      <c r="B31" s="486" t="s">
        <v>571</v>
      </c>
      <c r="C31" s="486"/>
      <c r="D31" s="487"/>
      <c r="E31" s="488">
        <v>36</v>
      </c>
      <c r="F31" s="489">
        <v>1.5877468284757102E-3</v>
      </c>
      <c r="G31" s="490">
        <v>-5.2631578947368496</v>
      </c>
      <c r="H31" s="488">
        <v>32</v>
      </c>
      <c r="I31" s="489">
        <v>1.4483491535304416E-3</v>
      </c>
      <c r="J31" s="490">
        <v>-11.111111111111111</v>
      </c>
    </row>
    <row r="32" spans="1:10">
      <c r="A32" s="340"/>
      <c r="B32" s="486" t="s">
        <v>90</v>
      </c>
      <c r="C32" s="491"/>
      <c r="D32" s="487"/>
      <c r="E32" s="488">
        <v>124385</v>
      </c>
      <c r="F32" s="489">
        <v>5.4858858127764227</v>
      </c>
      <c r="G32" s="490">
        <v>-0.19738267365262629</v>
      </c>
      <c r="H32" s="488">
        <v>115531</v>
      </c>
      <c r="I32" s="489">
        <v>5.2290383142664201</v>
      </c>
      <c r="J32" s="490">
        <v>-7.1182216505205602</v>
      </c>
    </row>
    <row r="33" spans="1:10">
      <c r="A33" s="340"/>
      <c r="B33" s="486" t="s">
        <v>91</v>
      </c>
      <c r="C33" s="491"/>
      <c r="D33" s="487"/>
      <c r="E33" s="488">
        <v>228246</v>
      </c>
      <c r="F33" s="489">
        <v>10.066579517007415</v>
      </c>
      <c r="G33" s="490">
        <v>3.3371816638370149</v>
      </c>
      <c r="H33" s="488">
        <v>199334</v>
      </c>
      <c r="I33" s="489">
        <v>9.022038442807407</v>
      </c>
      <c r="J33" s="490">
        <v>-12.667034690640799</v>
      </c>
    </row>
    <row r="34" spans="1:10">
      <c r="A34" s="340"/>
      <c r="B34" s="639" t="s">
        <v>570</v>
      </c>
      <c r="C34" s="639"/>
      <c r="D34" s="639"/>
      <c r="E34" s="488">
        <v>10113</v>
      </c>
      <c r="F34" s="489">
        <v>0.44602454656596824</v>
      </c>
      <c r="G34" s="490">
        <v>0.9785322016974618</v>
      </c>
      <c r="H34" s="488">
        <v>8458</v>
      </c>
      <c r="I34" s="489">
        <v>0.38281678564251487</v>
      </c>
      <c r="J34" s="490">
        <v>-16.365074656382873</v>
      </c>
    </row>
    <row r="35" spans="1:10">
      <c r="A35" s="340"/>
      <c r="B35" s="486" t="s">
        <v>92</v>
      </c>
      <c r="C35" s="491"/>
      <c r="D35" s="487"/>
      <c r="E35" s="488">
        <v>132822</v>
      </c>
      <c r="F35" s="489">
        <v>5.8579919236611318</v>
      </c>
      <c r="G35" s="490">
        <v>-0.79100096354225968</v>
      </c>
      <c r="H35" s="488">
        <v>126711</v>
      </c>
      <c r="I35" s="489">
        <v>5.7350552997811182</v>
      </c>
      <c r="J35" s="490">
        <v>-4.6008944301395855</v>
      </c>
    </row>
    <row r="36" spans="1:10">
      <c r="A36" s="340"/>
      <c r="B36" s="486" t="s">
        <v>93</v>
      </c>
      <c r="C36" s="491"/>
      <c r="D36" s="487"/>
      <c r="E36" s="488">
        <v>109330</v>
      </c>
      <c r="F36" s="489">
        <v>4.8218989099235943</v>
      </c>
      <c r="G36" s="490">
        <v>-2.4301000419444421</v>
      </c>
      <c r="H36" s="488">
        <v>104350</v>
      </c>
      <c r="I36" s="489">
        <v>4.7229760678406745</v>
      </c>
      <c r="J36" s="490">
        <v>-4.5550169212475993</v>
      </c>
    </row>
    <row r="37" spans="1:10">
      <c r="A37" s="340"/>
      <c r="B37" s="640" t="s">
        <v>94</v>
      </c>
      <c r="C37" s="639"/>
      <c r="D37" s="639"/>
      <c r="E37" s="488">
        <v>546629</v>
      </c>
      <c r="F37" s="489">
        <v>24.108568363968029</v>
      </c>
      <c r="G37" s="490">
        <v>2.1894985577201709</v>
      </c>
      <c r="H37" s="488">
        <v>545635</v>
      </c>
      <c r="I37" s="489">
        <v>24.695937199580705</v>
      </c>
      <c r="J37" s="490">
        <v>-0.18184179763605662</v>
      </c>
    </row>
    <row r="38" spans="1:10">
      <c r="A38" s="340"/>
      <c r="B38" s="492"/>
      <c r="C38" s="486" t="s">
        <v>95</v>
      </c>
      <c r="D38" s="486"/>
      <c r="E38" s="493">
        <v>312068</v>
      </c>
      <c r="F38" s="489">
        <v>13.763471590798831</v>
      </c>
      <c r="G38" s="490">
        <v>-2.1846927325271537</v>
      </c>
      <c r="H38" s="498">
        <v>322147</v>
      </c>
      <c r="I38" s="499">
        <v>14.580666711324101</v>
      </c>
      <c r="J38" s="490">
        <v>3.2297447992104287</v>
      </c>
    </row>
    <row r="39" spans="1:10">
      <c r="A39" s="340"/>
      <c r="B39" s="494"/>
      <c r="C39" s="486" t="s">
        <v>96</v>
      </c>
      <c r="D39" s="486"/>
      <c r="E39" s="493">
        <v>234561</v>
      </c>
      <c r="F39" s="489">
        <v>10.345096773169196</v>
      </c>
      <c r="G39" s="490">
        <v>8.6539218729010088</v>
      </c>
      <c r="H39" s="498">
        <v>223488</v>
      </c>
      <c r="I39" s="499">
        <v>10.115270488256604</v>
      </c>
      <c r="J39" s="490">
        <v>-4.7207336257945691</v>
      </c>
    </row>
    <row r="40" spans="1:10">
      <c r="A40" s="340"/>
      <c r="B40" s="486" t="s">
        <v>569</v>
      </c>
      <c r="C40" s="491"/>
      <c r="D40" s="487"/>
      <c r="E40" s="488">
        <v>83751</v>
      </c>
      <c r="F40" s="489">
        <v>3.6937606842130335</v>
      </c>
      <c r="G40" s="490">
        <v>-1.438103868287584</v>
      </c>
      <c r="H40" s="488">
        <v>85924</v>
      </c>
      <c r="I40" s="489">
        <v>3.888998520873427</v>
      </c>
      <c r="J40" s="490">
        <v>2.5945958854222635</v>
      </c>
    </row>
    <row r="41" spans="1:10">
      <c r="A41" s="340"/>
      <c r="B41" s="486" t="s">
        <v>568</v>
      </c>
      <c r="C41" s="486"/>
      <c r="D41" s="487"/>
      <c r="E41" s="488">
        <v>86599</v>
      </c>
      <c r="F41" s="489">
        <v>3.8193690999768894</v>
      </c>
      <c r="G41" s="490">
        <v>-0.60829344994203893</v>
      </c>
      <c r="H41" s="488">
        <v>84888</v>
      </c>
      <c r="I41" s="489">
        <v>3.8421082170278789</v>
      </c>
      <c r="J41" s="490">
        <v>-1.9757733923024514</v>
      </c>
    </row>
    <row r="42" spans="1:10">
      <c r="A42" s="340"/>
      <c r="B42" s="486" t="s">
        <v>97</v>
      </c>
      <c r="C42" s="486"/>
      <c r="D42" s="487"/>
      <c r="E42" s="488">
        <v>100766</v>
      </c>
      <c r="F42" s="489">
        <v>4.4441915810606503</v>
      </c>
      <c r="G42" s="490">
        <v>5.8900179695463635</v>
      </c>
      <c r="H42" s="488">
        <v>101106</v>
      </c>
      <c r="I42" s="489">
        <v>4.5761496724015256</v>
      </c>
      <c r="J42" s="490">
        <v>0.33741539805092985</v>
      </c>
    </row>
    <row r="43" spans="1:10">
      <c r="A43" s="340"/>
      <c r="B43" s="486" t="s">
        <v>98</v>
      </c>
      <c r="C43" s="491"/>
      <c r="D43" s="487"/>
      <c r="E43" s="488">
        <v>224300</v>
      </c>
      <c r="F43" s="489">
        <v>9.892544822975049</v>
      </c>
      <c r="G43" s="490">
        <v>0.72478736876139749</v>
      </c>
      <c r="H43" s="488">
        <v>217507</v>
      </c>
      <c r="I43" s="489">
        <v>9.8445649792795553</v>
      </c>
      <c r="J43" s="490">
        <v>-3.0285332144449399</v>
      </c>
    </row>
    <row r="44" spans="1:10">
      <c r="A44" s="340"/>
      <c r="B44" s="486" t="s">
        <v>99</v>
      </c>
      <c r="C44" s="491"/>
      <c r="D44" s="487"/>
      <c r="E44" s="488">
        <v>84231</v>
      </c>
      <c r="F44" s="489">
        <v>3.7149306419260424</v>
      </c>
      <c r="G44" s="490">
        <v>-1.6510012259910098</v>
      </c>
      <c r="H44" s="488">
        <v>78985</v>
      </c>
      <c r="I44" s="489">
        <v>3.5749330591125603</v>
      </c>
      <c r="J44" s="490">
        <v>-6.2281107905640436</v>
      </c>
    </row>
    <row r="45" spans="1:10">
      <c r="A45" s="340"/>
      <c r="B45" s="486" t="s">
        <v>100</v>
      </c>
      <c r="C45" s="491"/>
      <c r="D45" s="487"/>
      <c r="E45" s="488">
        <v>50787</v>
      </c>
      <c r="F45" s="489">
        <v>2.2399138382721078</v>
      </c>
      <c r="G45" s="490">
        <v>4.3904544613676961</v>
      </c>
      <c r="H45" s="488">
        <v>47107</v>
      </c>
      <c r="I45" s="489">
        <v>2.1321057367299536</v>
      </c>
      <c r="J45" s="490">
        <v>-7.2459487664166033</v>
      </c>
    </row>
    <row r="46" spans="1:10">
      <c r="A46" s="340"/>
      <c r="B46" s="486" t="s">
        <v>101</v>
      </c>
      <c r="C46" s="491"/>
      <c r="D46" s="487"/>
      <c r="E46" s="488">
        <v>202918</v>
      </c>
      <c r="F46" s="489">
        <v>8.9495114150176143</v>
      </c>
      <c r="G46" s="490">
        <v>19.330538027721758</v>
      </c>
      <c r="H46" s="488">
        <v>201828</v>
      </c>
      <c r="I46" s="489">
        <v>9.1349191549606878</v>
      </c>
      <c r="J46" s="490">
        <v>-0.5371627948235248</v>
      </c>
    </row>
    <row r="47" spans="1:10">
      <c r="A47" s="340"/>
      <c r="B47" s="486" t="s">
        <v>102</v>
      </c>
      <c r="C47" s="491"/>
      <c r="D47" s="487"/>
      <c r="E47" s="488">
        <v>12337</v>
      </c>
      <c r="F47" s="489">
        <v>0.54411201730291214</v>
      </c>
      <c r="G47" s="490">
        <v>138.02816901408451</v>
      </c>
      <c r="H47" s="488">
        <v>7564</v>
      </c>
      <c r="I47" s="489">
        <v>0.34235353116575812</v>
      </c>
      <c r="J47" s="490">
        <v>-38.688498014103914</v>
      </c>
    </row>
    <row r="48" spans="1:10">
      <c r="A48" s="340"/>
      <c r="B48" s="634" t="s">
        <v>567</v>
      </c>
      <c r="C48" s="635"/>
      <c r="D48" s="635"/>
      <c r="E48" s="488">
        <v>269702</v>
      </c>
      <c r="F48" s="489">
        <v>11.894958198154333</v>
      </c>
      <c r="G48" s="490">
        <v>5.3931012383695389</v>
      </c>
      <c r="H48" s="488">
        <v>284000</v>
      </c>
      <c r="I48" s="489">
        <v>12.854098737582669</v>
      </c>
      <c r="J48" s="490">
        <v>5.3014067378069125</v>
      </c>
    </row>
    <row r="49" spans="1:10">
      <c r="A49" s="340"/>
      <c r="B49" s="340"/>
      <c r="C49" s="340"/>
      <c r="D49" s="342"/>
      <c r="E49" s="340"/>
      <c r="F49" s="340"/>
      <c r="G49" s="340"/>
      <c r="H49" s="343"/>
      <c r="I49" s="340"/>
      <c r="J49" s="340"/>
    </row>
    <row r="50" spans="1:10">
      <c r="A50" s="340"/>
      <c r="B50" s="340"/>
      <c r="C50" s="340"/>
      <c r="D50" s="342"/>
      <c r="E50" s="340"/>
      <c r="F50" s="340"/>
      <c r="G50" s="340"/>
      <c r="H50" s="340"/>
      <c r="I50" s="340"/>
      <c r="J50" s="340"/>
    </row>
    <row r="51" spans="1:10">
      <c r="A51" s="340"/>
      <c r="B51" s="340"/>
      <c r="C51" s="340"/>
      <c r="D51" s="342"/>
      <c r="E51" s="340"/>
      <c r="F51" s="340"/>
      <c r="G51" s="340"/>
      <c r="H51" s="340"/>
      <c r="I51" s="340"/>
      <c r="J51" s="340"/>
    </row>
    <row r="52" spans="1:10">
      <c r="A52" s="340"/>
      <c r="B52" s="341"/>
      <c r="C52" s="340"/>
      <c r="D52" s="342"/>
      <c r="E52" s="340"/>
      <c r="F52" s="340"/>
      <c r="G52" s="340"/>
      <c r="H52" s="340"/>
      <c r="I52" s="340"/>
      <c r="J52" s="340"/>
    </row>
  </sheetData>
  <mergeCells count="12">
    <mergeCell ref="B48:D48"/>
    <mergeCell ref="B4:D5"/>
    <mergeCell ref="E4:G4"/>
    <mergeCell ref="H4:J4"/>
    <mergeCell ref="B11:D11"/>
    <mergeCell ref="B14:D14"/>
    <mergeCell ref="B25:D25"/>
    <mergeCell ref="B27:D28"/>
    <mergeCell ref="E27:G27"/>
    <mergeCell ref="H27:J27"/>
    <mergeCell ref="B34:D34"/>
    <mergeCell ref="B37:D37"/>
  </mergeCells>
  <phoneticPr fontId="8"/>
  <pageMargins left="0.74803149606299213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zoomScaleNormal="100" workbookViewId="0"/>
  </sheetViews>
  <sheetFormatPr defaultRowHeight="12"/>
  <cols>
    <col min="1" max="1" width="1.625" style="44" customWidth="1"/>
    <col min="2" max="2" width="11.125" style="44" customWidth="1"/>
    <col min="3" max="3" width="13.125" style="44" customWidth="1"/>
    <col min="4" max="5" width="10.625" style="44" customWidth="1"/>
    <col min="6" max="6" width="11.375" style="44" customWidth="1"/>
    <col min="7" max="8" width="7.5" style="44" customWidth="1"/>
    <col min="9" max="10" width="1.625" style="44" customWidth="1"/>
    <col min="11" max="16384" width="9" style="44"/>
  </cols>
  <sheetData>
    <row r="1" spans="1:8" s="41" customFormat="1" ht="13.5" customHeight="1">
      <c r="A1" s="40" t="s">
        <v>148</v>
      </c>
      <c r="C1" s="42"/>
      <c r="D1" s="42"/>
    </row>
    <row r="2" spans="1:8" s="41" customFormat="1" ht="13.5" customHeight="1">
      <c r="A2" s="44"/>
      <c r="C2" s="42"/>
      <c r="D2" s="42"/>
    </row>
    <row r="3" spans="1:8" ht="12" customHeight="1">
      <c r="H3" s="67" t="s">
        <v>110</v>
      </c>
    </row>
    <row r="4" spans="1:8" ht="15" customHeight="1">
      <c r="B4" s="69"/>
      <c r="C4" s="70" t="s">
        <v>149</v>
      </c>
      <c r="D4" s="71"/>
      <c r="E4" s="72"/>
      <c r="F4" s="642" t="s">
        <v>150</v>
      </c>
      <c r="G4" s="626" t="s">
        <v>111</v>
      </c>
      <c r="H4" s="626" t="s">
        <v>112</v>
      </c>
    </row>
    <row r="5" spans="1:8" ht="44.25" customHeight="1">
      <c r="B5" s="74"/>
      <c r="C5" s="75"/>
      <c r="D5" s="76" t="s">
        <v>113</v>
      </c>
      <c r="E5" s="76" t="s">
        <v>114</v>
      </c>
      <c r="F5" s="643"/>
      <c r="G5" s="626"/>
      <c r="H5" s="626"/>
    </row>
    <row r="6" spans="1:8" ht="13.5" customHeight="1">
      <c r="B6" s="78" t="s">
        <v>38</v>
      </c>
      <c r="C6" s="79">
        <v>179252</v>
      </c>
      <c r="D6" s="79">
        <v>158615</v>
      </c>
      <c r="E6" s="79">
        <v>20637</v>
      </c>
      <c r="F6" s="79">
        <v>35373</v>
      </c>
      <c r="G6" s="80">
        <v>5.550410558788486</v>
      </c>
      <c r="H6" s="80">
        <v>9.5137216017844235</v>
      </c>
    </row>
    <row r="7" spans="1:8" ht="13.5" customHeight="1">
      <c r="B7" s="78" t="s">
        <v>37</v>
      </c>
      <c r="C7" s="79">
        <v>392940</v>
      </c>
      <c r="D7" s="79">
        <v>351939</v>
      </c>
      <c r="E7" s="79">
        <v>41001</v>
      </c>
      <c r="F7" s="79">
        <v>67836</v>
      </c>
      <c r="G7" s="80">
        <v>5.0960219372179187</v>
      </c>
      <c r="H7" s="80">
        <v>8.4313490922932317</v>
      </c>
    </row>
    <row r="8" spans="1:8" ht="13.5" customHeight="1">
      <c r="B8" s="82" t="s">
        <v>41</v>
      </c>
      <c r="C8" s="79">
        <v>494337</v>
      </c>
      <c r="D8" s="79">
        <v>430422</v>
      </c>
      <c r="E8" s="79">
        <v>63915</v>
      </c>
      <c r="F8" s="79">
        <v>102237</v>
      </c>
      <c r="G8" s="80">
        <v>6.2604699294931914</v>
      </c>
      <c r="H8" s="80">
        <v>10.01410723901424</v>
      </c>
    </row>
    <row r="9" spans="1:8" ht="13.5" customHeight="1">
      <c r="B9" s="78" t="s">
        <v>115</v>
      </c>
      <c r="C9" s="79">
        <v>114930</v>
      </c>
      <c r="D9" s="79">
        <v>101262</v>
      </c>
      <c r="E9" s="79">
        <v>13668</v>
      </c>
      <c r="F9" s="79">
        <v>20490</v>
      </c>
      <c r="G9" s="80">
        <v>5.8570951070886785</v>
      </c>
      <c r="H9" s="80">
        <v>8.7805003471061625</v>
      </c>
    </row>
    <row r="10" spans="1:8" ht="13.5" customHeight="1">
      <c r="B10" s="82" t="s">
        <v>116</v>
      </c>
      <c r="C10" s="79">
        <v>119510</v>
      </c>
      <c r="D10" s="79">
        <v>106165</v>
      </c>
      <c r="E10" s="79">
        <v>13345</v>
      </c>
      <c r="F10" s="79">
        <v>20188</v>
      </c>
      <c r="G10" s="80">
        <v>5.5104419330385301</v>
      </c>
      <c r="H10" s="80">
        <v>8.3360660729997633</v>
      </c>
    </row>
    <row r="11" spans="1:8" ht="13.5" customHeight="1">
      <c r="B11" s="78" t="s">
        <v>117</v>
      </c>
      <c r="C11" s="79">
        <v>70637</v>
      </c>
      <c r="D11" s="79">
        <v>64609</v>
      </c>
      <c r="E11" s="79">
        <v>6028</v>
      </c>
      <c r="F11" s="79">
        <v>10970</v>
      </c>
      <c r="G11" s="80">
        <v>4.1612663282934008</v>
      </c>
      <c r="H11" s="80">
        <v>7.5728420075279708</v>
      </c>
    </row>
    <row r="12" spans="1:8" ht="13.5" customHeight="1">
      <c r="B12" s="78" t="s">
        <v>118</v>
      </c>
      <c r="C12" s="79">
        <v>66882</v>
      </c>
      <c r="D12" s="79">
        <v>58863</v>
      </c>
      <c r="E12" s="79">
        <v>8019</v>
      </c>
      <c r="F12" s="79">
        <v>12612</v>
      </c>
      <c r="G12" s="80">
        <v>5.8535517131255999</v>
      </c>
      <c r="H12" s="80">
        <v>9.2062594096446002</v>
      </c>
    </row>
    <row r="13" spans="1:8" ht="13.5" customHeight="1">
      <c r="B13" s="78" t="s">
        <v>119</v>
      </c>
      <c r="C13" s="79">
        <v>72284</v>
      </c>
      <c r="D13" s="79">
        <v>61727</v>
      </c>
      <c r="E13" s="79">
        <v>10557</v>
      </c>
      <c r="F13" s="79">
        <v>13758</v>
      </c>
      <c r="G13" s="80">
        <v>7.2968139365436837</v>
      </c>
      <c r="H13" s="80">
        <v>9.5092892051688924</v>
      </c>
    </row>
    <row r="14" spans="1:8" ht="13.5" customHeight="1">
      <c r="B14" s="78" t="s">
        <v>33</v>
      </c>
      <c r="C14" s="79">
        <v>5340783</v>
      </c>
      <c r="D14" s="79">
        <v>4804865</v>
      </c>
      <c r="E14" s="79">
        <v>535918</v>
      </c>
      <c r="F14" s="79">
        <v>806037</v>
      </c>
      <c r="G14" s="80">
        <v>4.9833233819508491</v>
      </c>
      <c r="H14" s="80">
        <v>7.4950701950998413</v>
      </c>
    </row>
    <row r="15" spans="1:8" ht="13.5" customHeight="1">
      <c r="B15" s="21"/>
      <c r="C15" s="83"/>
      <c r="D15" s="83"/>
      <c r="E15" s="83"/>
      <c r="F15" s="83"/>
      <c r="G15" s="84"/>
      <c r="H15" s="84"/>
    </row>
    <row r="16" spans="1:8" ht="15" customHeight="1">
      <c r="B16" s="69"/>
      <c r="C16" s="70" t="s">
        <v>149</v>
      </c>
      <c r="D16" s="71"/>
      <c r="E16" s="72"/>
      <c r="F16" s="642" t="s">
        <v>151</v>
      </c>
      <c r="G16" s="626" t="s">
        <v>111</v>
      </c>
      <c r="H16" s="626" t="s">
        <v>112</v>
      </c>
    </row>
    <row r="17" spans="2:8" ht="44.25" customHeight="1">
      <c r="B17" s="74"/>
      <c r="C17" s="75"/>
      <c r="D17" s="76" t="s">
        <v>120</v>
      </c>
      <c r="E17" s="76" t="s">
        <v>121</v>
      </c>
      <c r="F17" s="643"/>
      <c r="G17" s="626"/>
      <c r="H17" s="626"/>
    </row>
    <row r="18" spans="2:8" ht="13.5" customHeight="1">
      <c r="B18" s="86" t="s">
        <v>38</v>
      </c>
      <c r="C18" s="79">
        <v>179252</v>
      </c>
      <c r="D18" s="79">
        <v>158615</v>
      </c>
      <c r="E18" s="79">
        <v>20637</v>
      </c>
      <c r="F18" s="79">
        <v>35373</v>
      </c>
      <c r="G18" s="80">
        <v>5.550410558788486</v>
      </c>
      <c r="H18" s="80">
        <v>9.5137216017844235</v>
      </c>
    </row>
    <row r="19" spans="2:8" ht="13.5" customHeight="1">
      <c r="B19" s="86" t="s">
        <v>122</v>
      </c>
      <c r="C19" s="79">
        <v>26275</v>
      </c>
      <c r="D19" s="79">
        <v>21687</v>
      </c>
      <c r="E19" s="79">
        <v>4588</v>
      </c>
      <c r="F19" s="79">
        <v>6442</v>
      </c>
      <c r="G19" s="80">
        <v>8.5098621722591723</v>
      </c>
      <c r="H19" s="80">
        <v>11.948677444135482</v>
      </c>
    </row>
    <row r="20" spans="2:8" ht="13.5" customHeight="1">
      <c r="B20" s="86" t="s">
        <v>123</v>
      </c>
      <c r="C20" s="79">
        <v>4981</v>
      </c>
      <c r="D20" s="79">
        <v>4493</v>
      </c>
      <c r="E20" s="79">
        <v>488</v>
      </c>
      <c r="F20" s="79">
        <v>938</v>
      </c>
      <c r="G20" s="80">
        <v>4.688062891772673</v>
      </c>
      <c r="H20" s="80">
        <v>9.0110717059073107</v>
      </c>
    </row>
    <row r="21" spans="2:8" ht="13.5" customHeight="1">
      <c r="B21" s="86" t="s">
        <v>124</v>
      </c>
      <c r="C21" s="79">
        <v>4861</v>
      </c>
      <c r="D21" s="79">
        <v>4358</v>
      </c>
      <c r="E21" s="79">
        <v>503</v>
      </c>
      <c r="F21" s="79">
        <v>885</v>
      </c>
      <c r="G21" s="80">
        <v>5.0054316728723176</v>
      </c>
      <c r="H21" s="80">
        <v>8.8067734204612371</v>
      </c>
    </row>
    <row r="22" spans="2:8" ht="13.5" customHeight="1">
      <c r="B22" s="86" t="s">
        <v>125</v>
      </c>
      <c r="C22" s="79">
        <v>2650</v>
      </c>
      <c r="D22" s="79">
        <v>2389</v>
      </c>
      <c r="E22" s="79">
        <v>261</v>
      </c>
      <c r="F22" s="79">
        <v>403</v>
      </c>
      <c r="G22" s="80">
        <v>4.8772891491217134</v>
      </c>
      <c r="H22" s="80">
        <v>7.5308334371496199</v>
      </c>
    </row>
    <row r="23" spans="2:8" ht="13.5" customHeight="1">
      <c r="B23" s="86" t="s">
        <v>126</v>
      </c>
      <c r="C23" s="79">
        <v>31316</v>
      </c>
      <c r="D23" s="79">
        <v>26510</v>
      </c>
      <c r="E23" s="79">
        <v>4806</v>
      </c>
      <c r="F23" s="79">
        <v>7179</v>
      </c>
      <c r="G23" s="80">
        <v>7.4430177828655202</v>
      </c>
      <c r="H23" s="80">
        <v>11.118065889136822</v>
      </c>
    </row>
    <row r="24" spans="2:8" ht="13.5" customHeight="1">
      <c r="B24" s="86" t="s">
        <v>127</v>
      </c>
      <c r="C24" s="79">
        <v>9969</v>
      </c>
      <c r="D24" s="79">
        <v>8857</v>
      </c>
      <c r="E24" s="79">
        <v>1112</v>
      </c>
      <c r="F24" s="79">
        <v>2456</v>
      </c>
      <c r="G24" s="80">
        <v>5.1283825072348472</v>
      </c>
      <c r="H24" s="80">
        <v>11.326715321734518</v>
      </c>
    </row>
    <row r="25" spans="2:8" ht="13.5" customHeight="1">
      <c r="B25" s="86" t="s">
        <v>128</v>
      </c>
      <c r="C25" s="79">
        <v>3982</v>
      </c>
      <c r="D25" s="79">
        <v>3747</v>
      </c>
      <c r="E25" s="79">
        <v>235</v>
      </c>
      <c r="F25" s="79">
        <v>577</v>
      </c>
      <c r="G25" s="80">
        <v>2.8355387523629489</v>
      </c>
      <c r="H25" s="80">
        <v>6.962152596227325</v>
      </c>
    </row>
    <row r="26" spans="2:8" ht="13.5" customHeight="1">
      <c r="B26" s="86" t="s">
        <v>129</v>
      </c>
      <c r="C26" s="79">
        <v>3250</v>
      </c>
      <c r="D26" s="79">
        <v>3054</v>
      </c>
      <c r="E26" s="79">
        <v>196</v>
      </c>
      <c r="F26" s="79">
        <v>453</v>
      </c>
      <c r="G26" s="80">
        <v>2.9159073158031767</v>
      </c>
      <c r="H26" s="80">
        <v>6.7393163982593816</v>
      </c>
    </row>
    <row r="27" spans="2:8" ht="13.5" customHeight="1">
      <c r="B27" s="86" t="s">
        <v>130</v>
      </c>
      <c r="C27" s="79">
        <v>6051</v>
      </c>
      <c r="D27" s="79">
        <v>5366</v>
      </c>
      <c r="E27" s="79">
        <v>685</v>
      </c>
      <c r="F27" s="79">
        <v>1100</v>
      </c>
      <c r="G27" s="80">
        <v>5.5272394733656993</v>
      </c>
      <c r="H27" s="80">
        <v>8.875859008324479</v>
      </c>
    </row>
    <row r="28" spans="2:8" ht="13.5" customHeight="1">
      <c r="B28" s="86" t="s">
        <v>131</v>
      </c>
      <c r="C28" s="79">
        <v>5463</v>
      </c>
      <c r="D28" s="79">
        <v>4746</v>
      </c>
      <c r="E28" s="79">
        <v>717</v>
      </c>
      <c r="F28" s="79">
        <v>1076</v>
      </c>
      <c r="G28" s="80">
        <v>6.4254028945678305</v>
      </c>
      <c r="H28" s="80">
        <v>9.6425850970083484</v>
      </c>
    </row>
    <row r="29" spans="2:8" ht="13.5" customHeight="1">
      <c r="B29" s="86" t="s">
        <v>132</v>
      </c>
      <c r="C29" s="79">
        <v>4170</v>
      </c>
      <c r="D29" s="79">
        <v>3853</v>
      </c>
      <c r="E29" s="79">
        <v>317</v>
      </c>
      <c r="F29" s="79">
        <v>665</v>
      </c>
      <c r="G29" s="80">
        <v>3.6607194410762744</v>
      </c>
      <c r="H29" s="80">
        <v>7.6794272186615862</v>
      </c>
    </row>
    <row r="30" spans="2:8" ht="13.5" customHeight="1">
      <c r="B30" s="86" t="s">
        <v>133</v>
      </c>
      <c r="C30" s="79">
        <v>11478</v>
      </c>
      <c r="D30" s="79">
        <v>10278</v>
      </c>
      <c r="E30" s="79">
        <v>1200</v>
      </c>
      <c r="F30" s="79">
        <v>2239</v>
      </c>
      <c r="G30" s="80">
        <v>5.0018930775883934</v>
      </c>
      <c r="H30" s="80">
        <v>9.3326988339336765</v>
      </c>
    </row>
    <row r="31" spans="2:8" ht="13.5" customHeight="1">
      <c r="B31" s="86" t="s">
        <v>134</v>
      </c>
      <c r="C31" s="79">
        <v>5176</v>
      </c>
      <c r="D31" s="79">
        <v>4656</v>
      </c>
      <c r="E31" s="79">
        <v>520</v>
      </c>
      <c r="F31" s="79">
        <v>951</v>
      </c>
      <c r="G31" s="80">
        <v>4.8386721566985376</v>
      </c>
      <c r="H31" s="80">
        <v>8.8491869635005926</v>
      </c>
    </row>
    <row r="32" spans="2:8" ht="13.5" customHeight="1">
      <c r="B32" s="86" t="s">
        <v>135</v>
      </c>
      <c r="C32" s="79">
        <v>4735</v>
      </c>
      <c r="D32" s="79">
        <v>4328</v>
      </c>
      <c r="E32" s="79">
        <v>407</v>
      </c>
      <c r="F32" s="79">
        <v>773</v>
      </c>
      <c r="G32" s="80">
        <v>4.1628666160940302</v>
      </c>
      <c r="H32" s="80">
        <v>7.9063781185274848</v>
      </c>
    </row>
    <row r="33" spans="2:10" ht="13.5" customHeight="1">
      <c r="B33" s="86" t="s">
        <v>136</v>
      </c>
      <c r="C33" s="79">
        <v>7460</v>
      </c>
      <c r="D33" s="79">
        <v>7040</v>
      </c>
      <c r="E33" s="79">
        <v>420</v>
      </c>
      <c r="F33" s="79">
        <v>1099</v>
      </c>
      <c r="G33" s="80">
        <v>2.6923508389557522</v>
      </c>
      <c r="H33" s="80">
        <v>7.0449846952675514</v>
      </c>
    </row>
    <row r="34" spans="2:10" ht="13.5" customHeight="1">
      <c r="B34" s="86" t="s">
        <v>137</v>
      </c>
      <c r="C34" s="79">
        <v>3418</v>
      </c>
      <c r="D34" s="79">
        <v>3118</v>
      </c>
      <c r="E34" s="79">
        <v>300</v>
      </c>
      <c r="F34" s="79">
        <v>690</v>
      </c>
      <c r="G34" s="80">
        <v>4.1103397880891483</v>
      </c>
      <c r="H34" s="80">
        <v>9.4537815126050422</v>
      </c>
    </row>
    <row r="35" spans="2:10" ht="13.5" customHeight="1">
      <c r="B35" s="86" t="s">
        <v>138</v>
      </c>
      <c r="C35" s="79">
        <v>5524</v>
      </c>
      <c r="D35" s="79">
        <v>5033</v>
      </c>
      <c r="E35" s="79">
        <v>491</v>
      </c>
      <c r="F35" s="79">
        <v>1016</v>
      </c>
      <c r="G35" s="80">
        <v>4.2349795510576671</v>
      </c>
      <c r="H35" s="80">
        <v>8.7632163419034406</v>
      </c>
    </row>
    <row r="36" spans="2:10" ht="13.5" customHeight="1">
      <c r="B36" s="86" t="s">
        <v>139</v>
      </c>
      <c r="C36" s="79">
        <v>3857</v>
      </c>
      <c r="D36" s="79">
        <v>3460</v>
      </c>
      <c r="E36" s="79">
        <v>397</v>
      </c>
      <c r="F36" s="79">
        <v>677</v>
      </c>
      <c r="G36" s="80">
        <v>5.0067786991203453</v>
      </c>
      <c r="H36" s="80">
        <v>8.5380080083236116</v>
      </c>
    </row>
    <row r="37" spans="2:10" ht="13.5" customHeight="1">
      <c r="B37" s="86" t="s">
        <v>140</v>
      </c>
      <c r="C37" s="79">
        <v>5668</v>
      </c>
      <c r="D37" s="79">
        <v>4985</v>
      </c>
      <c r="E37" s="79">
        <v>683</v>
      </c>
      <c r="F37" s="79">
        <v>1110</v>
      </c>
      <c r="G37" s="80">
        <v>5.8465599029853408</v>
      </c>
      <c r="H37" s="80">
        <v>9.5017298569747126</v>
      </c>
    </row>
    <row r="38" spans="2:10" ht="13.5" customHeight="1">
      <c r="B38" s="86" t="s">
        <v>141</v>
      </c>
      <c r="C38" s="79">
        <v>5187</v>
      </c>
      <c r="D38" s="79">
        <v>4657</v>
      </c>
      <c r="E38" s="79">
        <v>530</v>
      </c>
      <c r="F38" s="79">
        <v>954</v>
      </c>
      <c r="G38" s="80">
        <v>4.9282077905976625</v>
      </c>
      <c r="H38" s="80">
        <v>8.870774023075791</v>
      </c>
    </row>
    <row r="39" spans="2:10" ht="13.5" customHeight="1">
      <c r="B39" s="86" t="s">
        <v>142</v>
      </c>
      <c r="C39" s="79">
        <v>5215</v>
      </c>
      <c r="D39" s="79">
        <v>4847</v>
      </c>
      <c r="E39" s="79">
        <v>368</v>
      </c>
      <c r="F39" s="79">
        <v>846</v>
      </c>
      <c r="G39" s="80">
        <v>3.372562796416652</v>
      </c>
      <c r="H39" s="80">
        <v>7.7532286026317596</v>
      </c>
    </row>
    <row r="40" spans="2:10" ht="13.5" customHeight="1">
      <c r="B40" s="86" t="s">
        <v>143</v>
      </c>
      <c r="C40" s="79">
        <v>5683</v>
      </c>
      <c r="D40" s="79">
        <v>5235</v>
      </c>
      <c r="E40" s="79">
        <v>448</v>
      </c>
      <c r="F40" s="79">
        <v>863</v>
      </c>
      <c r="G40" s="80">
        <v>3.833045759835727</v>
      </c>
      <c r="H40" s="80">
        <v>7.3837466311121247</v>
      </c>
    </row>
    <row r="41" spans="2:10" ht="13.5" customHeight="1">
      <c r="B41" s="86" t="s">
        <v>144</v>
      </c>
      <c r="C41" s="79">
        <v>7592</v>
      </c>
      <c r="D41" s="79">
        <v>7032</v>
      </c>
      <c r="E41" s="79">
        <v>560</v>
      </c>
      <c r="F41" s="79">
        <v>1030</v>
      </c>
      <c r="G41" s="80">
        <v>3.6240872369570609</v>
      </c>
      <c r="H41" s="80">
        <v>6.6657318822603076</v>
      </c>
    </row>
    <row r="42" spans="2:10" ht="13.5" customHeight="1">
      <c r="B42" s="86" t="s">
        <v>145</v>
      </c>
      <c r="C42" s="79">
        <v>5291</v>
      </c>
      <c r="D42" s="79">
        <v>4886</v>
      </c>
      <c r="E42" s="79">
        <v>405</v>
      </c>
      <c r="F42" s="79">
        <v>951</v>
      </c>
      <c r="G42" s="80">
        <v>3.6200847665939175</v>
      </c>
      <c r="H42" s="80">
        <v>8.500495340816828</v>
      </c>
    </row>
    <row r="43" spans="2:10" ht="13.5" customHeight="1">
      <c r="B43" s="21"/>
      <c r="C43" s="81"/>
      <c r="D43" s="81"/>
      <c r="E43" s="81"/>
      <c r="F43" s="81"/>
      <c r="G43" s="85"/>
      <c r="H43" s="85"/>
    </row>
    <row r="44" spans="2:10" ht="13.5" customHeight="1">
      <c r="B44" s="360"/>
      <c r="C44" s="361"/>
      <c r="D44" s="362"/>
      <c r="E44" s="362"/>
      <c r="F44" s="362"/>
      <c r="G44" s="363"/>
      <c r="H44" s="363"/>
      <c r="I44" s="364"/>
      <c r="J44" s="364"/>
    </row>
    <row r="45" spans="2:10">
      <c r="B45" s="365"/>
      <c r="C45" s="365"/>
      <c r="D45" s="364"/>
      <c r="E45" s="364"/>
      <c r="F45" s="364"/>
      <c r="G45" s="364"/>
      <c r="H45" s="364"/>
      <c r="I45" s="364"/>
      <c r="J45" s="364"/>
    </row>
    <row r="46" spans="2:10" ht="13.5" customHeight="1">
      <c r="B46" s="360"/>
      <c r="C46" s="361"/>
      <c r="D46" s="362"/>
      <c r="E46" s="362"/>
      <c r="F46" s="362"/>
      <c r="G46" s="363"/>
      <c r="H46" s="363"/>
      <c r="I46" s="364"/>
      <c r="J46" s="364"/>
    </row>
    <row r="47" spans="2:10" ht="13.5" customHeight="1">
      <c r="B47" s="360"/>
      <c r="C47" s="361"/>
      <c r="D47" s="362"/>
      <c r="E47" s="362"/>
      <c r="F47" s="362"/>
      <c r="G47" s="363"/>
      <c r="H47" s="363"/>
      <c r="I47" s="364"/>
      <c r="J47" s="364"/>
    </row>
    <row r="48" spans="2:10" ht="13.5" customHeight="1">
      <c r="B48" s="360"/>
      <c r="C48" s="361"/>
      <c r="D48" s="362"/>
      <c r="E48" s="362"/>
      <c r="F48" s="362"/>
      <c r="G48" s="363"/>
      <c r="H48" s="363"/>
      <c r="I48" s="364"/>
      <c r="J48" s="364"/>
    </row>
    <row r="49" spans="2:10" ht="13.5" customHeight="1">
      <c r="B49" s="360"/>
      <c r="C49" s="361"/>
      <c r="D49" s="362"/>
      <c r="E49" s="362"/>
      <c r="F49" s="362"/>
      <c r="G49" s="363"/>
      <c r="H49" s="363"/>
      <c r="I49" s="364"/>
      <c r="J49" s="364"/>
    </row>
    <row r="50" spans="2:10" ht="13.5" customHeight="1">
      <c r="B50" s="360"/>
      <c r="C50" s="361"/>
      <c r="D50" s="362"/>
      <c r="E50" s="362"/>
      <c r="F50" s="362"/>
      <c r="G50" s="363"/>
      <c r="H50" s="363"/>
      <c r="I50" s="364"/>
      <c r="J50" s="364"/>
    </row>
    <row r="51" spans="2:10">
      <c r="B51" s="365"/>
      <c r="C51" s="365"/>
      <c r="D51" s="364"/>
      <c r="E51" s="364"/>
      <c r="F51" s="364"/>
      <c r="G51" s="364"/>
      <c r="H51" s="364"/>
      <c r="I51" s="364"/>
      <c r="J51" s="364"/>
    </row>
    <row r="52" spans="2:10">
      <c r="B52" s="365"/>
      <c r="C52" s="365"/>
      <c r="D52" s="364"/>
      <c r="E52" s="364"/>
      <c r="F52" s="364"/>
      <c r="G52" s="364"/>
      <c r="H52" s="364"/>
      <c r="I52" s="364"/>
      <c r="J52" s="364"/>
    </row>
    <row r="56" spans="2:10" ht="13.5">
      <c r="B56" s="87"/>
    </row>
  </sheetData>
  <mergeCells count="6">
    <mergeCell ref="F4:F5"/>
    <mergeCell ref="G4:G5"/>
    <mergeCell ref="H4:H5"/>
    <mergeCell ref="F16:F17"/>
    <mergeCell ref="G16:G17"/>
    <mergeCell ref="H16:H17"/>
  </mergeCells>
  <phoneticPr fontId="8"/>
  <pageMargins left="0.74803149606299213" right="0.31496062992125984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zoomScaleNormal="100" workbookViewId="0"/>
  </sheetViews>
  <sheetFormatPr defaultRowHeight="12"/>
  <cols>
    <col min="1" max="2" width="1.625" style="89" customWidth="1"/>
    <col min="3" max="3" width="25" style="89" customWidth="1"/>
    <col min="4" max="4" width="8.375" style="89" bestFit="1" customWidth="1"/>
    <col min="5" max="5" width="6.375" style="89" bestFit="1" customWidth="1"/>
    <col min="6" max="6" width="8.375" style="89" bestFit="1" customWidth="1"/>
    <col min="7" max="7" width="5.5" style="89" bestFit="1" customWidth="1"/>
    <col min="8" max="8" width="7.125" style="89" bestFit="1" customWidth="1"/>
    <col min="9" max="9" width="7.875" style="89" bestFit="1" customWidth="1"/>
    <col min="10" max="12" width="1.625" style="89" customWidth="1"/>
    <col min="13" max="13" width="12" style="89" customWidth="1"/>
    <col min="14" max="16384" width="9" style="89"/>
  </cols>
  <sheetData>
    <row r="1" spans="1:16" s="41" customFormat="1" ht="13.5" customHeight="1">
      <c r="A1" s="40" t="s">
        <v>195</v>
      </c>
      <c r="D1" s="43"/>
      <c r="E1" s="40"/>
    </row>
    <row r="2" spans="1:16" ht="13.5" customHeight="1">
      <c r="A2" s="88"/>
      <c r="B2" s="88"/>
      <c r="C2" s="88"/>
      <c r="D2" s="88"/>
      <c r="E2" s="111"/>
      <c r="F2" s="88"/>
      <c r="G2" s="111"/>
      <c r="H2" s="88"/>
      <c r="I2" s="111"/>
    </row>
    <row r="3" spans="1:16">
      <c r="A3" s="88"/>
      <c r="B3" s="88" t="s">
        <v>146</v>
      </c>
      <c r="D3" s="112"/>
      <c r="E3" s="88"/>
      <c r="F3" s="112"/>
      <c r="G3" s="88"/>
      <c r="H3" s="88"/>
      <c r="I3" s="90" t="s">
        <v>152</v>
      </c>
      <c r="K3" s="91"/>
      <c r="L3" s="91"/>
      <c r="M3" s="91"/>
      <c r="N3" s="91"/>
      <c r="O3" s="91"/>
      <c r="P3" s="91"/>
    </row>
    <row r="4" spans="1:16" ht="12" customHeight="1">
      <c r="A4" s="88"/>
      <c r="B4" s="92"/>
      <c r="C4" s="93"/>
      <c r="D4" s="644" t="s">
        <v>153</v>
      </c>
      <c r="E4" s="645"/>
      <c r="F4" s="646" t="s">
        <v>154</v>
      </c>
      <c r="G4" s="647"/>
      <c r="H4" s="646" t="s">
        <v>155</v>
      </c>
      <c r="I4" s="647"/>
      <c r="K4" s="94"/>
      <c r="L4" s="91"/>
      <c r="M4" s="95"/>
      <c r="N4" s="91"/>
      <c r="O4" s="91"/>
      <c r="P4" s="91"/>
    </row>
    <row r="5" spans="1:16" ht="12" customHeight="1">
      <c r="A5" s="88"/>
      <c r="B5" s="96"/>
      <c r="C5" s="97"/>
      <c r="D5" s="615"/>
      <c r="E5" s="372" t="s">
        <v>156</v>
      </c>
      <c r="F5" s="616"/>
      <c r="G5" s="373" t="s">
        <v>157</v>
      </c>
      <c r="H5" s="616"/>
      <c r="I5" s="373" t="s">
        <v>158</v>
      </c>
      <c r="K5" s="98"/>
      <c r="L5" s="98"/>
      <c r="M5" s="95"/>
      <c r="N5" s="95"/>
      <c r="O5" s="95"/>
      <c r="P5" s="91"/>
    </row>
    <row r="6" spans="1:16" ht="11.25" customHeight="1">
      <c r="A6" s="88"/>
      <c r="B6" s="371" t="s">
        <v>89</v>
      </c>
      <c r="C6" s="371"/>
      <c r="D6" s="374">
        <v>179252</v>
      </c>
      <c r="E6" s="375">
        <v>100</v>
      </c>
      <c r="F6" s="376">
        <v>176638</v>
      </c>
      <c r="G6" s="377">
        <v>98.5417178051012</v>
      </c>
      <c r="H6" s="376">
        <v>123437</v>
      </c>
      <c r="I6" s="377">
        <v>68.862272108539941</v>
      </c>
      <c r="K6" s="351"/>
      <c r="L6" s="98"/>
      <c r="M6" s="95"/>
      <c r="N6" s="95"/>
      <c r="O6" s="95"/>
      <c r="P6" s="91"/>
    </row>
    <row r="7" spans="1:16" ht="11.25" customHeight="1">
      <c r="A7" s="88"/>
      <c r="B7" s="371" t="s">
        <v>159</v>
      </c>
      <c r="C7" s="371"/>
      <c r="D7" s="374">
        <v>51</v>
      </c>
      <c r="E7" s="375">
        <v>2.84515653939705E-2</v>
      </c>
      <c r="F7" s="376">
        <v>51</v>
      </c>
      <c r="G7" s="377">
        <v>100</v>
      </c>
      <c r="H7" s="376">
        <v>48</v>
      </c>
      <c r="I7" s="377">
        <v>94.117647058823522</v>
      </c>
      <c r="K7" s="98"/>
      <c r="L7" s="98"/>
      <c r="M7" s="95"/>
      <c r="N7" s="95"/>
      <c r="O7" s="95"/>
      <c r="P7" s="91"/>
    </row>
    <row r="8" spans="1:16" ht="11.25" customHeight="1">
      <c r="A8" s="88"/>
      <c r="B8" s="371" t="s">
        <v>48</v>
      </c>
      <c r="C8" s="371"/>
      <c r="D8" s="374">
        <v>5</v>
      </c>
      <c r="E8" s="375">
        <v>2.7893691562716175E-3</v>
      </c>
      <c r="F8" s="376">
        <v>5</v>
      </c>
      <c r="G8" s="377">
        <v>100</v>
      </c>
      <c r="H8" s="376">
        <v>5</v>
      </c>
      <c r="I8" s="377">
        <v>100</v>
      </c>
      <c r="K8" s="98"/>
      <c r="L8" s="98"/>
      <c r="M8" s="95"/>
      <c r="N8" s="95"/>
      <c r="O8" s="95"/>
      <c r="P8" s="91"/>
    </row>
    <row r="9" spans="1:16" ht="11.25" customHeight="1">
      <c r="A9" s="88"/>
      <c r="B9" s="371" t="s">
        <v>90</v>
      </c>
      <c r="C9" s="371"/>
      <c r="D9" s="374">
        <v>8829</v>
      </c>
      <c r="E9" s="375">
        <v>4.9254680561444228</v>
      </c>
      <c r="F9" s="376">
        <v>8800</v>
      </c>
      <c r="G9" s="377">
        <v>99.671536980405477</v>
      </c>
      <c r="H9" s="376">
        <v>7850</v>
      </c>
      <c r="I9" s="377">
        <v>88.911541510929894</v>
      </c>
      <c r="K9" s="98"/>
      <c r="L9" s="98"/>
      <c r="M9" s="95"/>
      <c r="N9" s="95"/>
      <c r="O9" s="95"/>
      <c r="P9" s="91"/>
    </row>
    <row r="10" spans="1:16" ht="11.25" customHeight="1">
      <c r="A10" s="88"/>
      <c r="B10" s="371" t="s">
        <v>91</v>
      </c>
      <c r="C10" s="371"/>
      <c r="D10" s="374">
        <v>16574</v>
      </c>
      <c r="E10" s="375">
        <v>9.2462008792091588</v>
      </c>
      <c r="F10" s="376">
        <v>16528</v>
      </c>
      <c r="G10" s="377">
        <v>99.722456860142401</v>
      </c>
      <c r="H10" s="376">
        <v>14825</v>
      </c>
      <c r="I10" s="377">
        <v>89.447327138892234</v>
      </c>
      <c r="L10" s="91"/>
      <c r="M10" s="91"/>
      <c r="N10" s="91"/>
      <c r="O10" s="91"/>
      <c r="P10" s="91"/>
    </row>
    <row r="11" spans="1:16" ht="11.25" customHeight="1">
      <c r="A11" s="88"/>
      <c r="B11" s="648" t="s">
        <v>160</v>
      </c>
      <c r="C11" s="648"/>
      <c r="D11" s="374">
        <v>78</v>
      </c>
      <c r="E11" s="375">
        <v>4.3514158837837234E-2</v>
      </c>
      <c r="F11" s="376">
        <v>74</v>
      </c>
      <c r="G11" s="377">
        <v>94.871794871794862</v>
      </c>
      <c r="H11" s="376">
        <v>49</v>
      </c>
      <c r="I11" s="377">
        <v>62.820512820512818</v>
      </c>
      <c r="K11" s="99"/>
      <c r="L11" s="98"/>
      <c r="M11" s="95"/>
      <c r="N11" s="95"/>
      <c r="O11" s="95"/>
      <c r="P11" s="91"/>
    </row>
    <row r="12" spans="1:16" ht="11.25" customHeight="1">
      <c r="A12" s="88"/>
      <c r="B12" s="380" t="s">
        <v>161</v>
      </c>
      <c r="C12" s="371"/>
      <c r="D12" s="374">
        <v>4688</v>
      </c>
      <c r="E12" s="375">
        <v>2.6153125209202686</v>
      </c>
      <c r="F12" s="376">
        <v>4454</v>
      </c>
      <c r="G12" s="377">
        <v>95.008532423208194</v>
      </c>
      <c r="H12" s="376">
        <v>2206</v>
      </c>
      <c r="I12" s="377">
        <v>47.056313993174058</v>
      </c>
      <c r="K12" s="99"/>
      <c r="L12" s="98"/>
      <c r="M12" s="95"/>
      <c r="N12" s="95"/>
      <c r="O12" s="95"/>
      <c r="P12" s="91"/>
    </row>
    <row r="13" spans="1:16" ht="11.25" customHeight="1">
      <c r="A13" s="88"/>
      <c r="B13" s="381"/>
      <c r="C13" s="371" t="s">
        <v>162</v>
      </c>
      <c r="D13" s="374">
        <v>179</v>
      </c>
      <c r="E13" s="375">
        <v>9.9859415794523912E-2</v>
      </c>
      <c r="F13" s="376">
        <v>169</v>
      </c>
      <c r="G13" s="377">
        <v>94.413407821229043</v>
      </c>
      <c r="H13" s="376">
        <v>115</v>
      </c>
      <c r="I13" s="377">
        <v>64.245810055865931</v>
      </c>
      <c r="K13" s="99"/>
      <c r="L13" s="98"/>
      <c r="M13" s="95"/>
      <c r="N13" s="95"/>
      <c r="O13" s="95"/>
      <c r="P13" s="91"/>
    </row>
    <row r="14" spans="1:16" ht="11.25" customHeight="1">
      <c r="A14" s="88"/>
      <c r="B14" s="381"/>
      <c r="C14" s="371" t="s">
        <v>163</v>
      </c>
      <c r="D14" s="374">
        <v>112</v>
      </c>
      <c r="E14" s="375">
        <v>6.2481869100484241E-2</v>
      </c>
      <c r="F14" s="376">
        <v>104</v>
      </c>
      <c r="G14" s="377">
        <v>92.857142857142861</v>
      </c>
      <c r="H14" s="376">
        <v>74</v>
      </c>
      <c r="I14" s="377">
        <v>66.071428571428569</v>
      </c>
      <c r="K14" s="99"/>
      <c r="L14" s="98"/>
      <c r="M14" s="95"/>
      <c r="N14" s="95"/>
      <c r="O14" s="95"/>
      <c r="P14" s="91"/>
    </row>
    <row r="15" spans="1:16" ht="11.25" customHeight="1">
      <c r="A15" s="88"/>
      <c r="B15" s="381"/>
      <c r="C15" s="371" t="s">
        <v>164</v>
      </c>
      <c r="D15" s="374">
        <v>2682</v>
      </c>
      <c r="E15" s="375">
        <v>1.4962176154240958</v>
      </c>
      <c r="F15" s="376">
        <v>2506</v>
      </c>
      <c r="G15" s="377">
        <v>93.437733035048481</v>
      </c>
      <c r="H15" s="376">
        <v>984</v>
      </c>
      <c r="I15" s="377">
        <v>36.68903803131991</v>
      </c>
      <c r="K15" s="99"/>
      <c r="L15" s="98"/>
      <c r="M15" s="95"/>
      <c r="N15" s="95"/>
      <c r="O15" s="95"/>
      <c r="P15" s="91"/>
    </row>
    <row r="16" spans="1:16" ht="11.25" customHeight="1">
      <c r="A16" s="88"/>
      <c r="B16" s="381"/>
      <c r="C16" s="371" t="s">
        <v>165</v>
      </c>
      <c r="D16" s="374">
        <v>418</v>
      </c>
      <c r="E16" s="375">
        <v>0.23319126146430724</v>
      </c>
      <c r="F16" s="376">
        <v>408</v>
      </c>
      <c r="G16" s="377">
        <v>97.607655502392348</v>
      </c>
      <c r="H16" s="376">
        <v>223</v>
      </c>
      <c r="I16" s="377">
        <v>53.349282296650713</v>
      </c>
      <c r="K16" s="99"/>
      <c r="L16" s="98"/>
      <c r="M16" s="95"/>
      <c r="N16" s="95"/>
      <c r="O16" s="95"/>
      <c r="P16" s="91"/>
    </row>
    <row r="17" spans="1:16" ht="11.25" customHeight="1">
      <c r="A17" s="88"/>
      <c r="B17" s="382"/>
      <c r="C17" s="371" t="s">
        <v>166</v>
      </c>
      <c r="D17" s="374">
        <v>1292</v>
      </c>
      <c r="E17" s="375">
        <v>0.72077298998058592</v>
      </c>
      <c r="F17" s="376">
        <v>1267</v>
      </c>
      <c r="G17" s="377">
        <v>98.065015479876166</v>
      </c>
      <c r="H17" s="376">
        <v>810</v>
      </c>
      <c r="I17" s="377">
        <v>62.693498452012385</v>
      </c>
      <c r="K17" s="91"/>
      <c r="L17" s="91"/>
      <c r="M17" s="91"/>
      <c r="N17" s="91"/>
      <c r="O17" s="91"/>
      <c r="P17" s="91"/>
    </row>
    <row r="18" spans="1:16" ht="11.25" customHeight="1">
      <c r="A18" s="88"/>
      <c r="B18" s="371" t="s">
        <v>167</v>
      </c>
      <c r="C18" s="371"/>
      <c r="D18" s="374">
        <v>4151</v>
      </c>
      <c r="E18" s="375">
        <v>2.3157342735366968</v>
      </c>
      <c r="F18" s="376">
        <v>4118</v>
      </c>
      <c r="G18" s="377">
        <v>99.205010840761261</v>
      </c>
      <c r="H18" s="376">
        <v>3126</v>
      </c>
      <c r="I18" s="377">
        <v>75.307154902433155</v>
      </c>
      <c r="K18" s="99"/>
      <c r="L18" s="98"/>
      <c r="M18" s="95"/>
      <c r="N18" s="95"/>
      <c r="O18" s="95"/>
      <c r="P18" s="91"/>
    </row>
    <row r="19" spans="1:16" ht="11.25" customHeight="1">
      <c r="A19" s="88"/>
      <c r="B19" s="380" t="s">
        <v>168</v>
      </c>
      <c r="C19" s="371"/>
      <c r="D19" s="374">
        <v>49355</v>
      </c>
      <c r="E19" s="375">
        <v>27.533862941557135</v>
      </c>
      <c r="F19" s="376">
        <v>48433</v>
      </c>
      <c r="G19" s="377">
        <v>98.131901529733568</v>
      </c>
      <c r="H19" s="376">
        <v>29494</v>
      </c>
      <c r="I19" s="377">
        <v>59.758889676831117</v>
      </c>
      <c r="K19" s="99"/>
      <c r="L19" s="98"/>
      <c r="M19" s="95"/>
      <c r="N19" s="95"/>
      <c r="O19" s="95"/>
      <c r="P19" s="91"/>
    </row>
    <row r="20" spans="1:16" ht="11.25" customHeight="1">
      <c r="A20" s="88"/>
      <c r="B20" s="381"/>
      <c r="C20" s="371" t="s">
        <v>169</v>
      </c>
      <c r="D20" s="374">
        <v>22668</v>
      </c>
      <c r="E20" s="375">
        <v>12.645884006873006</v>
      </c>
      <c r="F20" s="376">
        <v>22294</v>
      </c>
      <c r="G20" s="377">
        <v>98.350097053114524</v>
      </c>
      <c r="H20" s="376">
        <v>11924</v>
      </c>
      <c r="I20" s="377">
        <v>52.602788071289922</v>
      </c>
      <c r="K20" s="99"/>
      <c r="L20" s="99"/>
      <c r="M20" s="95"/>
      <c r="N20" s="95"/>
      <c r="O20" s="95"/>
      <c r="P20" s="91"/>
    </row>
    <row r="21" spans="1:16" ht="11.25" customHeight="1">
      <c r="A21" s="88"/>
      <c r="B21" s="382"/>
      <c r="C21" s="371" t="s">
        <v>170</v>
      </c>
      <c r="D21" s="374">
        <v>26687</v>
      </c>
      <c r="E21" s="375">
        <v>14.887978934684131</v>
      </c>
      <c r="F21" s="376">
        <v>26139</v>
      </c>
      <c r="G21" s="377">
        <v>97.946565743620482</v>
      </c>
      <c r="H21" s="376">
        <v>17570</v>
      </c>
      <c r="I21" s="377">
        <v>65.837299059467156</v>
      </c>
      <c r="K21" s="99"/>
      <c r="L21" s="99"/>
      <c r="M21" s="95"/>
      <c r="N21" s="95"/>
      <c r="O21" s="95"/>
      <c r="P21" s="91"/>
    </row>
    <row r="22" spans="1:16" ht="11.25" customHeight="1">
      <c r="A22" s="88"/>
      <c r="B22" s="371" t="s">
        <v>49</v>
      </c>
      <c r="C22" s="371"/>
      <c r="D22" s="374">
        <v>2973</v>
      </c>
      <c r="E22" s="375">
        <v>1.6585589003191039</v>
      </c>
      <c r="F22" s="376">
        <v>2945</v>
      </c>
      <c r="G22" s="377">
        <v>99.058190380087453</v>
      </c>
      <c r="H22" s="376">
        <v>1987</v>
      </c>
      <c r="I22" s="377">
        <v>66.834846955936769</v>
      </c>
      <c r="K22" s="91"/>
      <c r="L22" s="91"/>
      <c r="M22" s="91"/>
      <c r="N22" s="91"/>
      <c r="O22" s="91"/>
      <c r="P22" s="91"/>
    </row>
    <row r="23" spans="1:16" ht="11.25" customHeight="1">
      <c r="A23" s="88"/>
      <c r="B23" s="371" t="s">
        <v>171</v>
      </c>
      <c r="C23" s="371"/>
      <c r="D23" s="374">
        <v>15228</v>
      </c>
      <c r="E23" s="375">
        <v>8.4953027023408385</v>
      </c>
      <c r="F23" s="376">
        <v>15214</v>
      </c>
      <c r="G23" s="377">
        <v>99.90806409246126</v>
      </c>
      <c r="H23" s="376">
        <v>14715</v>
      </c>
      <c r="I23" s="377">
        <v>96.63120567375887</v>
      </c>
      <c r="K23" s="99"/>
      <c r="L23" s="99"/>
      <c r="M23" s="95"/>
      <c r="N23" s="95"/>
      <c r="O23" s="95"/>
      <c r="P23" s="91"/>
    </row>
    <row r="24" spans="1:16" ht="11.25" customHeight="1">
      <c r="A24" s="88"/>
      <c r="B24" s="378" t="s">
        <v>172</v>
      </c>
      <c r="C24" s="378"/>
      <c r="D24" s="374">
        <v>12103</v>
      </c>
      <c r="E24" s="375">
        <v>6.7519469796710778</v>
      </c>
      <c r="F24" s="376">
        <v>12003</v>
      </c>
      <c r="G24" s="377">
        <v>99.173758572254812</v>
      </c>
      <c r="H24" s="376">
        <v>8846</v>
      </c>
      <c r="I24" s="377">
        <v>73.08931669833926</v>
      </c>
      <c r="K24" s="99"/>
      <c r="L24" s="99"/>
      <c r="M24" s="95"/>
      <c r="N24" s="95"/>
      <c r="O24" s="95"/>
      <c r="P24" s="91"/>
    </row>
    <row r="25" spans="1:16" ht="11.25" customHeight="1">
      <c r="A25" s="88"/>
      <c r="B25" s="380" t="s">
        <v>173</v>
      </c>
      <c r="C25" s="371"/>
      <c r="D25" s="374">
        <v>26607</v>
      </c>
      <c r="E25" s="375">
        <v>14.843349028183786</v>
      </c>
      <c r="F25" s="376">
        <v>26238</v>
      </c>
      <c r="G25" s="377">
        <v>98.613146916225062</v>
      </c>
      <c r="H25" s="376">
        <v>17625</v>
      </c>
      <c r="I25" s="377">
        <v>66.241966399819603</v>
      </c>
      <c r="K25" s="99"/>
      <c r="L25" s="99"/>
      <c r="M25" s="95"/>
      <c r="N25" s="95"/>
      <c r="O25" s="95"/>
      <c r="P25" s="91"/>
    </row>
    <row r="26" spans="1:16" ht="11.25" customHeight="1">
      <c r="A26" s="88"/>
      <c r="B26" s="381"/>
      <c r="C26" s="371" t="s">
        <v>174</v>
      </c>
      <c r="D26" s="374">
        <v>642</v>
      </c>
      <c r="E26" s="375">
        <v>0.3581549996652757</v>
      </c>
      <c r="F26" s="376">
        <v>607</v>
      </c>
      <c r="G26" s="377">
        <v>94.54828660436138</v>
      </c>
      <c r="H26" s="376">
        <v>222</v>
      </c>
      <c r="I26" s="377">
        <v>34.579439252336449</v>
      </c>
      <c r="K26" s="99"/>
      <c r="L26" s="99"/>
      <c r="M26" s="95"/>
      <c r="N26" s="95"/>
      <c r="O26" s="95"/>
      <c r="P26" s="91"/>
    </row>
    <row r="27" spans="1:16" ht="11.25" customHeight="1">
      <c r="A27" s="88"/>
      <c r="B27" s="381"/>
      <c r="C27" s="371" t="s">
        <v>175</v>
      </c>
      <c r="D27" s="374">
        <v>24426</v>
      </c>
      <c r="E27" s="375">
        <v>13.626626202218105</v>
      </c>
      <c r="F27" s="376">
        <v>24183</v>
      </c>
      <c r="G27" s="377">
        <v>99.005158437730287</v>
      </c>
      <c r="H27" s="376">
        <v>16690</v>
      </c>
      <c r="I27" s="377">
        <v>68.328829935314829</v>
      </c>
      <c r="K27" s="99"/>
      <c r="L27" s="99"/>
      <c r="M27" s="95"/>
      <c r="N27" s="95"/>
      <c r="O27" s="95"/>
      <c r="P27" s="91"/>
    </row>
    <row r="28" spans="1:16" ht="11.25" customHeight="1">
      <c r="A28" s="88"/>
      <c r="B28" s="382"/>
      <c r="C28" s="371" t="s">
        <v>176</v>
      </c>
      <c r="D28" s="374">
        <v>1482</v>
      </c>
      <c r="E28" s="375">
        <v>0.82676901791890745</v>
      </c>
      <c r="F28" s="376">
        <v>1448</v>
      </c>
      <c r="G28" s="377">
        <v>97.705802968960867</v>
      </c>
      <c r="H28" s="379">
        <v>713</v>
      </c>
      <c r="I28" s="377">
        <v>48.110661268556001</v>
      </c>
      <c r="K28" s="99"/>
      <c r="L28" s="99"/>
      <c r="M28" s="95"/>
      <c r="N28" s="95"/>
      <c r="O28" s="95"/>
      <c r="P28" s="91"/>
    </row>
    <row r="29" spans="1:16" ht="11.25" customHeight="1">
      <c r="A29" s="88"/>
      <c r="B29" s="371" t="s">
        <v>177</v>
      </c>
      <c r="C29" s="371"/>
      <c r="D29" s="374">
        <v>11163</v>
      </c>
      <c r="E29" s="375">
        <v>6.2275455782920135</v>
      </c>
      <c r="F29" s="376">
        <v>11115</v>
      </c>
      <c r="G29" s="377">
        <v>99.570008062348833</v>
      </c>
      <c r="H29" s="376">
        <v>8494</v>
      </c>
      <c r="I29" s="377">
        <v>76.090656633521462</v>
      </c>
      <c r="K29" s="99"/>
      <c r="L29" s="99"/>
      <c r="M29" s="95"/>
      <c r="N29" s="95"/>
      <c r="O29" s="95"/>
      <c r="P29" s="91"/>
    </row>
    <row r="30" spans="1:16" ht="11.25" customHeight="1">
      <c r="A30" s="88"/>
      <c r="B30" s="371" t="s">
        <v>178</v>
      </c>
      <c r="C30" s="371"/>
      <c r="D30" s="374">
        <v>3705</v>
      </c>
      <c r="E30" s="375">
        <v>2.0669225447972686</v>
      </c>
      <c r="F30" s="376">
        <v>3650</v>
      </c>
      <c r="G30" s="377">
        <v>98.515519568151149</v>
      </c>
      <c r="H30" s="376">
        <v>2183</v>
      </c>
      <c r="I30" s="377">
        <v>58.920377867746289</v>
      </c>
      <c r="K30" s="98"/>
      <c r="L30" s="99"/>
      <c r="M30" s="95"/>
      <c r="N30" s="95"/>
      <c r="O30" s="95"/>
      <c r="P30" s="91"/>
    </row>
    <row r="31" spans="1:16" ht="11.25" customHeight="1">
      <c r="A31" s="88"/>
      <c r="B31" s="371" t="s">
        <v>179</v>
      </c>
      <c r="C31" s="371"/>
      <c r="D31" s="374">
        <v>12805</v>
      </c>
      <c r="E31" s="375">
        <v>7.1435744092116131</v>
      </c>
      <c r="F31" s="376">
        <v>12606</v>
      </c>
      <c r="G31" s="377">
        <v>98.445919562670838</v>
      </c>
      <c r="H31" s="376">
        <v>5671</v>
      </c>
      <c r="I31" s="377">
        <v>44.287387739164394</v>
      </c>
      <c r="K31" s="98"/>
      <c r="L31" s="98"/>
      <c r="M31" s="95"/>
      <c r="N31" s="95"/>
      <c r="O31" s="95"/>
      <c r="P31" s="91"/>
    </row>
    <row r="32" spans="1:16" ht="11.25" customHeight="1">
      <c r="A32" s="88"/>
      <c r="B32" s="371" t="s">
        <v>180</v>
      </c>
      <c r="C32" s="371"/>
      <c r="D32" s="374">
        <v>438</v>
      </c>
      <c r="E32" s="375">
        <v>0.2443487380893937</v>
      </c>
      <c r="F32" s="376">
        <v>423</v>
      </c>
      <c r="G32" s="377">
        <v>96.575342465753423</v>
      </c>
      <c r="H32" s="376">
        <v>68</v>
      </c>
      <c r="I32" s="377">
        <v>15.52511415525114</v>
      </c>
      <c r="K32" s="98"/>
      <c r="L32" s="99"/>
      <c r="M32" s="91"/>
      <c r="N32" s="91"/>
    </row>
    <row r="33" spans="1:15" ht="11.25" customHeight="1">
      <c r="A33" s="88"/>
      <c r="B33" s="371" t="s">
        <v>196</v>
      </c>
      <c r="C33" s="371"/>
      <c r="D33" s="374">
        <v>10499</v>
      </c>
      <c r="E33" s="375">
        <v>5.8571173543391426</v>
      </c>
      <c r="F33" s="376">
        <v>9981</v>
      </c>
      <c r="G33" s="377">
        <v>95.066196780645768</v>
      </c>
      <c r="H33" s="376">
        <v>6245</v>
      </c>
      <c r="I33" s="377">
        <v>59.481855414801409</v>
      </c>
      <c r="K33" s="91"/>
      <c r="L33" s="99"/>
      <c r="M33" s="91"/>
      <c r="N33" s="91"/>
    </row>
    <row r="34" spans="1:15">
      <c r="A34" s="88"/>
      <c r="B34" s="88"/>
      <c r="C34" s="88"/>
      <c r="D34" s="88"/>
      <c r="E34" s="111"/>
      <c r="F34" s="113"/>
      <c r="G34" s="115"/>
      <c r="H34" s="113"/>
      <c r="I34" s="115"/>
      <c r="K34" s="98"/>
      <c r="L34" s="99"/>
      <c r="M34" s="91"/>
      <c r="N34" s="91"/>
    </row>
    <row r="35" spans="1:15" ht="13.5" customHeight="1">
      <c r="B35" s="65"/>
      <c r="C35" s="65"/>
      <c r="D35" s="66"/>
      <c r="E35" s="66"/>
      <c r="F35" s="66"/>
      <c r="G35" s="66"/>
      <c r="H35" s="66"/>
      <c r="I35" s="65"/>
      <c r="J35" s="65"/>
      <c r="K35" s="65"/>
      <c r="L35" s="65"/>
    </row>
    <row r="36" spans="1:15" ht="13.5" customHeight="1">
      <c r="B36" s="65"/>
      <c r="C36" s="359"/>
      <c r="D36" s="66"/>
      <c r="E36" s="66"/>
      <c r="F36" s="66"/>
      <c r="G36" s="66"/>
      <c r="H36" s="66"/>
      <c r="I36" s="65"/>
      <c r="J36" s="65"/>
      <c r="K36" s="65"/>
      <c r="L36" s="65"/>
    </row>
    <row r="37" spans="1:15" ht="13.5" customHeight="1">
      <c r="B37" s="65"/>
      <c r="C37" s="359"/>
      <c r="D37" s="66"/>
      <c r="E37" s="66"/>
      <c r="F37" s="66"/>
      <c r="G37" s="66"/>
      <c r="H37" s="66"/>
      <c r="I37" s="65"/>
      <c r="J37" s="65"/>
      <c r="K37" s="65"/>
      <c r="L37" s="65"/>
    </row>
    <row r="38" spans="1:15" ht="13.5" customHeight="1">
      <c r="B38" s="65"/>
      <c r="C38" s="359"/>
      <c r="D38" s="66"/>
      <c r="E38" s="66"/>
      <c r="F38" s="66"/>
      <c r="G38" s="66"/>
      <c r="H38" s="66"/>
      <c r="I38" s="65"/>
      <c r="J38" s="65"/>
      <c r="K38" s="65"/>
      <c r="L38" s="65"/>
    </row>
    <row r="39" spans="1:15" ht="13.5" customHeight="1">
      <c r="B39" s="65"/>
      <c r="C39" s="359"/>
      <c r="D39" s="66"/>
      <c r="E39" s="66"/>
      <c r="F39" s="66"/>
      <c r="G39" s="66"/>
      <c r="H39" s="66"/>
      <c r="I39" s="65"/>
      <c r="J39" s="65"/>
      <c r="K39" s="65"/>
      <c r="L39" s="65"/>
    </row>
    <row r="40" spans="1:15" s="106" customFormat="1" ht="9.75" customHeight="1">
      <c r="C40" s="383"/>
      <c r="D40" s="652" t="s">
        <v>182</v>
      </c>
      <c r="E40" s="652"/>
      <c r="F40" s="652"/>
      <c r="G40" s="652"/>
      <c r="H40" s="652"/>
      <c r="I40" s="610" t="s">
        <v>183</v>
      </c>
      <c r="J40" s="107"/>
      <c r="K40" s="108"/>
      <c r="L40" s="109"/>
      <c r="M40" s="109"/>
      <c r="N40" s="109"/>
    </row>
    <row r="41" spans="1:15" s="106" customFormat="1" ht="10.5" customHeight="1">
      <c r="C41" s="649" t="s">
        <v>184</v>
      </c>
      <c r="D41" s="653" t="s">
        <v>185</v>
      </c>
      <c r="E41" s="653"/>
      <c r="F41" s="653"/>
      <c r="G41" s="653"/>
      <c r="H41" s="653"/>
      <c r="I41" s="610" t="s">
        <v>186</v>
      </c>
      <c r="J41" s="109"/>
      <c r="K41" s="109"/>
      <c r="L41" s="109"/>
      <c r="M41" s="109"/>
      <c r="N41" s="109"/>
    </row>
    <row r="42" spans="1:15" s="106" customFormat="1" ht="47.25" customHeight="1">
      <c r="C42" s="649"/>
      <c r="D42" s="650" t="s">
        <v>187</v>
      </c>
      <c r="E42" s="650"/>
      <c r="F42" s="650"/>
      <c r="G42" s="650"/>
      <c r="H42" s="650"/>
      <c r="I42" s="610" t="s">
        <v>188</v>
      </c>
      <c r="J42" s="107"/>
      <c r="K42" s="107"/>
      <c r="L42" s="109"/>
      <c r="M42" s="109"/>
      <c r="N42" s="109"/>
    </row>
    <row r="43" spans="1:15" s="106" customFormat="1" ht="12.75" customHeight="1">
      <c r="C43" s="649"/>
      <c r="D43" s="651" t="s">
        <v>189</v>
      </c>
      <c r="E43" s="651"/>
      <c r="F43" s="651"/>
      <c r="G43" s="651"/>
      <c r="H43" s="651"/>
      <c r="I43" s="610" t="s">
        <v>190</v>
      </c>
      <c r="J43" s="107"/>
      <c r="K43" s="107"/>
      <c r="L43" s="109"/>
      <c r="M43" s="109"/>
      <c r="N43" s="109"/>
    </row>
    <row r="44" spans="1:15" s="106" customFormat="1" ht="56.25" customHeight="1">
      <c r="C44" s="649" t="s">
        <v>191</v>
      </c>
      <c r="D44" s="650" t="s">
        <v>192</v>
      </c>
      <c r="E44" s="650"/>
      <c r="F44" s="650"/>
      <c r="G44" s="650"/>
      <c r="H44" s="650"/>
      <c r="I44" s="610" t="s">
        <v>193</v>
      </c>
      <c r="J44" s="109"/>
      <c r="K44" s="109"/>
      <c r="L44" s="109"/>
      <c r="M44" s="109"/>
      <c r="N44" s="109"/>
    </row>
    <row r="45" spans="1:15" s="106" customFormat="1" ht="13.5" customHeight="1">
      <c r="C45" s="649"/>
      <c r="D45" s="651" t="s">
        <v>189</v>
      </c>
      <c r="E45" s="651"/>
      <c r="F45" s="651"/>
      <c r="G45" s="651"/>
      <c r="H45" s="651"/>
      <c r="I45" s="610" t="s">
        <v>194</v>
      </c>
      <c r="J45" s="107"/>
      <c r="K45" s="107"/>
      <c r="L45" s="109"/>
      <c r="M45" s="109"/>
      <c r="N45" s="109"/>
    </row>
    <row r="46" spans="1:15" s="106" customFormat="1" ht="9.75" customHeight="1">
      <c r="K46" s="107"/>
      <c r="L46" s="107"/>
      <c r="M46" s="109"/>
      <c r="N46" s="109"/>
      <c r="O46" s="109"/>
    </row>
    <row r="47" spans="1:15" ht="12.75" customHeight="1">
      <c r="B47" s="384" t="s">
        <v>197</v>
      </c>
      <c r="K47" s="98"/>
      <c r="L47" s="99"/>
      <c r="M47" s="91"/>
      <c r="N47" s="91"/>
      <c r="O47" s="91"/>
    </row>
    <row r="48" spans="1:15">
      <c r="K48" s="98"/>
      <c r="L48" s="99"/>
      <c r="M48" s="91"/>
      <c r="N48" s="91"/>
      <c r="O48" s="91"/>
    </row>
    <row r="49" spans="2:15">
      <c r="B49" s="110"/>
      <c r="K49" s="91"/>
      <c r="L49" s="91"/>
      <c r="M49" s="91"/>
      <c r="N49" s="91"/>
      <c r="O49" s="91"/>
    </row>
    <row r="50" spans="2:15">
      <c r="B50" s="110"/>
      <c r="K50" s="98"/>
      <c r="L50" s="99"/>
      <c r="M50" s="91"/>
      <c r="N50" s="91"/>
      <c r="O50" s="91"/>
    </row>
    <row r="51" spans="2:15">
      <c r="K51" s="98"/>
      <c r="L51" s="99"/>
      <c r="M51" s="91"/>
      <c r="N51" s="91"/>
      <c r="O51" s="91"/>
    </row>
    <row r="52" spans="2:15">
      <c r="K52" s="91"/>
      <c r="L52" s="91"/>
      <c r="M52" s="91"/>
      <c r="N52" s="91"/>
      <c r="O52" s="91"/>
    </row>
    <row r="53" spans="2:15">
      <c r="K53" s="98"/>
      <c r="L53" s="99"/>
      <c r="M53" s="91"/>
      <c r="N53" s="91"/>
      <c r="O53" s="91"/>
    </row>
    <row r="54" spans="2:15">
      <c r="K54" s="98"/>
      <c r="L54" s="99"/>
      <c r="M54" s="91"/>
      <c r="N54" s="91"/>
      <c r="O54" s="91"/>
    </row>
    <row r="55" spans="2:15">
      <c r="K55" s="91"/>
      <c r="L55" s="91"/>
      <c r="M55" s="91"/>
      <c r="N55" s="91"/>
      <c r="O55" s="91"/>
    </row>
    <row r="73" ht="12.75" customHeight="1"/>
  </sheetData>
  <mergeCells count="12">
    <mergeCell ref="D4:E4"/>
    <mergeCell ref="F4:G4"/>
    <mergeCell ref="H4:I4"/>
    <mergeCell ref="B11:C11"/>
    <mergeCell ref="C44:C45"/>
    <mergeCell ref="D44:H44"/>
    <mergeCell ref="D45:H45"/>
    <mergeCell ref="D40:H40"/>
    <mergeCell ref="C41:C43"/>
    <mergeCell ref="D41:H41"/>
    <mergeCell ref="D42:H42"/>
    <mergeCell ref="D43:H43"/>
  </mergeCells>
  <phoneticPr fontId="8"/>
  <pageMargins left="0.74803149606299213" right="0.31496062992125984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3</vt:i4>
      </vt:variant>
    </vt:vector>
  </HeadingPairs>
  <TitlesOfParts>
    <vt:vector size="32" baseType="lpstr">
      <vt:lpstr>01全国シェア比較</vt:lpstr>
      <vt:lpstr>02人口と面積</vt:lpstr>
      <vt:lpstr>03主要国GDP</vt:lpstr>
      <vt:lpstr>04経済活動別市内GRP</vt:lpstr>
      <vt:lpstr>05区別市税</vt:lpstr>
      <vt:lpstr>06事業所数</vt:lpstr>
      <vt:lpstr>06従業者数</vt:lpstr>
      <vt:lpstr>07開廃業率</vt:lpstr>
      <vt:lpstr>08事業所数</vt:lpstr>
      <vt:lpstr>08従業者数</vt:lpstr>
      <vt:lpstr>09区別事業所数</vt:lpstr>
      <vt:lpstr>09区別従業者数</vt:lpstr>
      <vt:lpstr>10製造業・事業所、従業者数</vt:lpstr>
      <vt:lpstr>10製造品出荷額等</vt:lpstr>
      <vt:lpstr>11製造業・従業者規模別</vt:lpstr>
      <vt:lpstr>12製造業・区別事業所.従業者数</vt:lpstr>
      <vt:lpstr>12製造業・区別製造品出荷額等</vt:lpstr>
      <vt:lpstr>13卸売業・事業所、従業者数</vt:lpstr>
      <vt:lpstr>13卸売業・年間販売額</vt:lpstr>
      <vt:lpstr>14卸売業・区別状況</vt:lpstr>
      <vt:lpstr>15卸売業・従業者規模別</vt:lpstr>
      <vt:lpstr>16小売業・事業所、従業者数</vt:lpstr>
      <vt:lpstr>16小売業・年間商品販売額</vt:lpstr>
      <vt:lpstr>17小売業・区別状況</vt:lpstr>
      <vt:lpstr>18小売業・従業者規模別</vt:lpstr>
      <vt:lpstr>19小売業・業種別</vt:lpstr>
      <vt:lpstr>20サービス業業種別</vt:lpstr>
      <vt:lpstr>21サービス業区別</vt:lpstr>
      <vt:lpstr>22飲食店</vt:lpstr>
      <vt:lpstr>'02人口と面積'!Print_Area</vt:lpstr>
      <vt:lpstr>'04経済活動別市内GRP'!Print_Area</vt:lpstr>
      <vt:lpstr>'07開廃業率'!Print_Area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2019-05-07T01:06:40Z</dcterms:created>
  <dcterms:modified xsi:type="dcterms:W3CDTF">2019-05-07T01:06:44Z</dcterms:modified>
</cp:coreProperties>
</file>