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3280" windowHeight="14880" tabRatio="812"/>
  </bookViews>
  <sheets>
    <sheet name="一般会計" sheetId="77" r:id="rId1"/>
  </sheets>
  <definedNames>
    <definedName name="_xlnm.Print_Area" localSheetId="0">一般会計!$A$5:$I$423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</workbook>
</file>

<file path=xl/calcChain.xml><?xml version="1.0" encoding="utf-8"?>
<calcChain xmlns="http://schemas.openxmlformats.org/spreadsheetml/2006/main">
  <c r="F13" i="77" l="1"/>
  <c r="F12" i="77"/>
  <c r="F230" i="77" l="1"/>
  <c r="F231" i="77" s="1"/>
  <c r="F168" i="77"/>
  <c r="F169" i="77" l="1"/>
  <c r="F17" i="77" l="1"/>
  <c r="F387" i="77" l="1"/>
  <c r="F386" i="77"/>
  <c r="F244" i="77" l="1"/>
  <c r="F245" i="77" s="1"/>
  <c r="F182" i="77"/>
  <c r="F183" i="77" s="1"/>
  <c r="F263" i="77" l="1"/>
  <c r="E290" i="77"/>
  <c r="F201" i="77"/>
  <c r="E226" i="77"/>
  <c r="F302" i="77" l="1"/>
  <c r="F365" i="77" l="1"/>
  <c r="F364" i="77"/>
  <c r="E302" i="77" l="1"/>
  <c r="F164" i="77" l="1"/>
  <c r="E164" i="77"/>
  <c r="F163" i="77"/>
  <c r="F165" i="77" s="1"/>
  <c r="E163" i="77"/>
  <c r="E165" i="77" s="1"/>
  <c r="E160" i="77"/>
  <c r="F158" i="77"/>
  <c r="F159" i="77" s="1"/>
  <c r="E159" i="77"/>
  <c r="E161" i="77" s="1"/>
  <c r="G162" i="77"/>
  <c r="G159" i="77" l="1"/>
  <c r="F161" i="77"/>
  <c r="G161" i="77" s="1"/>
  <c r="F160" i="77"/>
  <c r="G160" i="77" s="1"/>
  <c r="G158" i="77"/>
  <c r="G163" i="77"/>
  <c r="F36" i="77"/>
  <c r="F334" i="77" l="1"/>
  <c r="F335" i="77" s="1"/>
  <c r="E255" i="77" l="1"/>
  <c r="E193" i="77" l="1"/>
  <c r="F344" i="77" l="1"/>
  <c r="F44" i="77" l="1"/>
  <c r="F32" i="77"/>
  <c r="F30" i="77"/>
  <c r="F28" i="77"/>
  <c r="F24" i="77"/>
  <c r="F22" i="77"/>
  <c r="F268" i="77" l="1"/>
  <c r="F279" i="77"/>
  <c r="F265" i="77"/>
  <c r="F260" i="77"/>
  <c r="F238" i="77"/>
  <c r="F235" i="77"/>
  <c r="F208" i="77"/>
  <c r="F215" i="77"/>
  <c r="F203" i="77"/>
  <c r="F198" i="77"/>
  <c r="F176" i="77"/>
  <c r="F173" i="77"/>
  <c r="F290" i="77" l="1"/>
  <c r="F314" i="77"/>
  <c r="F310" i="77"/>
  <c r="F148" i="77"/>
  <c r="F121" i="77"/>
  <c r="F119" i="77"/>
  <c r="F117" i="77"/>
  <c r="F111" i="77"/>
  <c r="F105" i="77"/>
  <c r="F103" i="77"/>
  <c r="F101" i="77"/>
  <c r="F97" i="77"/>
  <c r="F84" i="77"/>
  <c r="F78" i="77"/>
  <c r="F79" i="77" s="1"/>
  <c r="F74" i="77"/>
  <c r="F71" i="77" l="1"/>
  <c r="F66" i="77"/>
  <c r="F385" i="77" l="1"/>
  <c r="F384" i="77"/>
  <c r="F67" i="77" l="1"/>
  <c r="F193" i="77" l="1"/>
  <c r="F285" i="77" l="1"/>
  <c r="F283" i="77"/>
  <c r="F223" i="77"/>
  <c r="E223" i="77"/>
  <c r="G222" i="77"/>
  <c r="F221" i="77"/>
  <c r="F219" i="77"/>
  <c r="G223" i="77" l="1"/>
  <c r="F281" i="77"/>
  <c r="F277" i="77" l="1"/>
  <c r="F217" i="77"/>
  <c r="F213" i="77"/>
  <c r="F275" i="77"/>
  <c r="F273" i="77"/>
  <c r="F271" i="77"/>
  <c r="F211" i="77"/>
  <c r="F269" i="77" l="1"/>
  <c r="F209" i="77"/>
  <c r="F207" i="77"/>
  <c r="F225" i="77"/>
  <c r="F289" i="77"/>
  <c r="F267" i="77"/>
  <c r="F205" i="77"/>
  <c r="F261" i="77" l="1"/>
  <c r="E199" i="77" l="1"/>
  <c r="F199" i="77"/>
  <c r="F259" i="77" l="1"/>
  <c r="F257" i="77"/>
  <c r="F197" i="77"/>
  <c r="F195" i="77"/>
  <c r="F255" i="77"/>
  <c r="G254" i="77"/>
  <c r="G192" i="77"/>
  <c r="F253" i="77"/>
  <c r="F191" i="77"/>
  <c r="G255" i="77" l="1"/>
  <c r="G193" i="77"/>
  <c r="F189" i="77"/>
  <c r="F251" i="77"/>
  <c r="F249" i="77"/>
  <c r="F187" i="77"/>
  <c r="F185" i="77"/>
  <c r="F247" i="77"/>
  <c r="F226" i="77" l="1"/>
  <c r="F243" i="77" l="1"/>
  <c r="F181" i="77"/>
  <c r="F179" i="77"/>
  <c r="F241" i="77"/>
  <c r="F177" i="77" l="1"/>
  <c r="F239" i="77"/>
  <c r="F237" i="77"/>
  <c r="F175" i="77"/>
  <c r="F227" i="77" s="1"/>
  <c r="F229" i="77" l="1"/>
  <c r="F167" i="77"/>
  <c r="F330" i="77" l="1"/>
  <c r="F15" i="77" l="1"/>
  <c r="F14" i="77"/>
  <c r="F19" i="77"/>
  <c r="F391" i="77" l="1"/>
  <c r="F390" i="77"/>
  <c r="F379" i="77"/>
  <c r="F378" i="77"/>
  <c r="F373" i="77"/>
  <c r="F372" i="77"/>
  <c r="F420" i="77" s="1"/>
  <c r="F421" i="77" l="1"/>
  <c r="F349" i="77"/>
  <c r="F347" i="77"/>
  <c r="F345" i="77"/>
  <c r="F343" i="77"/>
  <c r="F341" i="77"/>
  <c r="F339" i="77"/>
  <c r="F337" i="77"/>
  <c r="F332" i="77"/>
  <c r="F333" i="77" s="1"/>
  <c r="F331" i="77"/>
  <c r="F328" i="77"/>
  <c r="F329" i="77" s="1"/>
  <c r="F29" i="77"/>
  <c r="F57" i="77"/>
  <c r="F55" i="77"/>
  <c r="F53" i="77"/>
  <c r="F51" i="77"/>
  <c r="F49" i="77"/>
  <c r="F47" i="77"/>
  <c r="F45" i="77"/>
  <c r="F43" i="77"/>
  <c r="F41" i="77"/>
  <c r="F39" i="77"/>
  <c r="F37" i="77"/>
  <c r="F35" i="77"/>
  <c r="F33" i="77"/>
  <c r="F31" i="77"/>
  <c r="F27" i="77"/>
  <c r="F25" i="77"/>
  <c r="F23" i="77" l="1"/>
  <c r="F316" i="77"/>
  <c r="G409" i="77" l="1"/>
  <c r="G408" i="77"/>
  <c r="F325" i="77" l="1"/>
  <c r="F323" i="77" l="1"/>
  <c r="F321" i="77"/>
  <c r="F319" i="77"/>
  <c r="F317" i="77"/>
  <c r="F315" i="77"/>
  <c r="F311" i="77"/>
  <c r="F309" i="77"/>
  <c r="F294" i="77"/>
  <c r="F295" i="77" s="1"/>
  <c r="F305" i="77"/>
  <c r="F303" i="77"/>
  <c r="F301" i="77"/>
  <c r="F298" i="77"/>
  <c r="F299" i="77" s="1"/>
  <c r="I294" i="77"/>
  <c r="F297" i="77"/>
  <c r="F293" i="77"/>
  <c r="F155" i="77"/>
  <c r="F153" i="77"/>
  <c r="F149" i="77"/>
  <c r="F147" i="77"/>
  <c r="F145" i="77"/>
  <c r="F143" i="77"/>
  <c r="F141" i="77"/>
  <c r="F139" i="77"/>
  <c r="F137" i="77"/>
  <c r="F135" i="77"/>
  <c r="F133" i="77"/>
  <c r="F125" i="77"/>
  <c r="F115" i="77" l="1"/>
  <c r="F113" i="77"/>
  <c r="F109" i="77"/>
  <c r="F107" i="77"/>
  <c r="E107" i="77"/>
  <c r="E104" i="77"/>
  <c r="F99" i="77"/>
  <c r="F95" i="77"/>
  <c r="F93" i="77"/>
  <c r="F91" i="77"/>
  <c r="F89" i="77"/>
  <c r="F87" i="77"/>
  <c r="F85" i="77"/>
  <c r="F83" i="77"/>
  <c r="F81" i="77"/>
  <c r="F76" i="77"/>
  <c r="F77" i="77" s="1"/>
  <c r="F75" i="77"/>
  <c r="F73" i="77"/>
  <c r="F68" i="77"/>
  <c r="F130" i="77" s="1"/>
  <c r="F65" i="77"/>
  <c r="F63" i="77"/>
  <c r="F61" i="77"/>
  <c r="F69" i="77" l="1"/>
  <c r="F422" i="77"/>
  <c r="G107" i="77"/>
  <c r="G106" i="77"/>
  <c r="E12" i="77"/>
  <c r="E13" i="77"/>
  <c r="G13" i="77" s="1"/>
  <c r="G16" i="77"/>
  <c r="E17" i="77"/>
  <c r="G18" i="77"/>
  <c r="E19" i="77"/>
  <c r="F21" i="77"/>
  <c r="E20" i="77"/>
  <c r="F20" i="77"/>
  <c r="E22" i="77"/>
  <c r="G22" i="77" s="1"/>
  <c r="E24" i="77"/>
  <c r="E25" i="77" s="1"/>
  <c r="G26" i="77"/>
  <c r="E27" i="77"/>
  <c r="G27" i="77" s="1"/>
  <c r="G28" i="77"/>
  <c r="E29" i="77"/>
  <c r="G29" i="77" s="1"/>
  <c r="E30" i="77"/>
  <c r="G30" i="77" s="1"/>
  <c r="E32" i="77"/>
  <c r="E33" i="77" s="1"/>
  <c r="G34" i="77"/>
  <c r="E35" i="77"/>
  <c r="G35" i="77" s="1"/>
  <c r="E36" i="77"/>
  <c r="G36" i="77" s="1"/>
  <c r="G38" i="77"/>
  <c r="E39" i="77"/>
  <c r="G39" i="77" s="1"/>
  <c r="G40" i="77"/>
  <c r="E41" i="77"/>
  <c r="G41" i="77" s="1"/>
  <c r="G42" i="77"/>
  <c r="E43" i="77"/>
  <c r="G43" i="77" s="1"/>
  <c r="E44" i="77"/>
  <c r="E45" i="77" s="1"/>
  <c r="G46" i="77"/>
  <c r="E47" i="77"/>
  <c r="G47" i="77" s="1"/>
  <c r="G48" i="77"/>
  <c r="E49" i="77"/>
  <c r="G49" i="77" s="1"/>
  <c r="G50" i="77"/>
  <c r="E51" i="77"/>
  <c r="G51" i="77" s="1"/>
  <c r="G52" i="77"/>
  <c r="E53" i="77"/>
  <c r="G53" i="77" s="1"/>
  <c r="G54" i="77"/>
  <c r="E55" i="77"/>
  <c r="G55" i="77" s="1"/>
  <c r="G56" i="77"/>
  <c r="E57" i="77"/>
  <c r="G57" i="77" s="1"/>
  <c r="G60" i="77"/>
  <c r="E61" i="77"/>
  <c r="G62" i="77"/>
  <c r="E63" i="77"/>
  <c r="G63" i="77" s="1"/>
  <c r="E64" i="77"/>
  <c r="E66" i="77"/>
  <c r="G66" i="77" s="1"/>
  <c r="E68" i="77"/>
  <c r="E69" i="77" s="1"/>
  <c r="G70" i="77"/>
  <c r="E71" i="77"/>
  <c r="G71" i="77" s="1"/>
  <c r="G72" i="77"/>
  <c r="E73" i="77"/>
  <c r="G73" i="77" s="1"/>
  <c r="G128" i="77"/>
  <c r="E129" i="77"/>
  <c r="G129" i="77" s="1"/>
  <c r="E74" i="77"/>
  <c r="E75" i="77" s="1"/>
  <c r="E76" i="77"/>
  <c r="E77" i="77" s="1"/>
  <c r="E78" i="77"/>
  <c r="G78" i="77" s="1"/>
  <c r="G80" i="77"/>
  <c r="E81" i="77"/>
  <c r="G81" i="77" s="1"/>
  <c r="G82" i="77"/>
  <c r="E83" i="77"/>
  <c r="G83" i="77" s="1"/>
  <c r="G84" i="77"/>
  <c r="E85" i="77"/>
  <c r="G85" i="77" s="1"/>
  <c r="G86" i="77"/>
  <c r="E87" i="77"/>
  <c r="G87" i="77" s="1"/>
  <c r="G88" i="77"/>
  <c r="E89" i="77"/>
  <c r="G89" i="77" s="1"/>
  <c r="G90" i="77"/>
  <c r="E91" i="77"/>
  <c r="G91" i="77" s="1"/>
  <c r="G92" i="77"/>
  <c r="E93" i="77"/>
  <c r="G93" i="77" s="1"/>
  <c r="G94" i="77"/>
  <c r="E95" i="77"/>
  <c r="G95" i="77" s="1"/>
  <c r="G96" i="77"/>
  <c r="E97" i="77"/>
  <c r="G97" i="77" s="1"/>
  <c r="G98" i="77"/>
  <c r="E99" i="77"/>
  <c r="G99" i="77" s="1"/>
  <c r="G100" i="77"/>
  <c r="E101" i="77"/>
  <c r="G101" i="77" s="1"/>
  <c r="G102" i="77"/>
  <c r="E103" i="77"/>
  <c r="G103" i="77" s="1"/>
  <c r="E105" i="77"/>
  <c r="G108" i="77"/>
  <c r="E109" i="77"/>
  <c r="G109" i="77" s="1"/>
  <c r="G110" i="77"/>
  <c r="E111" i="77"/>
  <c r="G111" i="77" s="1"/>
  <c r="G112" i="77"/>
  <c r="E113" i="77"/>
  <c r="G113" i="77" s="1"/>
  <c r="G114" i="77"/>
  <c r="E115" i="77"/>
  <c r="G115" i="77" s="1"/>
  <c r="G116" i="77"/>
  <c r="E117" i="77"/>
  <c r="G117" i="77" s="1"/>
  <c r="G118" i="77"/>
  <c r="E119" i="77"/>
  <c r="G119" i="77" s="1"/>
  <c r="G120" i="77"/>
  <c r="E121" i="77"/>
  <c r="G121" i="77" s="1"/>
  <c r="G122" i="77"/>
  <c r="E123" i="77"/>
  <c r="F123" i="77"/>
  <c r="G124" i="77"/>
  <c r="E125" i="77"/>
  <c r="G125" i="77" s="1"/>
  <c r="G126" i="77"/>
  <c r="E127" i="77"/>
  <c r="F127" i="77"/>
  <c r="G132" i="77"/>
  <c r="E133" i="77"/>
  <c r="F151" i="77"/>
  <c r="G134" i="77"/>
  <c r="E135" i="77"/>
  <c r="G135" i="77" s="1"/>
  <c r="G136" i="77"/>
  <c r="E137" i="77"/>
  <c r="G137" i="77" s="1"/>
  <c r="G138" i="77"/>
  <c r="E139" i="77"/>
  <c r="G139" i="77" s="1"/>
  <c r="G140" i="77"/>
  <c r="E141" i="77"/>
  <c r="G141" i="77" s="1"/>
  <c r="G142" i="77"/>
  <c r="E143" i="77"/>
  <c r="G143" i="77" s="1"/>
  <c r="G144" i="77"/>
  <c r="E145" i="77"/>
  <c r="G145" i="77" s="1"/>
  <c r="G146" i="77"/>
  <c r="E147" i="77"/>
  <c r="G147" i="77" s="1"/>
  <c r="G148" i="77"/>
  <c r="E149" i="77"/>
  <c r="G149" i="77" s="1"/>
  <c r="E150" i="77"/>
  <c r="F150" i="77"/>
  <c r="G152" i="77"/>
  <c r="E153" i="77"/>
  <c r="G153" i="77" s="1"/>
  <c r="G154" i="77"/>
  <c r="E155" i="77"/>
  <c r="G155" i="77" s="1"/>
  <c r="E156" i="77"/>
  <c r="F156" i="77"/>
  <c r="F157" i="77"/>
  <c r="G166" i="77"/>
  <c r="E167" i="77"/>
  <c r="F171" i="77"/>
  <c r="G168" i="77"/>
  <c r="E169" i="77"/>
  <c r="G169" i="77" s="1"/>
  <c r="E170" i="77"/>
  <c r="F170" i="77"/>
  <c r="G172" i="77"/>
  <c r="E173" i="77"/>
  <c r="G174" i="77"/>
  <c r="E175" i="77"/>
  <c r="G175" i="77" s="1"/>
  <c r="G176" i="77"/>
  <c r="E177" i="77"/>
  <c r="G177" i="77" s="1"/>
  <c r="G178" i="77"/>
  <c r="E179" i="77"/>
  <c r="G179" i="77" s="1"/>
  <c r="G180" i="77"/>
  <c r="E181" i="77"/>
  <c r="G181" i="77" s="1"/>
  <c r="G182" i="77"/>
  <c r="E183" i="77"/>
  <c r="G183" i="77" s="1"/>
  <c r="G184" i="77"/>
  <c r="E185" i="77"/>
  <c r="G185" i="77" s="1"/>
  <c r="G186" i="77"/>
  <c r="E187" i="77"/>
  <c r="G187" i="77" s="1"/>
  <c r="G188" i="77"/>
  <c r="E189" i="77"/>
  <c r="G189" i="77" s="1"/>
  <c r="G190" i="77"/>
  <c r="E191" i="77"/>
  <c r="G191" i="77" s="1"/>
  <c r="G194" i="77"/>
  <c r="E195" i="77"/>
  <c r="G195" i="77" s="1"/>
  <c r="G196" i="77"/>
  <c r="E197" i="77"/>
  <c r="G197" i="77" s="1"/>
  <c r="G198" i="77"/>
  <c r="G199" i="77"/>
  <c r="G200" i="77"/>
  <c r="E201" i="77"/>
  <c r="G201" i="77" s="1"/>
  <c r="G202" i="77"/>
  <c r="E203" i="77"/>
  <c r="G203" i="77" s="1"/>
  <c r="G204" i="77"/>
  <c r="E205" i="77"/>
  <c r="G205" i="77" s="1"/>
  <c r="G224" i="77"/>
  <c r="E225" i="77"/>
  <c r="G225" i="77" s="1"/>
  <c r="G206" i="77"/>
  <c r="E207" i="77"/>
  <c r="G207" i="77" s="1"/>
  <c r="G208" i="77"/>
  <c r="E209" i="77"/>
  <c r="G209" i="77" s="1"/>
  <c r="G210" i="77"/>
  <c r="E211" i="77"/>
  <c r="G211" i="77" s="1"/>
  <c r="G212" i="77"/>
  <c r="E213" i="77"/>
  <c r="G213" i="77" s="1"/>
  <c r="G214" i="77"/>
  <c r="E215" i="77"/>
  <c r="G215" i="77" s="1"/>
  <c r="G216" i="77"/>
  <c r="E217" i="77"/>
  <c r="G217" i="77" s="1"/>
  <c r="G218" i="77"/>
  <c r="G219" i="77"/>
  <c r="G220" i="77"/>
  <c r="E221" i="77"/>
  <c r="G228" i="77"/>
  <c r="E229" i="77"/>
  <c r="G229" i="77" s="1"/>
  <c r="G230" i="77"/>
  <c r="E231" i="77"/>
  <c r="G231" i="77" s="1"/>
  <c r="E232" i="77"/>
  <c r="F232" i="77"/>
  <c r="F233" i="77"/>
  <c r="G234" i="77"/>
  <c r="E235" i="77"/>
  <c r="G236" i="77"/>
  <c r="E237" i="77"/>
  <c r="G237" i="77" s="1"/>
  <c r="G238" i="77"/>
  <c r="E239" i="77"/>
  <c r="G239" i="77" s="1"/>
  <c r="G240" i="77"/>
  <c r="E241" i="77"/>
  <c r="G241" i="77" s="1"/>
  <c r="G242" i="77"/>
  <c r="E243" i="77"/>
  <c r="G243" i="77" s="1"/>
  <c r="G244" i="77"/>
  <c r="E245" i="77"/>
  <c r="G245" i="77" s="1"/>
  <c r="G246" i="77"/>
  <c r="E247" i="77"/>
  <c r="G247" i="77" s="1"/>
  <c r="G248" i="77"/>
  <c r="E249" i="77"/>
  <c r="G249" i="77" s="1"/>
  <c r="G250" i="77"/>
  <c r="E251" i="77"/>
  <c r="G251" i="77" s="1"/>
  <c r="G252" i="77"/>
  <c r="E253" i="77"/>
  <c r="G253" i="77" s="1"/>
  <c r="G256" i="77"/>
  <c r="E257" i="77"/>
  <c r="G257" i="77" s="1"/>
  <c r="G258" i="77"/>
  <c r="E259" i="77"/>
  <c r="G259" i="77" s="1"/>
  <c r="G260" i="77"/>
  <c r="E261" i="77"/>
  <c r="G261" i="77" s="1"/>
  <c r="G262" i="77"/>
  <c r="E263" i="77"/>
  <c r="G263" i="77" s="1"/>
  <c r="G264" i="77"/>
  <c r="E265" i="77"/>
  <c r="G265" i="77" s="1"/>
  <c r="G266" i="77"/>
  <c r="E267" i="77"/>
  <c r="G267" i="77" s="1"/>
  <c r="G288" i="77"/>
  <c r="E289" i="77"/>
  <c r="G289" i="77" s="1"/>
  <c r="G268" i="77"/>
  <c r="E269" i="77"/>
  <c r="G269" i="77" s="1"/>
  <c r="G270" i="77"/>
  <c r="E271" i="77"/>
  <c r="G271" i="77" s="1"/>
  <c r="G272" i="77"/>
  <c r="E273" i="77"/>
  <c r="G273" i="77" s="1"/>
  <c r="G274" i="77"/>
  <c r="E275" i="77"/>
  <c r="G275" i="77" s="1"/>
  <c r="G276" i="77"/>
  <c r="E277" i="77"/>
  <c r="G277" i="77" s="1"/>
  <c r="G278" i="77"/>
  <c r="E279" i="77"/>
  <c r="G279" i="77" s="1"/>
  <c r="G280" i="77"/>
  <c r="E281" i="77"/>
  <c r="G281" i="77" s="1"/>
  <c r="G282" i="77"/>
  <c r="G283" i="77"/>
  <c r="G284" i="77"/>
  <c r="E285" i="77"/>
  <c r="G285" i="77" s="1"/>
  <c r="G286" i="77"/>
  <c r="E287" i="77"/>
  <c r="F287" i="77"/>
  <c r="F291" i="77" s="1"/>
  <c r="G292" i="77"/>
  <c r="E293" i="77"/>
  <c r="E294" i="77"/>
  <c r="G294" i="77" s="1"/>
  <c r="I295" i="77"/>
  <c r="G296" i="77"/>
  <c r="G297" i="77"/>
  <c r="I297" i="77"/>
  <c r="E298" i="77"/>
  <c r="G298" i="77" s="1"/>
  <c r="I299" i="77"/>
  <c r="G300" i="77"/>
  <c r="E301" i="77"/>
  <c r="G301" i="77" s="1"/>
  <c r="E303" i="77"/>
  <c r="G304" i="77"/>
  <c r="E305" i="77"/>
  <c r="G305" i="77" s="1"/>
  <c r="F306" i="77"/>
  <c r="G308" i="77"/>
  <c r="E309" i="77"/>
  <c r="G309" i="77" s="1"/>
  <c r="E310" i="77"/>
  <c r="E312" i="77" s="1"/>
  <c r="F312" i="77"/>
  <c r="E314" i="77"/>
  <c r="E316" i="77"/>
  <c r="E317" i="77" s="1"/>
  <c r="G318" i="77"/>
  <c r="G319" i="77"/>
  <c r="G320" i="77"/>
  <c r="E321" i="77"/>
  <c r="G321" i="77" s="1"/>
  <c r="G322" i="77"/>
  <c r="E323" i="77"/>
  <c r="G323" i="77" s="1"/>
  <c r="G324" i="77"/>
  <c r="E325" i="77"/>
  <c r="G325" i="77" s="1"/>
  <c r="E328" i="77"/>
  <c r="E329" i="77" s="1"/>
  <c r="E330" i="77"/>
  <c r="E331" i="77" s="1"/>
  <c r="E332" i="77"/>
  <c r="E333" i="77" s="1"/>
  <c r="E334" i="77"/>
  <c r="E335" i="77" s="1"/>
  <c r="I335" i="77"/>
  <c r="G336" i="77"/>
  <c r="E337" i="77"/>
  <c r="G337" i="77" s="1"/>
  <c r="G338" i="77"/>
  <c r="E339" i="77"/>
  <c r="G339" i="77" s="1"/>
  <c r="G340" i="77"/>
  <c r="E341" i="77"/>
  <c r="G341" i="77" s="1"/>
  <c r="G342" i="77"/>
  <c r="E343" i="77"/>
  <c r="G343" i="77" s="1"/>
  <c r="E344" i="77"/>
  <c r="E345" i="77" s="1"/>
  <c r="G345" i="77" s="1"/>
  <c r="G346" i="77"/>
  <c r="E347" i="77"/>
  <c r="G347" i="77" s="1"/>
  <c r="G348" i="77"/>
  <c r="E349" i="77"/>
  <c r="G349" i="77" s="1"/>
  <c r="G412" i="77"/>
  <c r="G413" i="77"/>
  <c r="G352" i="77"/>
  <c r="G353" i="77"/>
  <c r="G354" i="77"/>
  <c r="G355" i="77"/>
  <c r="G356" i="77"/>
  <c r="G357" i="77"/>
  <c r="G358" i="77"/>
  <c r="G359" i="77"/>
  <c r="G360" i="77"/>
  <c r="G361" i="77"/>
  <c r="G362" i="77"/>
  <c r="G363" i="77"/>
  <c r="G414" i="77"/>
  <c r="G415" i="77"/>
  <c r="G416" i="77"/>
  <c r="G417" i="77"/>
  <c r="E364" i="77"/>
  <c r="E365" i="77"/>
  <c r="G366" i="77"/>
  <c r="G367" i="77"/>
  <c r="G368" i="77"/>
  <c r="G369" i="77"/>
  <c r="G370" i="77"/>
  <c r="G371" i="77"/>
  <c r="E372" i="77"/>
  <c r="G372" i="77" s="1"/>
  <c r="E373" i="77"/>
  <c r="G373" i="77" s="1"/>
  <c r="G374" i="77"/>
  <c r="G375" i="77"/>
  <c r="G376" i="77"/>
  <c r="G377" i="77"/>
  <c r="E378" i="77"/>
  <c r="G378" i="77" s="1"/>
  <c r="E379" i="77"/>
  <c r="G379" i="77" s="1"/>
  <c r="G380" i="77"/>
  <c r="G381" i="77"/>
  <c r="G382" i="77"/>
  <c r="G383" i="77"/>
  <c r="E384" i="77"/>
  <c r="G384" i="77" s="1"/>
  <c r="E385" i="77"/>
  <c r="G385" i="77" s="1"/>
  <c r="E386" i="77"/>
  <c r="G386" i="77" s="1"/>
  <c r="E387" i="77"/>
  <c r="G387" i="77" s="1"/>
  <c r="G388" i="77"/>
  <c r="G389" i="77"/>
  <c r="E390" i="77"/>
  <c r="G390" i="77" s="1"/>
  <c r="E391" i="77"/>
  <c r="G391" i="77" s="1"/>
  <c r="G418" i="77"/>
  <c r="G419" i="77"/>
  <c r="E392" i="77"/>
  <c r="G392" i="77" s="1"/>
  <c r="G393" i="77"/>
  <c r="G394" i="77"/>
  <c r="G395" i="77"/>
  <c r="G396" i="77"/>
  <c r="G397" i="77"/>
  <c r="G398" i="77"/>
  <c r="G399" i="77"/>
  <c r="G400" i="77"/>
  <c r="G401" i="77"/>
  <c r="G402" i="77"/>
  <c r="G403" i="77"/>
  <c r="G404" i="77"/>
  <c r="G405" i="77"/>
  <c r="G406" i="77"/>
  <c r="G407" i="77"/>
  <c r="G410" i="77"/>
  <c r="G411" i="77"/>
  <c r="I422" i="77"/>
  <c r="H422" i="77" s="1"/>
  <c r="F131" i="77" l="1"/>
  <c r="E130" i="77"/>
  <c r="G12" i="77"/>
  <c r="E422" i="77"/>
  <c r="G422" i="77" s="1"/>
  <c r="G365" i="77"/>
  <c r="G421" i="77" s="1"/>
  <c r="E421" i="77"/>
  <c r="E420" i="77"/>
  <c r="E291" i="77"/>
  <c r="G290" i="77"/>
  <c r="E227" i="77"/>
  <c r="G226" i="77"/>
  <c r="G130" i="77"/>
  <c r="E31" i="77"/>
  <c r="G31" i="77" s="1"/>
  <c r="G302" i="77"/>
  <c r="G61" i="77"/>
  <c r="E65" i="77"/>
  <c r="E14" i="77"/>
  <c r="G14" i="77" s="1"/>
  <c r="E67" i="77"/>
  <c r="G67" i="77" s="1"/>
  <c r="E15" i="77"/>
  <c r="G15" i="77" s="1"/>
  <c r="E326" i="77"/>
  <c r="G344" i="77"/>
  <c r="G235" i="77"/>
  <c r="G173" i="77"/>
  <c r="E350" i="77"/>
  <c r="G127" i="77"/>
  <c r="I423" i="77"/>
  <c r="G123" i="77"/>
  <c r="E23" i="77"/>
  <c r="G287" i="77"/>
  <c r="G74" i="77"/>
  <c r="E295" i="77"/>
  <c r="G295" i="77" s="1"/>
  <c r="G232" i="77"/>
  <c r="E37" i="77"/>
  <c r="G37" i="77" s="1"/>
  <c r="G170" i="77"/>
  <c r="E233" i="77"/>
  <c r="G233" i="77" s="1"/>
  <c r="E157" i="77"/>
  <c r="G157" i="77" s="1"/>
  <c r="G364" i="77"/>
  <c r="G420" i="77" s="1"/>
  <c r="G156" i="77"/>
  <c r="G150" i="77"/>
  <c r="E79" i="77"/>
  <c r="E58" i="77"/>
  <c r="E315" i="77"/>
  <c r="E327" i="77" s="1"/>
  <c r="E311" i="77"/>
  <c r="E313" i="77" s="1"/>
  <c r="G314" i="77"/>
  <c r="G310" i="77"/>
  <c r="E306" i="77"/>
  <c r="G306" i="77" s="1"/>
  <c r="G20" i="77"/>
  <c r="G19" i="77"/>
  <c r="G77" i="77"/>
  <c r="G76" i="77"/>
  <c r="G317" i="77"/>
  <c r="G316" i="77"/>
  <c r="G167" i="77"/>
  <c r="E171" i="77"/>
  <c r="G171" i="77" s="1"/>
  <c r="G105" i="77"/>
  <c r="G104" i="77"/>
  <c r="G25" i="77"/>
  <c r="G24" i="77"/>
  <c r="F58" i="77"/>
  <c r="E351" i="77"/>
  <c r="G293" i="77"/>
  <c r="G221" i="77"/>
  <c r="G64" i="77"/>
  <c r="G45" i="77"/>
  <c r="G44" i="77"/>
  <c r="G33" i="77"/>
  <c r="G32" i="77"/>
  <c r="G17" i="77"/>
  <c r="E21" i="77"/>
  <c r="G21" i="77" s="1"/>
  <c r="G335" i="77"/>
  <c r="G334" i="77"/>
  <c r="G332" i="77"/>
  <c r="G333" i="77"/>
  <c r="G331" i="77"/>
  <c r="G330" i="77"/>
  <c r="G328" i="77"/>
  <c r="F350" i="77"/>
  <c r="F326" i="77"/>
  <c r="G312" i="77"/>
  <c r="G133" i="77"/>
  <c r="E151" i="77"/>
  <c r="G151" i="77" s="1"/>
  <c r="G69" i="77"/>
  <c r="G68" i="77"/>
  <c r="G303" i="77"/>
  <c r="E299" i="77"/>
  <c r="G75" i="77"/>
  <c r="E131" i="77" l="1"/>
  <c r="G326" i="77"/>
  <c r="G291" i="77"/>
  <c r="G227" i="77"/>
  <c r="G165" i="77"/>
  <c r="G164" i="77"/>
  <c r="G131" i="77"/>
  <c r="E59" i="77"/>
  <c r="G79" i="77"/>
  <c r="E423" i="77"/>
  <c r="G350" i="77"/>
  <c r="E307" i="77"/>
  <c r="G58" i="77"/>
  <c r="G299" i="77"/>
  <c r="F351" i="77"/>
  <c r="G351" i="77" s="1"/>
  <c r="G329" i="77"/>
  <c r="G65" i="77"/>
  <c r="F307" i="77"/>
  <c r="F327" i="77"/>
  <c r="G327" i="77" s="1"/>
  <c r="G315" i="77"/>
  <c r="F59" i="77"/>
  <c r="G23" i="77"/>
  <c r="F423" i="77"/>
  <c r="F313" i="77"/>
  <c r="G313" i="77" s="1"/>
  <c r="G311" i="77"/>
  <c r="G59" i="77" l="1"/>
  <c r="G423" i="77"/>
  <c r="G307" i="77"/>
</calcChain>
</file>

<file path=xl/sharedStrings.xml><?xml version="1.0" encoding="utf-8"?>
<sst xmlns="http://schemas.openxmlformats.org/spreadsheetml/2006/main" count="1013" uniqueCount="261">
  <si>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</si>
  <si>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</si>
  <si>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</si>
  <si>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</si>
  <si>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</si>
  <si>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</si>
  <si>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</si>
  <si>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</si>
  <si>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</si>
  <si>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</si>
  <si>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</si>
  <si>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</si>
  <si>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</si>
  <si>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</si>
  <si>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</si>
  <si>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</si>
  <si>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</si>
  <si>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</si>
  <si>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所属名　教育委員会事務局　</t>
    <rPh sb="0" eb="2">
      <t>ショゾク</t>
    </rPh>
    <rPh sb="2" eb="3">
      <t>メイ</t>
    </rPh>
    <rPh sb="4" eb="6">
      <t>キョウイク</t>
    </rPh>
    <rPh sb="6" eb="9">
      <t>イインカイ</t>
    </rPh>
    <rPh sb="9" eb="12">
      <t>ジムキョク</t>
    </rPh>
    <phoneticPr fontId="3"/>
  </si>
  <si>
    <t>12-1-1</t>
  </si>
  <si>
    <t>教育委員の報酬及び旅費</t>
  </si>
  <si>
    <t>総務課</t>
  </si>
  <si>
    <t>委員費計</t>
  </si>
  <si>
    <t>12-1-2</t>
  </si>
  <si>
    <t>教職員の退職手当</t>
  </si>
  <si>
    <t>教職員給与・
厚生担当</t>
  </si>
  <si>
    <t>職員費計</t>
  </si>
  <si>
    <t>12-1-3</t>
  </si>
  <si>
    <t>庶務事務費</t>
  </si>
  <si>
    <t>出</t>
  </si>
  <si>
    <t>税</t>
  </si>
  <si>
    <t>就学対策費</t>
  </si>
  <si>
    <t>学事課　他</t>
  </si>
  <si>
    <t>区ＣＭ</t>
  </si>
  <si>
    <t>区CM出</t>
  </si>
  <si>
    <t>区CM税</t>
  </si>
  <si>
    <t>大阪市奨学費</t>
  </si>
  <si>
    <t>学校運営支援
センター
（事務管理担当）</t>
  </si>
  <si>
    <t>教職員人事事務費</t>
  </si>
  <si>
    <t>教職員人事担当</t>
  </si>
  <si>
    <t>大阪市立学校における校長公募の実施・民間人校長フォロー体制の強化</t>
  </si>
  <si>
    <t>学校現場の負担軽減と校長のマネジメントの確立</t>
  </si>
  <si>
    <t>教職員給与事務費</t>
  </si>
  <si>
    <t>教職員児童手当</t>
  </si>
  <si>
    <t>学校運営支援
センター
（給与・システム担当）</t>
  </si>
  <si>
    <t>教職員被服貸与</t>
  </si>
  <si>
    <t>教職員相談事業等</t>
  </si>
  <si>
    <t>学校選択制関係事務費</t>
  </si>
  <si>
    <t>学事課</t>
  </si>
  <si>
    <t>キッズプラザ大阪建物賃借料等</t>
  </si>
  <si>
    <t>生涯学習担当</t>
  </si>
  <si>
    <t>学校給食費の管理（食材費等）</t>
  </si>
  <si>
    <t>学校運営支援
センター
（学務担当）　他</t>
  </si>
  <si>
    <t>教育活動支援担当</t>
  </si>
  <si>
    <t>教育政策課</t>
  </si>
  <si>
    <t>事務費計</t>
  </si>
  <si>
    <t>12-1-4</t>
  </si>
  <si>
    <t>学校元気アップ地域本部事業</t>
  </si>
  <si>
    <t>特別支援教育費</t>
  </si>
  <si>
    <t>国際理解教育振興費</t>
  </si>
  <si>
    <t>運動・文化部活動等振興費</t>
  </si>
  <si>
    <t>中学校給食事業</t>
  </si>
  <si>
    <t>学校活性化推進事業</t>
  </si>
  <si>
    <t>指導振興費</t>
  </si>
  <si>
    <t>特別支援教育の充実</t>
  </si>
  <si>
    <t>施設一体型小中一貫校等の整備（小中一貫校の特色化等について）</t>
  </si>
  <si>
    <t>教育活動支援担当
教職員人事担当</t>
  </si>
  <si>
    <t>生活指導サポートセンターの運営</t>
  </si>
  <si>
    <t>部活動指導員活用事業</t>
  </si>
  <si>
    <t>保健体育担当</t>
  </si>
  <si>
    <t>小学校学力経年調査に基づく学習支援事業</t>
  </si>
  <si>
    <t>ＳＮＳの活用による児童生徒相談体制の本格実施</t>
  </si>
  <si>
    <t>生野区西部地域の学校再編の推進</t>
  </si>
  <si>
    <t>教育系の専門学科を有する新高校の設置</t>
  </si>
  <si>
    <t>大阪市版スクールロイヤー事業</t>
  </si>
  <si>
    <t>ブロック化による学校支援事業</t>
  </si>
  <si>
    <t>スマートスクール次世代学校支援事業</t>
  </si>
  <si>
    <t>教職員資質向上方策の推進</t>
  </si>
  <si>
    <t>校務支援・学校教育へのＩＣＴ活用事業</t>
  </si>
  <si>
    <t>学校力ＵＰベース事業（習熟度別少人数授業）</t>
  </si>
  <si>
    <t>学力向上支援サポーター配置事業（「新しい生活様式」を踏まえた学校における感染症対策）</t>
  </si>
  <si>
    <t>指導研修費計</t>
  </si>
  <si>
    <t>12-1-5</t>
  </si>
  <si>
    <t>研修事業</t>
  </si>
  <si>
    <t>教育センター</t>
  </si>
  <si>
    <t>研究事業</t>
  </si>
  <si>
    <t>情報教育研究事業</t>
  </si>
  <si>
    <t>情報教育推進事業</t>
  </si>
  <si>
    <t>大阪市教師養成講座</t>
  </si>
  <si>
    <t>道徳教育推進事業</t>
  </si>
  <si>
    <t>教育センターの機能充実</t>
  </si>
  <si>
    <t>一般維持管理費</t>
  </si>
  <si>
    <t>教育センター費計</t>
  </si>
  <si>
    <t>12-1-6</t>
  </si>
  <si>
    <t>デザイン教育研究所費計</t>
  </si>
  <si>
    <t>12-2-1</t>
  </si>
  <si>
    <t>学校医等の報酬</t>
  </si>
  <si>
    <t>教職員の人件費</t>
  </si>
  <si>
    <t>小学校教職員費計</t>
  </si>
  <si>
    <t>12-2-2</t>
  </si>
  <si>
    <t>非常勤講師等の報酬</t>
  </si>
  <si>
    <t>研修指導教員配置</t>
  </si>
  <si>
    <t>事故職員の補充等</t>
  </si>
  <si>
    <t>教職員人事担当　他</t>
  </si>
  <si>
    <t>学校機械警備業務委託事業</t>
  </si>
  <si>
    <t>施設整備課</t>
  </si>
  <si>
    <t>教職員の旅費</t>
  </si>
  <si>
    <t>児童生徒就学費補助金等</t>
  </si>
  <si>
    <t>学校運営支援
センター
（事務管理担当）　他</t>
  </si>
  <si>
    <t>日本スポーツ振興センター負担金</t>
  </si>
  <si>
    <t>通学タクシー等運行業務</t>
  </si>
  <si>
    <t>校地借地料</t>
  </si>
  <si>
    <t>学校給食食材調達費</t>
  </si>
  <si>
    <t>学校給食調理業務民間委託事業</t>
  </si>
  <si>
    <t>電子教材活用環境整備事業</t>
  </si>
  <si>
    <t>一般維持運営費</t>
  </si>
  <si>
    <t>学校運営支援
センター
（学務担当）</t>
  </si>
  <si>
    <t>ＡＥＤの整備</t>
  </si>
  <si>
    <t>小・中学校校舎の壁面緑化</t>
  </si>
  <si>
    <t>スクールサポートスタッフ配置事業</t>
  </si>
  <si>
    <t>スクールサポートスタッフ配置事業（「新しい生活様式」を踏まえた学校における感染症対策）</t>
  </si>
  <si>
    <t>学校指定寄附金を活用した教育環境充実事業</t>
  </si>
  <si>
    <t>小学校費計</t>
  </si>
  <si>
    <t>12-3-1</t>
  </si>
  <si>
    <t>中学校教職員費計</t>
  </si>
  <si>
    <t>12-3-2</t>
  </si>
  <si>
    <t>キャリア教育推進事業</t>
  </si>
  <si>
    <t>「大阪市版チャレンジテストｐｌｕｓ」実施事業</t>
  </si>
  <si>
    <t>中学校費計</t>
  </si>
  <si>
    <t>社会教育の企画推進</t>
  </si>
  <si>
    <t>生涯学習の推進</t>
  </si>
  <si>
    <t>ＰＴＡ育成</t>
  </si>
  <si>
    <t>人権啓発普及事業等</t>
  </si>
  <si>
    <t>子どもたちへの吹奏楽普及推進事業</t>
  </si>
  <si>
    <t>総合生涯学習センター・市民学習センター管理運営費等</t>
  </si>
  <si>
    <t>大阪国際平和センター運営補助</t>
  </si>
  <si>
    <t>成人教育費計</t>
  </si>
  <si>
    <t>文化遺産の保存と顕彰</t>
  </si>
  <si>
    <t>文化財保護課</t>
  </si>
  <si>
    <t>埋蔵文化財の保存と活用等</t>
  </si>
  <si>
    <t>文化財保護費計</t>
  </si>
  <si>
    <t>図書館運営費（中央図書館）</t>
  </si>
  <si>
    <t>中央図書館
総務担当</t>
  </si>
  <si>
    <t>図書館運営費（地域図書館）</t>
  </si>
  <si>
    <t>図書及資料費</t>
  </si>
  <si>
    <t>図書館情報ネットワークシステム事業</t>
  </si>
  <si>
    <t>学校図書館活用推進事業</t>
  </si>
  <si>
    <t>大阪市史編纂事業等</t>
  </si>
  <si>
    <t>図書館費計</t>
  </si>
  <si>
    <t>就学時健康診断費</t>
  </si>
  <si>
    <t>児童生徒保健対策費</t>
  </si>
  <si>
    <t>教職員保健対策費</t>
  </si>
  <si>
    <t>学校保健推進事業等</t>
  </si>
  <si>
    <t>マイナンバー制度導入に伴う学校医療券の情報提供用中間サーバ接続端末設置費</t>
  </si>
  <si>
    <t>標準献立作成費等</t>
  </si>
  <si>
    <t>給食衛生管理費</t>
  </si>
  <si>
    <t>総合体育大会</t>
  </si>
  <si>
    <t>体育部活動育成等</t>
  </si>
  <si>
    <t>保健体育費計</t>
  </si>
  <si>
    <t>施設一体型小中一貫校等の整備（施設整備）</t>
  </si>
  <si>
    <t>児童・生徒数の増加に伴う新増築事業</t>
  </si>
  <si>
    <t>特別教室等整備事業</t>
  </si>
  <si>
    <t>講堂兼体育館整備事業</t>
  </si>
  <si>
    <t>老朽鉄筋校舎改築事業</t>
  </si>
  <si>
    <t>児童生徒の急増に伴う教育環境改善</t>
  </si>
  <si>
    <t>公設民営学校（国際バカロレア等）の設置</t>
  </si>
  <si>
    <t>校舎補修等整備事業</t>
  </si>
  <si>
    <t>特別支援学級教室改造</t>
  </si>
  <si>
    <t>特別支援教育設備等</t>
  </si>
  <si>
    <t>理科教育設備等整備事業</t>
  </si>
  <si>
    <t>学校設備整備事業等</t>
  </si>
  <si>
    <t>教育ＩＣＴネットワークシステム統合・利活用推進事業</t>
  </si>
  <si>
    <t>もと青少年会館の財産管理及び財産処分業務</t>
  </si>
  <si>
    <t>大阪国際平和センター設備改修等補助</t>
  </si>
  <si>
    <t>（仮称）区画整理記念・交流会館整備事業</t>
  </si>
  <si>
    <t>中央図書館
総務担当　他</t>
  </si>
  <si>
    <t>教職員情報システム統合認証システム運用</t>
  </si>
  <si>
    <t>クラフトパーク設備改修</t>
  </si>
  <si>
    <t>学校施設等におけるブロック塀の安全対策事業</t>
  </si>
  <si>
    <t>国産木材を活用した小中学校等における机・椅子整備事業</t>
  </si>
  <si>
    <t>ＰＣＢ（ポリ塩化ビフェニル）廃棄物処理事業</t>
  </si>
  <si>
    <t>「新・大阪市総合教育センター（仮称）」建設事業</t>
  </si>
  <si>
    <t>用地買収事業</t>
  </si>
  <si>
    <t>教育施設整備費計</t>
  </si>
  <si>
    <t>保健体育担当</t>
    <rPh sb="0" eb="2">
      <t>ホケン</t>
    </rPh>
    <rPh sb="2" eb="4">
      <t>タイイク</t>
    </rPh>
    <rPh sb="4" eb="6">
      <t>タントウ</t>
    </rPh>
    <phoneticPr fontId="4"/>
  </si>
  <si>
    <t>生活指導支援員の配置等事業</t>
    <phoneticPr fontId="4"/>
  </si>
  <si>
    <t>外国につながる児童生徒の受入れ・共生のための教育推進事業</t>
    <phoneticPr fontId="4"/>
  </si>
  <si>
    <t>教職員給与・
厚生担当</t>
    <phoneticPr fontId="4"/>
  </si>
  <si>
    <t>保健体育担当
教職員給与・
厚生担当</t>
    <rPh sb="0" eb="2">
      <t>ホケン</t>
    </rPh>
    <rPh sb="2" eb="4">
      <t>タイイク</t>
    </rPh>
    <rPh sb="4" eb="6">
      <t>タントウ</t>
    </rPh>
    <phoneticPr fontId="4"/>
  </si>
  <si>
    <t>保健体育担当
教職員給与・
厚生担当</t>
    <rPh sb="0" eb="2">
      <t>ホケン</t>
    </rPh>
    <rPh sb="2" eb="4">
      <t>タイイク</t>
    </rPh>
    <rPh sb="4" eb="6">
      <t>タントウ</t>
    </rPh>
    <rPh sb="7" eb="10">
      <t>キョウショクイン</t>
    </rPh>
    <rPh sb="10" eb="12">
      <t>キュウヨ</t>
    </rPh>
    <rPh sb="14" eb="16">
      <t>コウセイ</t>
    </rPh>
    <rPh sb="16" eb="18">
      <t>タントウ</t>
    </rPh>
    <phoneticPr fontId="4"/>
  </si>
  <si>
    <t>学校教育ＩＣＴ活用事業（新型コロナウイルス感染症対策）</t>
    <rPh sb="21" eb="24">
      <t>カンセンショウ</t>
    </rPh>
    <rPh sb="24" eb="26">
      <t>タイサク</t>
    </rPh>
    <phoneticPr fontId="4"/>
  </si>
  <si>
    <t>学校教育ＩＣＴ活用事業（新型コロナウイルス感染症対策）</t>
    <rPh sb="21" eb="24">
      <t>カンセンショウ</t>
    </rPh>
    <phoneticPr fontId="4"/>
  </si>
  <si>
    <t>新型コロナウイルス感染症対策のための衛生環境整備支援事業</t>
    <rPh sb="0" eb="2">
      <t>シンガタ</t>
    </rPh>
    <phoneticPr fontId="4"/>
  </si>
  <si>
    <t>不登校特例校の設置</t>
    <phoneticPr fontId="4"/>
  </si>
  <si>
    <t>共同学校事務室運営費</t>
    <rPh sb="0" eb="2">
      <t>キョウドウ</t>
    </rPh>
    <rPh sb="2" eb="4">
      <t>ガッコウ</t>
    </rPh>
    <rPh sb="4" eb="7">
      <t>ジムシツ</t>
    </rPh>
    <rPh sb="7" eb="10">
      <t>ウンエイヒ</t>
    </rPh>
    <phoneticPr fontId="4"/>
  </si>
  <si>
    <t>子どもの体力向上支援事業</t>
    <rPh sb="0" eb="1">
      <t>コ</t>
    </rPh>
    <rPh sb="4" eb="6">
      <t>タイリョク</t>
    </rPh>
    <rPh sb="6" eb="8">
      <t>コウジョウ</t>
    </rPh>
    <rPh sb="8" eb="12">
      <t>シエンジギョウ</t>
    </rPh>
    <phoneticPr fontId="4"/>
  </si>
  <si>
    <t>保健体育担当</t>
    <rPh sb="0" eb="6">
      <t>ホケンタイイクタントウ</t>
    </rPh>
    <phoneticPr fontId="4"/>
  </si>
  <si>
    <t>プールの民間委託事業</t>
    <rPh sb="4" eb="6">
      <t>ミンカン</t>
    </rPh>
    <rPh sb="6" eb="10">
      <t>イタクジギョウ</t>
    </rPh>
    <phoneticPr fontId="4"/>
  </si>
  <si>
    <t>システム標準化移行関係経費</t>
    <rPh sb="4" eb="7">
      <t>ヒョウジュンカ</t>
    </rPh>
    <rPh sb="7" eb="9">
      <t>イコウ</t>
    </rPh>
    <rPh sb="9" eb="11">
      <t>カンケイ</t>
    </rPh>
    <rPh sb="11" eb="13">
      <t>ケイヒ</t>
    </rPh>
    <phoneticPr fontId="4"/>
  </si>
  <si>
    <t>教職員の旅費（府立学校派遣）</t>
    <rPh sb="0" eb="3">
      <t>キョウショクイン</t>
    </rPh>
    <rPh sb="4" eb="6">
      <t>リョヒ</t>
    </rPh>
    <rPh sb="7" eb="11">
      <t>フリツガッコウ</t>
    </rPh>
    <rPh sb="11" eb="13">
      <t>ハケン</t>
    </rPh>
    <phoneticPr fontId="4"/>
  </si>
  <si>
    <t>施設整備課</t>
    <phoneticPr fontId="4"/>
  </si>
  <si>
    <t>学力向上支援チーム事業</t>
    <rPh sb="0" eb="4">
      <t>ガクリョクコウジョウ</t>
    </rPh>
    <rPh sb="4" eb="6">
      <t>シエン</t>
    </rPh>
    <rPh sb="9" eb="11">
      <t>ジギョウ</t>
    </rPh>
    <phoneticPr fontId="4"/>
  </si>
  <si>
    <t>12-4-1</t>
    <phoneticPr fontId="4"/>
  </si>
  <si>
    <t>12-4-2</t>
    <phoneticPr fontId="4"/>
  </si>
  <si>
    <t>12-4-3</t>
    <phoneticPr fontId="4"/>
  </si>
  <si>
    <t>12-5-1</t>
    <phoneticPr fontId="4"/>
  </si>
  <si>
    <t>12-6-1</t>
    <phoneticPr fontId="4"/>
  </si>
  <si>
    <t>ひとにやさしいまちづくり整備事業</t>
    <phoneticPr fontId="4"/>
  </si>
  <si>
    <t>総務課
教職員給与・
厚生担当</t>
    <rPh sb="4" eb="7">
      <t>キョウショクイン</t>
    </rPh>
    <rPh sb="7" eb="9">
      <t>キュウヨ</t>
    </rPh>
    <rPh sb="11" eb="13">
      <t>コウセイ</t>
    </rPh>
    <rPh sb="13" eb="15">
      <t>タントウ</t>
    </rPh>
    <phoneticPr fontId="4"/>
  </si>
  <si>
    <t>教育委員会事務局職員の人件費</t>
    <phoneticPr fontId="4"/>
  </si>
  <si>
    <t>教育政策課　他</t>
    <rPh sb="6" eb="7">
      <t>ホカ</t>
    </rPh>
    <phoneticPr fontId="4"/>
  </si>
  <si>
    <t>教育活動支援担当
教職員人事担当</t>
    <phoneticPr fontId="4"/>
  </si>
  <si>
    <t>5 年 度</t>
    <rPh sb="2" eb="3">
      <t>ネン</t>
    </rPh>
    <rPh sb="4" eb="5">
      <t>ド</t>
    </rPh>
    <phoneticPr fontId="4"/>
  </si>
  <si>
    <t>いじめ・不登校・児童虐待等防止対策</t>
    <phoneticPr fontId="4"/>
  </si>
  <si>
    <t>教育支援センターの運営</t>
    <rPh sb="0" eb="4">
      <t>キョウイクシエン</t>
    </rPh>
    <rPh sb="9" eb="11">
      <t>ウンエイ</t>
    </rPh>
    <phoneticPr fontId="4"/>
  </si>
  <si>
    <t>ヤングケアラー支援推進事業（スクールソーシャルワーカー）</t>
    <rPh sb="7" eb="9">
      <t>シエン</t>
    </rPh>
    <rPh sb="9" eb="11">
      <t>スイシン</t>
    </rPh>
    <rPh sb="11" eb="13">
      <t>ジギョウ</t>
    </rPh>
    <phoneticPr fontId="4"/>
  </si>
  <si>
    <t>課題解決支援員（スクールソーシャルワーカー）の配置</t>
    <rPh sb="0" eb="2">
      <t>カダイ</t>
    </rPh>
    <rPh sb="2" eb="7">
      <t>カイケツシエンイン</t>
    </rPh>
    <rPh sb="23" eb="25">
      <t>ハイチ</t>
    </rPh>
    <phoneticPr fontId="4"/>
  </si>
  <si>
    <t>大阪・関西万博にかかる学校園への啓発及び参加事業</t>
    <rPh sb="0" eb="2">
      <t>オオサカ</t>
    </rPh>
    <rPh sb="3" eb="5">
      <t>カンサイ</t>
    </rPh>
    <rPh sb="5" eb="7">
      <t>バンパク</t>
    </rPh>
    <rPh sb="11" eb="13">
      <t>ガッコウ</t>
    </rPh>
    <rPh sb="13" eb="14">
      <t>エン</t>
    </rPh>
    <rPh sb="16" eb="18">
      <t>ケイハツ</t>
    </rPh>
    <rPh sb="18" eb="19">
      <t>オヨ</t>
    </rPh>
    <rPh sb="20" eb="22">
      <t>サンカ</t>
    </rPh>
    <rPh sb="22" eb="24">
      <t>ジギョウ</t>
    </rPh>
    <phoneticPr fontId="4"/>
  </si>
  <si>
    <t>部活動の地域移行事業</t>
    <rPh sb="4" eb="6">
      <t>チイキ</t>
    </rPh>
    <rPh sb="6" eb="8">
      <t>イコウ</t>
    </rPh>
    <rPh sb="8" eb="10">
      <t>ジギョウ</t>
    </rPh>
    <phoneticPr fontId="4"/>
  </si>
  <si>
    <t>保健体育担当</t>
    <rPh sb="0" eb="2">
      <t>ホケン</t>
    </rPh>
    <rPh sb="2" eb="4">
      <t>タイイク</t>
    </rPh>
    <rPh sb="4" eb="6">
      <t>タントウ</t>
    </rPh>
    <phoneticPr fontId="4"/>
  </si>
  <si>
    <t>採点支援システムの導入</t>
    <rPh sb="0" eb="2">
      <t>サイテン</t>
    </rPh>
    <rPh sb="2" eb="4">
      <t>シエン</t>
    </rPh>
    <rPh sb="9" eb="11">
      <t>ドウニュウ</t>
    </rPh>
    <phoneticPr fontId="4"/>
  </si>
  <si>
    <t>教育政策課</t>
    <rPh sb="0" eb="2">
      <t>キョウイク</t>
    </rPh>
    <rPh sb="2" eb="4">
      <t>セイサク</t>
    </rPh>
    <rPh sb="4" eb="5">
      <t>カ</t>
    </rPh>
    <phoneticPr fontId="4"/>
  </si>
  <si>
    <t>ワークライフバランス支援員の配置</t>
    <rPh sb="10" eb="13">
      <t>シエンイン</t>
    </rPh>
    <rPh sb="14" eb="16">
      <t>ハイチ</t>
    </rPh>
    <phoneticPr fontId="4"/>
  </si>
  <si>
    <t>教職員人事担当</t>
    <rPh sb="0" eb="3">
      <t>キョウショクイン</t>
    </rPh>
    <rPh sb="3" eb="5">
      <t>ジンジ</t>
    </rPh>
    <rPh sb="5" eb="7">
      <t>タントウ</t>
    </rPh>
    <phoneticPr fontId="4"/>
  </si>
  <si>
    <t>中央図書館
総務担当</t>
    <rPh sb="0" eb="2">
      <t>チュウオウ</t>
    </rPh>
    <rPh sb="2" eb="5">
      <t>トショカン</t>
    </rPh>
    <rPh sb="6" eb="8">
      <t>ソウム</t>
    </rPh>
    <rPh sb="8" eb="10">
      <t>タントウ</t>
    </rPh>
    <phoneticPr fontId="4"/>
  </si>
  <si>
    <t>図書館情報ネットワークシステム更新</t>
    <rPh sb="15" eb="17">
      <t>コウシン</t>
    </rPh>
    <phoneticPr fontId="4"/>
  </si>
  <si>
    <t>教育活動支援担当　他</t>
    <phoneticPr fontId="4"/>
  </si>
  <si>
    <t>欠席連絡等アプリの導入</t>
    <rPh sb="0" eb="4">
      <t>ケッセキレンラク</t>
    </rPh>
    <rPh sb="4" eb="5">
      <t>トウ</t>
    </rPh>
    <rPh sb="9" eb="11">
      <t>ドウニュウ</t>
    </rPh>
    <phoneticPr fontId="4"/>
  </si>
  <si>
    <t>学校給食費の管理（給食費の無償化）</t>
    <rPh sb="9" eb="12">
      <t>キュウショクヒ</t>
    </rPh>
    <rPh sb="13" eb="16">
      <t>ムショウカ</t>
    </rPh>
    <phoneticPr fontId="4"/>
  </si>
  <si>
    <t>総務課
教育政策課</t>
    <rPh sb="4" eb="6">
      <t>キョウイク</t>
    </rPh>
    <rPh sb="6" eb="8">
      <t>セイサク</t>
    </rPh>
    <rPh sb="8" eb="9">
      <t>カ</t>
    </rPh>
    <phoneticPr fontId="4"/>
  </si>
  <si>
    <t>総務課
教育政策課</t>
    <rPh sb="4" eb="9">
      <t>キョウイクセイサクカ</t>
    </rPh>
    <phoneticPr fontId="4"/>
  </si>
  <si>
    <t>学校運営支援
センター
（事務管理担当）
（給与・システム担当）</t>
    <rPh sb="22" eb="24">
      <t>キュウヨ</t>
    </rPh>
    <rPh sb="29" eb="31">
      <t>タントウ</t>
    </rPh>
    <phoneticPr fontId="4"/>
  </si>
  <si>
    <t>学校運営支援
センター
（学務担当）</t>
    <phoneticPr fontId="4"/>
  </si>
  <si>
    <t>学校運営支援センター運営費等</t>
    <rPh sb="13" eb="14">
      <t>トウ</t>
    </rPh>
    <phoneticPr fontId="4"/>
  </si>
  <si>
    <t>保健体育担当
教育活動支援担当</t>
    <rPh sb="7" eb="9">
      <t>キョウイク</t>
    </rPh>
    <rPh sb="9" eb="11">
      <t>カツドウ</t>
    </rPh>
    <rPh sb="11" eb="13">
      <t>シエン</t>
    </rPh>
    <rPh sb="13" eb="15">
      <t>タントウ</t>
    </rPh>
    <phoneticPr fontId="4"/>
  </si>
  <si>
    <t>教育活動支援担当
総務課</t>
    <rPh sb="9" eb="12">
      <t>ソウムカ</t>
    </rPh>
    <phoneticPr fontId="4"/>
  </si>
  <si>
    <t>保健体育担当
教職員給与・
厚生担当</t>
    <rPh sb="7" eb="10">
      <t>キョウショクイン</t>
    </rPh>
    <rPh sb="10" eb="12">
      <t>キュウヨ</t>
    </rPh>
    <rPh sb="14" eb="16">
      <t>コウセイ</t>
    </rPh>
    <rPh sb="16" eb="18">
      <t>タントウ</t>
    </rPh>
    <phoneticPr fontId="4"/>
  </si>
  <si>
    <t>教育活動支援担当
初等・中学校
教育担当</t>
    <rPh sb="9" eb="11">
      <t>ショトウ</t>
    </rPh>
    <rPh sb="12" eb="15">
      <t>チュウガッコウ</t>
    </rPh>
    <rPh sb="16" eb="18">
      <t>キョウイク</t>
    </rPh>
    <rPh sb="18" eb="20">
      <t>タントウ</t>
    </rPh>
    <phoneticPr fontId="4"/>
  </si>
  <si>
    <t>初等・中学校
教育担当
教育センター</t>
    <rPh sb="0" eb="2">
      <t>ショトウ</t>
    </rPh>
    <rPh sb="3" eb="6">
      <t>チュウガッコウ</t>
    </rPh>
    <rPh sb="7" eb="9">
      <t>キョウイク</t>
    </rPh>
    <rPh sb="9" eb="11">
      <t>タントウ</t>
    </rPh>
    <phoneticPr fontId="4"/>
  </si>
  <si>
    <t>教職員給与・
厚生担当
学校運営支援
センター
（給与・システム担当）</t>
    <rPh sb="12" eb="18">
      <t>ガッコウウンエイシエン</t>
    </rPh>
    <rPh sb="25" eb="27">
      <t>キュウヨ</t>
    </rPh>
    <rPh sb="32" eb="34">
      <t>タントウ</t>
    </rPh>
    <phoneticPr fontId="4"/>
  </si>
  <si>
    <t>12-1-7</t>
    <phoneticPr fontId="4"/>
  </si>
  <si>
    <t>12-1-8</t>
    <phoneticPr fontId="4"/>
  </si>
  <si>
    <t>教育振興基金積立金</t>
    <phoneticPr fontId="4"/>
  </si>
  <si>
    <t>教育振興基金積立金計</t>
    <phoneticPr fontId="4"/>
  </si>
  <si>
    <t>田村教育振興基金積立金</t>
    <phoneticPr fontId="4"/>
  </si>
  <si>
    <t>田村教育振興基金積立金計</t>
    <phoneticPr fontId="4"/>
  </si>
  <si>
    <t>総務課</t>
    <rPh sb="0" eb="3">
      <t>ソウムカ</t>
    </rPh>
    <phoneticPr fontId="4"/>
  </si>
  <si>
    <t>コンピュータ機器借上等</t>
    <phoneticPr fontId="4"/>
  </si>
  <si>
    <t>校園ネットワーク業務システム等運用費</t>
    <phoneticPr fontId="4"/>
  </si>
  <si>
    <t>初等・中学校
教育担当</t>
    <phoneticPr fontId="4"/>
  </si>
  <si>
    <t>予 算 案 ②</t>
  </si>
  <si>
    <t>4 年 度</t>
    <phoneticPr fontId="3"/>
  </si>
  <si>
    <t>教育活動支援担当
学校運営支援
センター
（給与・システム担当）</t>
    <rPh sb="9" eb="11">
      <t>ガッコウ</t>
    </rPh>
    <rPh sb="11" eb="13">
      <t>ウンエイ</t>
    </rPh>
    <rPh sb="13" eb="15">
      <t>シエン</t>
    </rPh>
    <rPh sb="22" eb="24">
      <t>キュウヨ</t>
    </rPh>
    <rPh sb="29" eb="31">
      <t>タントウ</t>
    </rPh>
    <phoneticPr fontId="4"/>
  </si>
  <si>
    <t>次世代の学校を担う人材の確保・育成</t>
    <phoneticPr fontId="4"/>
  </si>
  <si>
    <t>大阪市こどもサポートネット（スクールソーシャルワーカーの配置）</t>
    <phoneticPr fontId="4"/>
  </si>
  <si>
    <t>校務支援・学校教育へのＩＣＴ活用事業</t>
    <phoneticPr fontId="4"/>
  </si>
  <si>
    <t>校務支援・学校教育へのＩＣＴ活用事業</t>
    <phoneticPr fontId="4"/>
  </si>
  <si>
    <t>事業所整備事業等（学校教育）</t>
    <phoneticPr fontId="4"/>
  </si>
  <si>
    <t>事業所整備事業等（社会教育）</t>
    <phoneticPr fontId="4"/>
  </si>
  <si>
    <t>学校運営支援
センター
（給与・システム担当）</t>
    <phoneticPr fontId="4"/>
  </si>
  <si>
    <t>学事課
学校運営支援
センター
（給与・システム担当）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</si>
</sst>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5">
    <xf numFmtId="0" fontId="0" fillId="0" borderId="0" xfId="0"/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 wrapText="1"/>
    </xf>
    <xf numFmtId="0" fontId="6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177" fontId="6" fillId="0" borderId="11" xfId="3" applyNumberFormat="1" applyFont="1" applyBorder="1" applyAlignment="1">
      <alignment vertical="center" shrinkToFit="1"/>
    </xf>
    <xf numFmtId="179" fontId="6" fillId="0" borderId="11" xfId="3" applyNumberFormat="1" applyFont="1" applyBorder="1" applyAlignment="1">
      <alignment vertical="center" shrinkToFit="1"/>
    </xf>
    <xf numFmtId="178" fontId="6" fillId="0" borderId="10" xfId="3" applyNumberFormat="1" applyFont="1" applyBorder="1" applyAlignment="1">
      <alignment vertical="center" shrinkToFit="1"/>
    </xf>
    <xf numFmtId="177" fontId="6" fillId="0" borderId="12" xfId="3" applyNumberFormat="1" applyFont="1" applyBorder="1" applyAlignment="1">
      <alignment vertical="center" shrinkToFit="1"/>
    </xf>
    <xf numFmtId="179" fontId="6" fillId="0" borderId="10" xfId="3" applyNumberFormat="1" applyFont="1" applyBorder="1" applyAlignment="1">
      <alignment vertical="center" shrinkToFit="1"/>
    </xf>
    <xf numFmtId="178" fontId="6" fillId="0" borderId="14" xfId="3" applyNumberFormat="1" applyFont="1" applyBorder="1" applyAlignment="1">
      <alignment vertical="center" shrinkToFit="1"/>
    </xf>
    <xf numFmtId="179" fontId="6" fillId="0" borderId="15" xfId="3" applyNumberFormat="1" applyFont="1" applyBorder="1" applyAlignment="1">
      <alignment vertical="center" shrinkToFit="1"/>
    </xf>
    <xf numFmtId="178" fontId="6" fillId="0" borderId="15" xfId="3" applyNumberFormat="1" applyFont="1" applyBorder="1" applyAlignment="1">
      <alignment vertical="center" shrinkToFit="1"/>
    </xf>
    <xf numFmtId="178" fontId="6" fillId="0" borderId="16" xfId="3" applyNumberFormat="1" applyFont="1" applyBorder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9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shrinkToFit="1"/>
    </xf>
    <xf numFmtId="0" fontId="7" fillId="0" borderId="3" xfId="3" applyFont="1" applyBorder="1" applyAlignment="1">
      <alignment horizontal="center" vertical="center"/>
    </xf>
    <xf numFmtId="177" fontId="6" fillId="0" borderId="28" xfId="3" applyNumberFormat="1" applyFont="1" applyBorder="1" applyAlignment="1">
      <alignment vertical="center" shrinkToFit="1"/>
    </xf>
    <xf numFmtId="177" fontId="6" fillId="0" borderId="12" xfId="3" applyNumberFormat="1" applyFont="1" applyBorder="1" applyAlignment="1">
      <alignment horizontal="right" vertical="center" shrinkToFit="1"/>
    </xf>
    <xf numFmtId="0" fontId="6" fillId="0" borderId="13" xfId="0" applyFont="1" applyBorder="1"/>
    <xf numFmtId="0" fontId="6" fillId="0" borderId="14" xfId="0" applyFont="1" applyBorder="1"/>
    <xf numFmtId="38" fontId="6" fillId="0" borderId="13" xfId="1" applyFont="1" applyFill="1" applyBorder="1" applyAlignment="1"/>
    <xf numFmtId="0" fontId="11" fillId="0" borderId="0" xfId="0" applyFont="1" applyAlignment="1">
      <alignment horizontal="right" vertical="center"/>
    </xf>
    <xf numFmtId="177" fontId="6" fillId="0" borderId="13" xfId="3" applyNumberFormat="1" applyFont="1" applyBorder="1" applyAlignment="1">
      <alignment vertical="center" shrinkToFit="1"/>
    </xf>
    <xf numFmtId="0" fontId="7" fillId="0" borderId="2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176" fontId="7" fillId="0" borderId="12" xfId="3" applyNumberFormat="1" applyFont="1" applyBorder="1" applyAlignment="1">
      <alignment horizontal="center" vertical="center"/>
    </xf>
    <xf numFmtId="176" fontId="7" fillId="0" borderId="10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177" fontId="7" fillId="0" borderId="26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12" fillId="0" borderId="29" xfId="8" applyBorder="1" applyAlignment="1">
      <alignment horizontal="left" vertical="center" wrapText="1"/>
    </xf>
    <xf numFmtId="177" fontId="7" fillId="0" borderId="12" xfId="3" applyNumberFormat="1" applyFont="1" applyBorder="1" applyAlignment="1">
      <alignment horizontal="center" vertical="center" wrapText="1"/>
    </xf>
    <xf numFmtId="177" fontId="7" fillId="0" borderId="10" xfId="3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12" fillId="0" borderId="29" xfId="8" applyBorder="1" applyAlignment="1">
      <alignment horizontal="left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21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2" xfId="3" applyNumberFormat="1" applyFont="1" applyBorder="1" applyAlignment="1">
      <alignment horizontal="center" vertical="center"/>
    </xf>
    <xf numFmtId="176" fontId="7" fillId="0" borderId="23" xfId="3" applyNumberFormat="1" applyFont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7" fillId="0" borderId="5" xfId="3" applyNumberFormat="1" applyFont="1" applyBorder="1" applyAlignment="1">
      <alignment horizontal="center" vertical="center"/>
    </xf>
    <xf numFmtId="49" fontId="7" fillId="0" borderId="12" xfId="3" applyNumberFormat="1" applyFont="1" applyBorder="1" applyAlignment="1">
      <alignment horizontal="center" vertical="center"/>
    </xf>
    <xf numFmtId="49" fontId="7" fillId="0" borderId="10" xfId="3" applyNumberFormat="1" applyFont="1" applyBorder="1" applyAlignment="1">
      <alignment horizontal="center" vertical="center"/>
    </xf>
    <xf numFmtId="0" fontId="12" fillId="0" borderId="12" xfId="8" applyBorder="1" applyAlignment="1">
      <alignment horizontal="left" vertical="center" wrapText="1"/>
    </xf>
    <xf numFmtId="0" fontId="12" fillId="0" borderId="10" xfId="8" applyBorder="1" applyAlignment="1">
      <alignment horizontal="left" vertical="center" wrapText="1"/>
    </xf>
    <xf numFmtId="0" fontId="12" fillId="0" borderId="21" xfId="8" applyBorder="1" applyAlignment="1">
      <alignment vertical="center" wrapText="1"/>
    </xf>
    <xf numFmtId="0" fontId="12" fillId="0" borderId="23" xfId="8" applyBorder="1" applyAlignment="1">
      <alignment vertical="center" wrapText="1"/>
    </xf>
    <xf numFmtId="0" fontId="12" fillId="0" borderId="0" xfId="8" applyAlignment="1">
      <alignment horizontal="left" vertical="center"/>
    </xf>
    <xf numFmtId="0" fontId="12" fillId="0" borderId="29" xfId="8" applyBorder="1" applyAlignment="1">
      <alignment vertical="center" wrapText="1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12" fillId="0" borderId="0" xfId="8" applyAlignment="1">
      <alignment vertical="center"/>
    </xf>
    <xf numFmtId="0" fontId="12" fillId="0" borderId="12" xfId="8" applyBorder="1" applyAlignment="1">
      <alignment vertical="center" wrapText="1"/>
    </xf>
    <xf numFmtId="0" fontId="12" fillId="0" borderId="10" xfId="8" applyBorder="1" applyAlignment="1">
      <alignment vertical="center" wrapText="1"/>
    </xf>
    <xf numFmtId="0" fontId="10" fillId="0" borderId="19" xfId="3" applyFont="1" applyBorder="1" applyAlignment="1">
      <alignment horizontal="right" vertical="center" wrapText="1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12" fillId="0" borderId="12" xfId="8" applyNumberFormat="1" applyFill="1" applyBorder="1" applyAlignment="1">
      <alignment horizontal="left" vertical="center" wrapText="1"/>
    </xf>
    <xf numFmtId="0" fontId="12" fillId="0" borderId="10" xfId="8" applyNumberFormat="1" applyFill="1" applyBorder="1" applyAlignment="1">
      <alignment horizontal="left" vertical="center" wrapText="1"/>
    </xf>
    <xf numFmtId="0" fontId="13" fillId="0" borderId="29" xfId="8" applyFont="1" applyBorder="1" applyAlignment="1">
      <alignment vertical="center" wrapText="1"/>
    </xf>
    <xf numFmtId="0" fontId="13" fillId="0" borderId="29" xfId="8" applyFont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osaka.lg.jp/kyoiku/cmsfiles/contents/0000592/592037/26.xlsx" TargetMode="External"/><Relationship Id="rId117" Type="http://schemas.openxmlformats.org/officeDocument/2006/relationships/hyperlink" Target="https://www.city.osaka.lg.jp/kyoiku/cmsfiles/contents/0000592/592037/119.xlsx" TargetMode="External"/><Relationship Id="rId21" Type="http://schemas.openxmlformats.org/officeDocument/2006/relationships/hyperlink" Target="https://www.city.osaka.lg.jp/kyoiku/cmsfiles/contents/0000592/592037/21.xlsx" TargetMode="External"/><Relationship Id="rId42" Type="http://schemas.openxmlformats.org/officeDocument/2006/relationships/hyperlink" Target="https://www.city.osaka.lg.jp/kyoiku/cmsfiles/contents/0000592/592037/42.xlsx" TargetMode="External"/><Relationship Id="rId47" Type="http://schemas.openxmlformats.org/officeDocument/2006/relationships/hyperlink" Target="https://www.city.osaka.lg.jp/kyoiku/cmsfiles/contents/0000592/592037/47.xlsx" TargetMode="External"/><Relationship Id="rId63" Type="http://schemas.openxmlformats.org/officeDocument/2006/relationships/hyperlink" Target="https://www.city.osaka.lg.jp/kyoiku/cmsfiles/contents/0000592/592037/64.xlsx" TargetMode="External"/><Relationship Id="rId68" Type="http://schemas.openxmlformats.org/officeDocument/2006/relationships/hyperlink" Target="https://www.city.osaka.lg.jp/kyoiku/cmsfiles/contents/0000592/592037/69.xlsx" TargetMode="External"/><Relationship Id="rId84" Type="http://schemas.openxmlformats.org/officeDocument/2006/relationships/hyperlink" Target="https://www.city.osaka.lg.jp/kyoiku/cmsfiles/contents/0000592/592037/85.xlsx" TargetMode="External"/><Relationship Id="rId89" Type="http://schemas.openxmlformats.org/officeDocument/2006/relationships/hyperlink" Target="https://www.city.osaka.lg.jp/kyoiku/cmsfiles/contents/0000592/592037/90.xlsx" TargetMode="External"/><Relationship Id="rId112" Type="http://schemas.openxmlformats.org/officeDocument/2006/relationships/hyperlink" Target="https://www.city.osaka.lg.jp/kyoiku/cmsfiles/contents/0000592/592037/114.xlsx" TargetMode="External"/><Relationship Id="rId133" Type="http://schemas.openxmlformats.org/officeDocument/2006/relationships/hyperlink" Target="https://www.city.osaka.lg.jp/kyoiku/cmsfiles/contents/0000592/592037/136.xlsx" TargetMode="External"/><Relationship Id="rId138" Type="http://schemas.openxmlformats.org/officeDocument/2006/relationships/hyperlink" Target="https://www.city.osaka.lg.jp/kyoiku/cmsfiles/contents/0000592/592037/141.xlsx" TargetMode="External"/><Relationship Id="rId154" Type="http://schemas.openxmlformats.org/officeDocument/2006/relationships/hyperlink" Target="https://www.city.osaka.lg.jp/kyoiku/cmsfiles/contents/0000592/592037/157.xlsx" TargetMode="External"/><Relationship Id="rId159" Type="http://schemas.openxmlformats.org/officeDocument/2006/relationships/hyperlink" Target="https://www.city.osaka.lg.jp/kyoiku/cmsfiles/contents/0000592/592037/162.xlsx" TargetMode="External"/><Relationship Id="rId175" Type="http://schemas.openxmlformats.org/officeDocument/2006/relationships/hyperlink" Target="https://www.city.osaka.lg.jp/kyoiku/cmsfiles/contents/0000592/592037/178.xlsx" TargetMode="External"/><Relationship Id="rId170" Type="http://schemas.openxmlformats.org/officeDocument/2006/relationships/hyperlink" Target="https://www.city.osaka.lg.jp/kyoiku/cmsfiles/contents/0000592/592037/173.xlsx" TargetMode="External"/><Relationship Id="rId16" Type="http://schemas.openxmlformats.org/officeDocument/2006/relationships/hyperlink" Target="https://www.city.osaka.lg.jp/kyoiku/cmsfiles/contents/0000592/592037/16.xlsx" TargetMode="External"/><Relationship Id="rId107" Type="http://schemas.openxmlformats.org/officeDocument/2006/relationships/hyperlink" Target="https://www.city.osaka.lg.jp/kyoiku/cmsfiles/contents/0000592/592037/109.xlsx" TargetMode="External"/><Relationship Id="rId11" Type="http://schemas.openxmlformats.org/officeDocument/2006/relationships/hyperlink" Target="https://www.city.osaka.lg.jp/kyoiku/cmsfiles/contents/0000592/592037/11.xlsx" TargetMode="External"/><Relationship Id="rId32" Type="http://schemas.openxmlformats.org/officeDocument/2006/relationships/hyperlink" Target="https://www.city.osaka.lg.jp/kyoiku/cmsfiles/contents/0000592/592037/32.xlsx" TargetMode="External"/><Relationship Id="rId37" Type="http://schemas.openxmlformats.org/officeDocument/2006/relationships/hyperlink" Target="https://www.city.osaka.lg.jp/kyoiku/cmsfiles/contents/0000592/592037/37.xlsx" TargetMode="External"/><Relationship Id="rId53" Type="http://schemas.openxmlformats.org/officeDocument/2006/relationships/hyperlink" Target="https://www.city.osaka.lg.jp/kyoiku/cmsfiles/contents/0000592/592037/53.xlsx" TargetMode="External"/><Relationship Id="rId58" Type="http://schemas.openxmlformats.org/officeDocument/2006/relationships/hyperlink" Target="https://www.city.osaka.lg.jp/kyoiku/cmsfiles/contents/0000592/592037/59.xlsx" TargetMode="External"/><Relationship Id="rId74" Type="http://schemas.openxmlformats.org/officeDocument/2006/relationships/hyperlink" Target="https://www.city.osaka.lg.jp/kyoiku/cmsfiles/contents/0000592/592037/75.xlsx" TargetMode="External"/><Relationship Id="rId79" Type="http://schemas.openxmlformats.org/officeDocument/2006/relationships/hyperlink" Target="https://www.city.osaka.lg.jp/kyoiku/cmsfiles/contents/0000592/592037/80.xlsx" TargetMode="External"/><Relationship Id="rId102" Type="http://schemas.openxmlformats.org/officeDocument/2006/relationships/hyperlink" Target="https://www.city.osaka.lg.jp/kyoiku/cmsfiles/contents/0000592/592037/104.xlsx" TargetMode="External"/><Relationship Id="rId123" Type="http://schemas.openxmlformats.org/officeDocument/2006/relationships/hyperlink" Target="https://www.city.osaka.lg.jp/kyoiku/cmsfiles/contents/0000592/592037/125.xlsx" TargetMode="External"/><Relationship Id="rId128" Type="http://schemas.openxmlformats.org/officeDocument/2006/relationships/hyperlink" Target="https://www.city.osaka.lg.jp/kyoiku/cmsfiles/contents/0000592/592037/131.xlsx" TargetMode="External"/><Relationship Id="rId144" Type="http://schemas.openxmlformats.org/officeDocument/2006/relationships/hyperlink" Target="https://www.city.osaka.lg.jp/kyoiku/cmsfiles/contents/0000592/592037/147.xlsx" TargetMode="External"/><Relationship Id="rId149" Type="http://schemas.openxmlformats.org/officeDocument/2006/relationships/hyperlink" Target="https://www.city.osaka.lg.jp/kyoiku/cmsfiles/contents/0000592/592037/152.xlsx" TargetMode="External"/><Relationship Id="rId5" Type="http://schemas.openxmlformats.org/officeDocument/2006/relationships/hyperlink" Target="https://www.city.osaka.lg.jp/kyoiku/cmsfiles/contents/0000592/592037/5.xlsx" TargetMode="External"/><Relationship Id="rId90" Type="http://schemas.openxmlformats.org/officeDocument/2006/relationships/hyperlink" Target="https://www.city.osaka.lg.jp/kyoiku/cmsfiles/contents/0000592/592037/91.xlsx" TargetMode="External"/><Relationship Id="rId95" Type="http://schemas.openxmlformats.org/officeDocument/2006/relationships/hyperlink" Target="https://www.city.osaka.lg.jp/kyoiku/cmsfiles/contents/0000592/592037/96.xlsx" TargetMode="External"/><Relationship Id="rId160" Type="http://schemas.openxmlformats.org/officeDocument/2006/relationships/hyperlink" Target="https://www.city.osaka.lg.jp/kyoiku/cmsfiles/contents/0000592/592037/163.xlsx" TargetMode="External"/><Relationship Id="rId165" Type="http://schemas.openxmlformats.org/officeDocument/2006/relationships/hyperlink" Target="https://www.city.osaka.lg.jp/kyoiku/cmsfiles/contents/0000592/592037/168.xlsx" TargetMode="External"/><Relationship Id="rId181" Type="http://schemas.openxmlformats.org/officeDocument/2006/relationships/hyperlink" Target="https://www.city.osaka.lg.jp/kyoiku/cmsfiles/contents/0000592/592037/184.xlsx" TargetMode="External"/><Relationship Id="rId22" Type="http://schemas.openxmlformats.org/officeDocument/2006/relationships/hyperlink" Target="https://www.city.osaka.lg.jp/kyoiku/cmsfiles/contents/0000592/592037/22.xlsx" TargetMode="External"/><Relationship Id="rId27" Type="http://schemas.openxmlformats.org/officeDocument/2006/relationships/hyperlink" Target="https://www.city.osaka.lg.jp/kyoiku/cmsfiles/contents/0000592/592037/27.xlsx" TargetMode="External"/><Relationship Id="rId43" Type="http://schemas.openxmlformats.org/officeDocument/2006/relationships/hyperlink" Target="https://www.city.osaka.lg.jp/kyoiku/cmsfiles/contents/0000592/592037/43.xlsx" TargetMode="External"/><Relationship Id="rId48" Type="http://schemas.openxmlformats.org/officeDocument/2006/relationships/hyperlink" Target="https://www.city.osaka.lg.jp/kyoiku/cmsfiles/contents/0000592/592037/48.xlsx" TargetMode="External"/><Relationship Id="rId64" Type="http://schemas.openxmlformats.org/officeDocument/2006/relationships/hyperlink" Target="https://www.city.osaka.lg.jp/kyoiku/cmsfiles/contents/0000592/592037/65.xlsx" TargetMode="External"/><Relationship Id="rId69" Type="http://schemas.openxmlformats.org/officeDocument/2006/relationships/hyperlink" Target="https://www.city.osaka.lg.jp/kyoiku/cmsfiles/contents/0000592/592037/70.xlsx" TargetMode="External"/><Relationship Id="rId113" Type="http://schemas.openxmlformats.org/officeDocument/2006/relationships/hyperlink" Target="https://www.city.osaka.lg.jp/kyoiku/cmsfiles/contents/0000592/592037/115.xlsx" TargetMode="External"/><Relationship Id="rId118" Type="http://schemas.openxmlformats.org/officeDocument/2006/relationships/hyperlink" Target="https://www.city.osaka.lg.jp/kyoiku/cmsfiles/contents/0000592/592037/120.xlsx" TargetMode="External"/><Relationship Id="rId134" Type="http://schemas.openxmlformats.org/officeDocument/2006/relationships/hyperlink" Target="https://www.city.osaka.lg.jp/kyoiku/cmsfiles/contents/0000592/592037/137.xlsx" TargetMode="External"/><Relationship Id="rId139" Type="http://schemas.openxmlformats.org/officeDocument/2006/relationships/hyperlink" Target="https://www.city.osaka.lg.jp/kyoiku/cmsfiles/contents/0000592/592037/142.xlsx" TargetMode="External"/><Relationship Id="rId80" Type="http://schemas.openxmlformats.org/officeDocument/2006/relationships/hyperlink" Target="https://www.city.osaka.lg.jp/kyoiku/cmsfiles/contents/0000592/592037/81.xlsx" TargetMode="External"/><Relationship Id="rId85" Type="http://schemas.openxmlformats.org/officeDocument/2006/relationships/hyperlink" Target="https://www.city.osaka.lg.jp/kyoiku/cmsfiles/contents/0000592/592037/86.xlsx" TargetMode="External"/><Relationship Id="rId150" Type="http://schemas.openxmlformats.org/officeDocument/2006/relationships/hyperlink" Target="https://www.city.osaka.lg.jp/kyoiku/cmsfiles/contents/0000592/592037/153.xlsx" TargetMode="External"/><Relationship Id="rId155" Type="http://schemas.openxmlformats.org/officeDocument/2006/relationships/hyperlink" Target="https://www.city.osaka.lg.jp/kyoiku/cmsfiles/contents/0000592/592037/158.xlsx" TargetMode="External"/><Relationship Id="rId171" Type="http://schemas.openxmlformats.org/officeDocument/2006/relationships/hyperlink" Target="https://www.city.osaka.lg.jp/kyoiku/cmsfiles/contents/0000592/592037/174.xlsx" TargetMode="External"/><Relationship Id="rId176" Type="http://schemas.openxmlformats.org/officeDocument/2006/relationships/hyperlink" Target="https://www.city.osaka.lg.jp/kyoiku/cmsfiles/contents/0000592/592037/179.xlsx" TargetMode="External"/><Relationship Id="rId12" Type="http://schemas.openxmlformats.org/officeDocument/2006/relationships/hyperlink" Target="https://www.city.osaka.lg.jp/kyoiku/cmsfiles/contents/0000592/592037/12.xlsx" TargetMode="External"/><Relationship Id="rId17" Type="http://schemas.openxmlformats.org/officeDocument/2006/relationships/hyperlink" Target="https://www.city.osaka.lg.jp/kyoiku/cmsfiles/contents/0000592/592037/17.xlsx" TargetMode="External"/><Relationship Id="rId33" Type="http://schemas.openxmlformats.org/officeDocument/2006/relationships/hyperlink" Target="https://www.city.osaka.lg.jp/kyoiku/cmsfiles/contents/0000592/592037/33.xlsx" TargetMode="External"/><Relationship Id="rId38" Type="http://schemas.openxmlformats.org/officeDocument/2006/relationships/hyperlink" Target="https://www.city.osaka.lg.jp/kyoiku/cmsfiles/contents/0000592/592037/38.xlsx" TargetMode="External"/><Relationship Id="rId59" Type="http://schemas.openxmlformats.org/officeDocument/2006/relationships/hyperlink" Target="https://www.city.osaka.lg.jp/kyoiku/cmsfiles/contents/0000592/592037/60.xlsx" TargetMode="External"/><Relationship Id="rId103" Type="http://schemas.openxmlformats.org/officeDocument/2006/relationships/hyperlink" Target="https://www.city.osaka.lg.jp/kyoiku/cmsfiles/contents/0000592/592037/105.xlsx" TargetMode="External"/><Relationship Id="rId108" Type="http://schemas.openxmlformats.org/officeDocument/2006/relationships/hyperlink" Target="https://www.city.osaka.lg.jp/kyoiku/cmsfiles/contents/0000592/592037/110.xlsx" TargetMode="External"/><Relationship Id="rId124" Type="http://schemas.openxmlformats.org/officeDocument/2006/relationships/hyperlink" Target="https://www.city.osaka.lg.jp/kyoiku/cmsfiles/contents/0000592/592037/126.xlsx" TargetMode="External"/><Relationship Id="rId129" Type="http://schemas.openxmlformats.org/officeDocument/2006/relationships/hyperlink" Target="https://www.city.osaka.lg.jp/kyoiku/cmsfiles/contents/0000592/592037/132.xlsx" TargetMode="External"/><Relationship Id="rId54" Type="http://schemas.openxmlformats.org/officeDocument/2006/relationships/hyperlink" Target="https://www.city.osaka.lg.jp/kyoiku/cmsfiles/contents/0000592/592037/54.xlsx" TargetMode="External"/><Relationship Id="rId70" Type="http://schemas.openxmlformats.org/officeDocument/2006/relationships/hyperlink" Target="https://www.city.osaka.lg.jp/kyoiku/cmsfiles/contents/0000592/592037/71.xlsx" TargetMode="External"/><Relationship Id="rId75" Type="http://schemas.openxmlformats.org/officeDocument/2006/relationships/hyperlink" Target="https://www.city.osaka.lg.jp/kyoiku/cmsfiles/contents/0000592/592037/76.xlsx" TargetMode="External"/><Relationship Id="rId91" Type="http://schemas.openxmlformats.org/officeDocument/2006/relationships/hyperlink" Target="https://www.city.osaka.lg.jp/kyoiku/cmsfiles/contents/0000592/592037/92.xlsx" TargetMode="External"/><Relationship Id="rId96" Type="http://schemas.openxmlformats.org/officeDocument/2006/relationships/hyperlink" Target="https://www.city.osaka.lg.jp/kyoiku/cmsfiles/contents/0000592/592037/97.xlsx" TargetMode="External"/><Relationship Id="rId140" Type="http://schemas.openxmlformats.org/officeDocument/2006/relationships/hyperlink" Target="https://www.city.osaka.lg.jp/kyoiku/cmsfiles/contents/0000592/592037/143.xlsx" TargetMode="External"/><Relationship Id="rId145" Type="http://schemas.openxmlformats.org/officeDocument/2006/relationships/hyperlink" Target="https://www.city.osaka.lg.jp/kyoiku/cmsfiles/contents/0000592/592037/148.xlsx" TargetMode="External"/><Relationship Id="rId161" Type="http://schemas.openxmlformats.org/officeDocument/2006/relationships/hyperlink" Target="https://www.city.osaka.lg.jp/kyoiku/cmsfiles/contents/0000592/592037/164.xlsx" TargetMode="External"/><Relationship Id="rId166" Type="http://schemas.openxmlformats.org/officeDocument/2006/relationships/hyperlink" Target="https://www.city.osaka.lg.jp/kyoiku/cmsfiles/contents/0000592/592037/169.xlsx" TargetMode="External"/><Relationship Id="rId18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yoiku/cmsfiles/contents/0000592/592037/1.xlsx" TargetMode="External"/><Relationship Id="rId6" Type="http://schemas.openxmlformats.org/officeDocument/2006/relationships/hyperlink" Target="https://www.city.osaka.lg.jp/kyoiku/cmsfiles/contents/0000592/592037/6.xlsx" TargetMode="External"/><Relationship Id="rId23" Type="http://schemas.openxmlformats.org/officeDocument/2006/relationships/hyperlink" Target="https://www.city.osaka.lg.jp/kyoiku/cmsfiles/contents/0000592/592037/23.xlsx" TargetMode="External"/><Relationship Id="rId28" Type="http://schemas.openxmlformats.org/officeDocument/2006/relationships/hyperlink" Target="https://www.city.osaka.lg.jp/kyoiku/cmsfiles/contents/0000592/592037/28.xlsx" TargetMode="External"/><Relationship Id="rId49" Type="http://schemas.openxmlformats.org/officeDocument/2006/relationships/hyperlink" Target="https://www.city.osaka.lg.jp/kyoiku/cmsfiles/contents/0000592/592037/49.xlsx" TargetMode="External"/><Relationship Id="rId114" Type="http://schemas.openxmlformats.org/officeDocument/2006/relationships/hyperlink" Target="https://www.city.osaka.lg.jp/kyoiku/cmsfiles/contents/0000592/592037/116.xlsx" TargetMode="External"/><Relationship Id="rId119" Type="http://schemas.openxmlformats.org/officeDocument/2006/relationships/hyperlink" Target="https://www.city.osaka.lg.jp/kyoiku/cmsfiles/contents/0000592/592037/121.xlsx" TargetMode="External"/><Relationship Id="rId44" Type="http://schemas.openxmlformats.org/officeDocument/2006/relationships/hyperlink" Target="https://www.city.osaka.lg.jp/kyoiku/cmsfiles/contents/0000592/592037/44.xlsx" TargetMode="External"/><Relationship Id="rId60" Type="http://schemas.openxmlformats.org/officeDocument/2006/relationships/hyperlink" Target="https://www.city.osaka.lg.jp/kyoiku/cmsfiles/contents/0000592/592037/61.xlsx" TargetMode="External"/><Relationship Id="rId65" Type="http://schemas.openxmlformats.org/officeDocument/2006/relationships/hyperlink" Target="https://www.city.osaka.lg.jp/kyoiku/cmsfiles/contents/0000592/592037/66.xlsx" TargetMode="External"/><Relationship Id="rId81" Type="http://schemas.openxmlformats.org/officeDocument/2006/relationships/hyperlink" Target="https://www.city.osaka.lg.jp/kyoiku/cmsfiles/contents/0000592/592037/82.xlsx" TargetMode="External"/><Relationship Id="rId86" Type="http://schemas.openxmlformats.org/officeDocument/2006/relationships/hyperlink" Target="https://www.city.osaka.lg.jp/kyoiku/cmsfiles/contents/0000592/592037/87.xlsx" TargetMode="External"/><Relationship Id="rId130" Type="http://schemas.openxmlformats.org/officeDocument/2006/relationships/hyperlink" Target="https://www.city.osaka.lg.jp/kyoiku/cmsfiles/contents/0000592/592037/133.xlsx" TargetMode="External"/><Relationship Id="rId135" Type="http://schemas.openxmlformats.org/officeDocument/2006/relationships/hyperlink" Target="https://www.city.osaka.lg.jp/kyoiku/cmsfiles/contents/0000592/592037/138.xlsx" TargetMode="External"/><Relationship Id="rId151" Type="http://schemas.openxmlformats.org/officeDocument/2006/relationships/hyperlink" Target="https://www.city.osaka.lg.jp/kyoiku/cmsfiles/contents/0000592/592037/154.xlsx" TargetMode="External"/><Relationship Id="rId156" Type="http://schemas.openxmlformats.org/officeDocument/2006/relationships/hyperlink" Target="https://www.city.osaka.lg.jp/kyoiku/cmsfiles/contents/0000592/592037/159.xlsx" TargetMode="External"/><Relationship Id="rId177" Type="http://schemas.openxmlformats.org/officeDocument/2006/relationships/hyperlink" Target="https://www.city.osaka.lg.jp/kyoiku/cmsfiles/contents/0000592/592037/180.xlsx" TargetMode="External"/><Relationship Id="rId4" Type="http://schemas.openxmlformats.org/officeDocument/2006/relationships/hyperlink" Target="https://www.city.osaka.lg.jp/kyoiku/cmsfiles/contents/0000592/592037/4.xlsx" TargetMode="External"/><Relationship Id="rId9" Type="http://schemas.openxmlformats.org/officeDocument/2006/relationships/hyperlink" Target="https://www.city.osaka.lg.jp/kyoiku/cmsfiles/contents/0000592/592037/9.xlsx" TargetMode="External"/><Relationship Id="rId172" Type="http://schemas.openxmlformats.org/officeDocument/2006/relationships/hyperlink" Target="https://www.city.osaka.lg.jp/kyoiku/cmsfiles/contents/0000592/592037/175.xlsx" TargetMode="External"/><Relationship Id="rId180" Type="http://schemas.openxmlformats.org/officeDocument/2006/relationships/hyperlink" Target="https://www.city.osaka.lg.jp/kyoiku/cmsfiles/contents/0000592/592037/183.xlsx" TargetMode="External"/><Relationship Id="rId13" Type="http://schemas.openxmlformats.org/officeDocument/2006/relationships/hyperlink" Target="https://www.city.osaka.lg.jp/kyoiku/cmsfiles/contents/0000592/592037/13.xlsx" TargetMode="External"/><Relationship Id="rId18" Type="http://schemas.openxmlformats.org/officeDocument/2006/relationships/hyperlink" Target="https://www.city.osaka.lg.jp/kyoiku/cmsfiles/contents/0000592/592037/18.xlsx" TargetMode="External"/><Relationship Id="rId39" Type="http://schemas.openxmlformats.org/officeDocument/2006/relationships/hyperlink" Target="https://www.city.osaka.lg.jp/kyoiku/cmsfiles/contents/0000592/592037/39.xlsx" TargetMode="External"/><Relationship Id="rId109" Type="http://schemas.openxmlformats.org/officeDocument/2006/relationships/hyperlink" Target="https://www.city.osaka.lg.jp/kyoiku/cmsfiles/contents/0000592/592037/111.xlsx" TargetMode="External"/><Relationship Id="rId34" Type="http://schemas.openxmlformats.org/officeDocument/2006/relationships/hyperlink" Target="https://www.city.osaka.lg.jp/kyoiku/cmsfiles/contents/0000592/592037/34.xlsx" TargetMode="External"/><Relationship Id="rId50" Type="http://schemas.openxmlformats.org/officeDocument/2006/relationships/hyperlink" Target="https://www.city.osaka.lg.jp/kyoiku/cmsfiles/contents/0000592/592037/50.xlsx" TargetMode="External"/><Relationship Id="rId55" Type="http://schemas.openxmlformats.org/officeDocument/2006/relationships/hyperlink" Target="https://www.city.osaka.lg.jp/kyoiku/cmsfiles/contents/0000592/592037/55.xlsx" TargetMode="External"/><Relationship Id="rId76" Type="http://schemas.openxmlformats.org/officeDocument/2006/relationships/hyperlink" Target="https://www.city.osaka.lg.jp/kyoiku/cmsfiles/contents/0000592/592037/77.xlsx" TargetMode="External"/><Relationship Id="rId97" Type="http://schemas.openxmlformats.org/officeDocument/2006/relationships/hyperlink" Target="https://www.city.osaka.lg.jp/kyoiku/cmsfiles/contents/0000592/592037/99.xlsx" TargetMode="External"/><Relationship Id="rId104" Type="http://schemas.openxmlformats.org/officeDocument/2006/relationships/hyperlink" Target="https://www.city.osaka.lg.jp/kyoiku/cmsfiles/contents/0000592/592037/106.xlsx" TargetMode="External"/><Relationship Id="rId120" Type="http://schemas.openxmlformats.org/officeDocument/2006/relationships/hyperlink" Target="https://www.city.osaka.lg.jp/kyoiku/cmsfiles/contents/0000592/592037/122.xlsx" TargetMode="External"/><Relationship Id="rId125" Type="http://schemas.openxmlformats.org/officeDocument/2006/relationships/hyperlink" Target="https://www.city.osaka.lg.jp/kyoiku/cmsfiles/contents/0000592/592037/127.xlsx" TargetMode="External"/><Relationship Id="rId141" Type="http://schemas.openxmlformats.org/officeDocument/2006/relationships/hyperlink" Target="https://www.city.osaka.lg.jp/kyoiku/cmsfiles/contents/0000592/592037/144.xlsx" TargetMode="External"/><Relationship Id="rId146" Type="http://schemas.openxmlformats.org/officeDocument/2006/relationships/hyperlink" Target="https://www.city.osaka.lg.jp/kyoiku/cmsfiles/contents/0000592/592037/149.xlsx" TargetMode="External"/><Relationship Id="rId167" Type="http://schemas.openxmlformats.org/officeDocument/2006/relationships/hyperlink" Target="https://www.city.osaka.lg.jp/kyoiku/cmsfiles/contents/0000592/592037/170.xlsx" TargetMode="External"/><Relationship Id="rId7" Type="http://schemas.openxmlformats.org/officeDocument/2006/relationships/hyperlink" Target="https://www.city.osaka.lg.jp/kyoiku/cmsfiles/contents/0000592/592037/7.xlsx" TargetMode="External"/><Relationship Id="rId71" Type="http://schemas.openxmlformats.org/officeDocument/2006/relationships/hyperlink" Target="https://www.city.osaka.lg.jp/kyoiku/cmsfiles/contents/0000592/592037/72.xlsx" TargetMode="External"/><Relationship Id="rId92" Type="http://schemas.openxmlformats.org/officeDocument/2006/relationships/hyperlink" Target="https://www.city.osaka.lg.jp/kyoiku/cmsfiles/contents/0000592/592037/93.xlsx" TargetMode="External"/><Relationship Id="rId162" Type="http://schemas.openxmlformats.org/officeDocument/2006/relationships/hyperlink" Target="https://www.city.osaka.lg.jp/kyoiku/cmsfiles/contents/0000592/592037/165.xlsx" TargetMode="External"/><Relationship Id="rId2" Type="http://schemas.openxmlformats.org/officeDocument/2006/relationships/hyperlink" Target="https://www.city.osaka.lg.jp/kyoiku/cmsfiles/contents/0000592/592037/2.xlsx" TargetMode="External"/><Relationship Id="rId29" Type="http://schemas.openxmlformats.org/officeDocument/2006/relationships/hyperlink" Target="https://www.city.osaka.lg.jp/kyoiku/cmsfiles/contents/0000592/592037/29.xlsx" TargetMode="External"/><Relationship Id="rId24" Type="http://schemas.openxmlformats.org/officeDocument/2006/relationships/hyperlink" Target="https://www.city.osaka.lg.jp/kyoiku/cmsfiles/contents/0000592/592037/24.xlsx" TargetMode="External"/><Relationship Id="rId40" Type="http://schemas.openxmlformats.org/officeDocument/2006/relationships/hyperlink" Target="https://www.city.osaka.lg.jp/kyoiku/cmsfiles/contents/0000592/592037/40.xlsx" TargetMode="External"/><Relationship Id="rId45" Type="http://schemas.openxmlformats.org/officeDocument/2006/relationships/hyperlink" Target="https://www.city.osaka.lg.jp/kyoiku/cmsfiles/contents/0000592/592037/45.xlsx" TargetMode="External"/><Relationship Id="rId66" Type="http://schemas.openxmlformats.org/officeDocument/2006/relationships/hyperlink" Target="https://www.city.osaka.lg.jp/kyoiku/cmsfiles/contents/0000592/592037/67.xlsx" TargetMode="External"/><Relationship Id="rId87" Type="http://schemas.openxmlformats.org/officeDocument/2006/relationships/hyperlink" Target="https://www.city.osaka.lg.jp/kyoiku/cmsfiles/contents/0000592/592037/88.xlsx" TargetMode="External"/><Relationship Id="rId110" Type="http://schemas.openxmlformats.org/officeDocument/2006/relationships/hyperlink" Target="https://www.city.osaka.lg.jp/kyoiku/cmsfiles/contents/0000592/592037/112.xlsx" TargetMode="External"/><Relationship Id="rId115" Type="http://schemas.openxmlformats.org/officeDocument/2006/relationships/hyperlink" Target="https://www.city.osaka.lg.jp/kyoiku/cmsfiles/contents/0000592/592037/117.xlsx" TargetMode="External"/><Relationship Id="rId131" Type="http://schemas.openxmlformats.org/officeDocument/2006/relationships/hyperlink" Target="https://www.city.osaka.lg.jp/kyoiku/cmsfiles/contents/0000592/592037/134.xlsx" TargetMode="External"/><Relationship Id="rId136" Type="http://schemas.openxmlformats.org/officeDocument/2006/relationships/hyperlink" Target="https://www.city.osaka.lg.jp/kyoiku/cmsfiles/contents/0000592/592037/139.xlsx" TargetMode="External"/><Relationship Id="rId157" Type="http://schemas.openxmlformats.org/officeDocument/2006/relationships/hyperlink" Target="https://www.city.osaka.lg.jp/kyoiku/cmsfiles/contents/0000592/592037/160.xlsx" TargetMode="External"/><Relationship Id="rId178" Type="http://schemas.openxmlformats.org/officeDocument/2006/relationships/hyperlink" Target="https://www.city.osaka.lg.jp/kyoiku/cmsfiles/contents/0000592/592037/181.xlsx" TargetMode="External"/><Relationship Id="rId61" Type="http://schemas.openxmlformats.org/officeDocument/2006/relationships/hyperlink" Target="https://www.city.osaka.lg.jp/kyoiku/cmsfiles/contents/0000592/592037/62.xlsx" TargetMode="External"/><Relationship Id="rId82" Type="http://schemas.openxmlformats.org/officeDocument/2006/relationships/hyperlink" Target="https://www.city.osaka.lg.jp/kyoiku/cmsfiles/contents/0000592/592037/83.xlsx" TargetMode="External"/><Relationship Id="rId152" Type="http://schemas.openxmlformats.org/officeDocument/2006/relationships/hyperlink" Target="https://www.city.osaka.lg.jp/kyoiku/cmsfiles/contents/0000592/592037/155.xlsx" TargetMode="External"/><Relationship Id="rId173" Type="http://schemas.openxmlformats.org/officeDocument/2006/relationships/hyperlink" Target="https://www.city.osaka.lg.jp/kyoiku/cmsfiles/contents/0000592/592037/176.xlsx" TargetMode="External"/><Relationship Id="rId19" Type="http://schemas.openxmlformats.org/officeDocument/2006/relationships/hyperlink" Target="https://www.city.osaka.lg.jp/kyoiku/cmsfiles/contents/0000592/592037/19.xlsx" TargetMode="External"/><Relationship Id="rId14" Type="http://schemas.openxmlformats.org/officeDocument/2006/relationships/hyperlink" Target="https://www.city.osaka.lg.jp/kyoiku/cmsfiles/contents/0000592/592037/14.xlsx" TargetMode="External"/><Relationship Id="rId30" Type="http://schemas.openxmlformats.org/officeDocument/2006/relationships/hyperlink" Target="https://www.city.osaka.lg.jp/kyoiku/cmsfiles/contents/0000592/592037/30.xlsx" TargetMode="External"/><Relationship Id="rId35" Type="http://schemas.openxmlformats.org/officeDocument/2006/relationships/hyperlink" Target="https://www.city.osaka.lg.jp/kyoiku/cmsfiles/contents/0000592/592037/35.xlsx" TargetMode="External"/><Relationship Id="rId56" Type="http://schemas.openxmlformats.org/officeDocument/2006/relationships/hyperlink" Target="https://www.city.osaka.lg.jp/kyoiku/cmsfiles/contents/0000592/592037/57.xlsx" TargetMode="External"/><Relationship Id="rId77" Type="http://schemas.openxmlformats.org/officeDocument/2006/relationships/hyperlink" Target="https://www.city.osaka.lg.jp/kyoiku/cmsfiles/contents/0000592/592037/78.xlsx" TargetMode="External"/><Relationship Id="rId100" Type="http://schemas.openxmlformats.org/officeDocument/2006/relationships/hyperlink" Target="https://www.city.osaka.lg.jp/kyoiku/cmsfiles/contents/0000592/592037/102.xlsx" TargetMode="External"/><Relationship Id="rId105" Type="http://schemas.openxmlformats.org/officeDocument/2006/relationships/hyperlink" Target="https://www.city.osaka.lg.jp/kyoiku/cmsfiles/contents/0000592/592037/107.xlsx" TargetMode="External"/><Relationship Id="rId126" Type="http://schemas.openxmlformats.org/officeDocument/2006/relationships/hyperlink" Target="https://www.city.osaka.lg.jp/kyoiku/cmsfiles/contents/0000592/592037/129.xlsx" TargetMode="External"/><Relationship Id="rId147" Type="http://schemas.openxmlformats.org/officeDocument/2006/relationships/hyperlink" Target="https://www.city.osaka.lg.jp/kyoiku/cmsfiles/contents/0000592/592037/150.xlsx" TargetMode="External"/><Relationship Id="rId168" Type="http://schemas.openxmlformats.org/officeDocument/2006/relationships/hyperlink" Target="https://www.city.osaka.lg.jp/kyoiku/cmsfiles/contents/0000592/592037/171.xlsx" TargetMode="External"/><Relationship Id="rId8" Type="http://schemas.openxmlformats.org/officeDocument/2006/relationships/hyperlink" Target="https://www.city.osaka.lg.jp/kyoiku/cmsfiles/contents/0000592/592037/8.xlsx" TargetMode="External"/><Relationship Id="rId51" Type="http://schemas.openxmlformats.org/officeDocument/2006/relationships/hyperlink" Target="https://www.city.osaka.lg.jp/kyoiku/cmsfiles/contents/0000592/592037/51.xlsx" TargetMode="External"/><Relationship Id="rId72" Type="http://schemas.openxmlformats.org/officeDocument/2006/relationships/hyperlink" Target="https://www.city.osaka.lg.jp/kyoiku/cmsfiles/contents/0000592/592037/73.xlsx" TargetMode="External"/><Relationship Id="rId93" Type="http://schemas.openxmlformats.org/officeDocument/2006/relationships/hyperlink" Target="https://www.city.osaka.lg.jp/kyoiku/cmsfiles/contents/0000592/592037/94.xlsx" TargetMode="External"/><Relationship Id="rId98" Type="http://schemas.openxmlformats.org/officeDocument/2006/relationships/hyperlink" Target="https://www.city.osaka.lg.jp/kyoiku/cmsfiles/contents/0000592/592037/100.xlsx" TargetMode="External"/><Relationship Id="rId121" Type="http://schemas.openxmlformats.org/officeDocument/2006/relationships/hyperlink" Target="https://www.city.osaka.lg.jp/kyoiku/cmsfiles/contents/0000592/592037/123.xlsx" TargetMode="External"/><Relationship Id="rId142" Type="http://schemas.openxmlformats.org/officeDocument/2006/relationships/hyperlink" Target="https://www.city.osaka.lg.jp/kyoiku/cmsfiles/contents/0000592/592037/145.xlsx" TargetMode="External"/><Relationship Id="rId163" Type="http://schemas.openxmlformats.org/officeDocument/2006/relationships/hyperlink" Target="https://www.city.osaka.lg.jp/kyoiku/cmsfiles/contents/0000592/592037/166.xlsx" TargetMode="External"/><Relationship Id="rId3" Type="http://schemas.openxmlformats.org/officeDocument/2006/relationships/hyperlink" Target="https://www.city.osaka.lg.jp/kyoiku/cmsfiles/contents/0000592/592037/3.xlsx" TargetMode="External"/><Relationship Id="rId25" Type="http://schemas.openxmlformats.org/officeDocument/2006/relationships/hyperlink" Target="https://www.city.osaka.lg.jp/kyoiku/cmsfiles/contents/0000592/592037/25.xlsx" TargetMode="External"/><Relationship Id="rId46" Type="http://schemas.openxmlformats.org/officeDocument/2006/relationships/hyperlink" Target="https://www.city.osaka.lg.jp/kyoiku/cmsfiles/contents/0000592/592037/46.xlsx" TargetMode="External"/><Relationship Id="rId67" Type="http://schemas.openxmlformats.org/officeDocument/2006/relationships/hyperlink" Target="https://www.city.osaka.lg.jp/kyoiku/cmsfiles/contents/0000592/592037/68.xlsx" TargetMode="External"/><Relationship Id="rId116" Type="http://schemas.openxmlformats.org/officeDocument/2006/relationships/hyperlink" Target="https://www.city.osaka.lg.jp/kyoiku/cmsfiles/contents/0000592/592037/118.xlsx" TargetMode="External"/><Relationship Id="rId137" Type="http://schemas.openxmlformats.org/officeDocument/2006/relationships/hyperlink" Target="https://www.city.osaka.lg.jp/kyoiku/cmsfiles/contents/0000592/592037/140.xlsx" TargetMode="External"/><Relationship Id="rId158" Type="http://schemas.openxmlformats.org/officeDocument/2006/relationships/hyperlink" Target="https://www.city.osaka.lg.jp/kyoiku/cmsfiles/contents/0000592/592037/161.xlsx" TargetMode="External"/><Relationship Id="rId20" Type="http://schemas.openxmlformats.org/officeDocument/2006/relationships/hyperlink" Target="https://www.city.osaka.lg.jp/kyoiku/cmsfiles/contents/0000592/592037/20.xlsx" TargetMode="External"/><Relationship Id="rId41" Type="http://schemas.openxmlformats.org/officeDocument/2006/relationships/hyperlink" Target="https://www.city.osaka.lg.jp/kyoiku/cmsfiles/contents/0000592/592037/41.xlsx" TargetMode="External"/><Relationship Id="rId62" Type="http://schemas.openxmlformats.org/officeDocument/2006/relationships/hyperlink" Target="https://www.city.osaka.lg.jp/kyoiku/cmsfiles/contents/0000592/592037/63.xlsx" TargetMode="External"/><Relationship Id="rId83" Type="http://schemas.openxmlformats.org/officeDocument/2006/relationships/hyperlink" Target="https://www.city.osaka.lg.jp/kyoiku/cmsfiles/contents/0000592/592037/84.xlsx" TargetMode="External"/><Relationship Id="rId88" Type="http://schemas.openxmlformats.org/officeDocument/2006/relationships/hyperlink" Target="https://www.city.osaka.lg.jp/kyoiku/cmsfiles/contents/0000592/592037/89.xlsx" TargetMode="External"/><Relationship Id="rId111" Type="http://schemas.openxmlformats.org/officeDocument/2006/relationships/hyperlink" Target="https://www.city.osaka.lg.jp/kyoiku/cmsfiles/contents/0000592/592037/113.xlsx" TargetMode="External"/><Relationship Id="rId132" Type="http://schemas.openxmlformats.org/officeDocument/2006/relationships/hyperlink" Target="https://www.city.osaka.lg.jp/kyoiku/cmsfiles/contents/0000592/592037/135.xlsx" TargetMode="External"/><Relationship Id="rId153" Type="http://schemas.openxmlformats.org/officeDocument/2006/relationships/hyperlink" Target="https://www.city.osaka.lg.jp/kyoiku/cmsfiles/contents/0000592/592037/156.xlsx" TargetMode="External"/><Relationship Id="rId174" Type="http://schemas.openxmlformats.org/officeDocument/2006/relationships/hyperlink" Target="https://www.city.osaka.lg.jp/kyoiku/cmsfiles/contents/0000592/592037/177.xlsx" TargetMode="External"/><Relationship Id="rId179" Type="http://schemas.openxmlformats.org/officeDocument/2006/relationships/hyperlink" Target="https://www.city.osaka.lg.jp/kyoiku/cmsfiles/contents/0000592/592037/182.xlsx" TargetMode="External"/><Relationship Id="rId15" Type="http://schemas.openxmlformats.org/officeDocument/2006/relationships/hyperlink" Target="https://www.city.osaka.lg.jp/kyoiku/cmsfiles/contents/0000592/592037/15.xlsx" TargetMode="External"/><Relationship Id="rId36" Type="http://schemas.openxmlformats.org/officeDocument/2006/relationships/hyperlink" Target="https://www.city.osaka.lg.jp/kyoiku/cmsfiles/contents/0000592/592037/36.xlsx" TargetMode="External"/><Relationship Id="rId57" Type="http://schemas.openxmlformats.org/officeDocument/2006/relationships/hyperlink" Target="https://www.city.osaka.lg.jp/kyoiku/cmsfiles/contents/0000592/592037/58.xlsx" TargetMode="External"/><Relationship Id="rId106" Type="http://schemas.openxmlformats.org/officeDocument/2006/relationships/hyperlink" Target="https://www.city.osaka.lg.jp/kyoiku/cmsfiles/contents/0000592/592037/108.xlsx" TargetMode="External"/><Relationship Id="rId127" Type="http://schemas.openxmlformats.org/officeDocument/2006/relationships/hyperlink" Target="https://www.city.osaka.lg.jp/kyoiku/cmsfiles/contents/0000592/592037/130.xlsx" TargetMode="External"/><Relationship Id="rId10" Type="http://schemas.openxmlformats.org/officeDocument/2006/relationships/hyperlink" Target="https://www.city.osaka.lg.jp/kyoiku/cmsfiles/contents/0000592/592037/10.xlsx" TargetMode="External"/><Relationship Id="rId31" Type="http://schemas.openxmlformats.org/officeDocument/2006/relationships/hyperlink" Target="https://www.city.osaka.lg.jp/kyoiku/cmsfiles/contents/0000592/592037/31.xlsx" TargetMode="External"/><Relationship Id="rId52" Type="http://schemas.openxmlformats.org/officeDocument/2006/relationships/hyperlink" Target="https://www.city.osaka.lg.jp/kyoiku/cmsfiles/contents/0000592/592037/52.xlsx" TargetMode="External"/><Relationship Id="rId73" Type="http://schemas.openxmlformats.org/officeDocument/2006/relationships/hyperlink" Target="https://www.city.osaka.lg.jp/kyoiku/cmsfiles/contents/0000592/592037/74.xlsx" TargetMode="External"/><Relationship Id="rId78" Type="http://schemas.openxmlformats.org/officeDocument/2006/relationships/hyperlink" Target="https://www.city.osaka.lg.jp/kyoiku/cmsfiles/contents/0000592/592037/79.xlsx" TargetMode="External"/><Relationship Id="rId94" Type="http://schemas.openxmlformats.org/officeDocument/2006/relationships/hyperlink" Target="https://www.city.osaka.lg.jp/kyoiku/cmsfiles/contents/0000592/592037/95.xlsx" TargetMode="External"/><Relationship Id="rId99" Type="http://schemas.openxmlformats.org/officeDocument/2006/relationships/hyperlink" Target="https://www.city.osaka.lg.jp/kyoiku/cmsfiles/contents/0000592/592037/101.xlsx" TargetMode="External"/><Relationship Id="rId101" Type="http://schemas.openxmlformats.org/officeDocument/2006/relationships/hyperlink" Target="https://www.city.osaka.lg.jp/kyoiku/cmsfiles/contents/0000592/592037/103.xlsx" TargetMode="External"/><Relationship Id="rId122" Type="http://schemas.openxmlformats.org/officeDocument/2006/relationships/hyperlink" Target="https://www.city.osaka.lg.jp/kyoiku/cmsfiles/contents/0000592/592037/124.xlsx" TargetMode="External"/><Relationship Id="rId143" Type="http://schemas.openxmlformats.org/officeDocument/2006/relationships/hyperlink" Target="https://www.city.osaka.lg.jp/kyoiku/cmsfiles/contents/0000592/592037/146.xlsx" TargetMode="External"/><Relationship Id="rId148" Type="http://schemas.openxmlformats.org/officeDocument/2006/relationships/hyperlink" Target="https://www.city.osaka.lg.jp/kyoiku/cmsfiles/contents/0000592/592037/151.xlsx" TargetMode="External"/><Relationship Id="rId164" Type="http://schemas.openxmlformats.org/officeDocument/2006/relationships/hyperlink" Target="https://www.city.osaka.lg.jp/kyoiku/cmsfiles/contents/0000592/592037/167.xlsx" TargetMode="External"/><Relationship Id="rId169" Type="http://schemas.openxmlformats.org/officeDocument/2006/relationships/hyperlink" Target="https://www.city.osaka.lg.jp/kyoiku/cmsfiles/contents/0000592/592037/17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29"/>
  <sheetViews>
    <sheetView tabSelected="1" view="pageBreakPreview" zoomScaleNormal="100" zoomScaleSheetLayoutView="100" workbookViewId="0">
      <selection activeCell="C138" sqref="C138:C139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2" customWidth="1"/>
    <col min="9" max="9" width="9.375" style="2" customWidth="1"/>
    <col min="10" max="10" width="3.25" style="2" bestFit="1" customWidth="1"/>
    <col min="11" max="11" width="7.375" style="2" bestFit="1" customWidth="1"/>
    <col min="12" max="220" width="8.625" style="2" customWidth="1"/>
    <col min="221" max="16384" width="8.625" style="2"/>
  </cols>
  <sheetData>
    <row r="1" spans="1:10" ht="17.25" customHeight="1">
      <c r="G1" s="25"/>
    </row>
    <row r="2" spans="1:10" ht="17.25" customHeight="1">
      <c r="A2" s="1"/>
      <c r="B2" s="1"/>
      <c r="G2" s="24"/>
      <c r="I2" s="6"/>
    </row>
    <row r="3" spans="1:10" ht="17.25" customHeight="1">
      <c r="A3" s="1"/>
      <c r="B3" s="1"/>
      <c r="G3" s="24"/>
      <c r="I3" s="6"/>
    </row>
    <row r="4" spans="1:10" ht="17.25" customHeight="1">
      <c r="G4" s="24"/>
    </row>
    <row r="5" spans="1:10" ht="18" customHeight="1">
      <c r="A5" s="1" t="s">
        <v>14</v>
      </c>
      <c r="B5" s="1"/>
      <c r="G5" s="2"/>
      <c r="H5" s="32"/>
      <c r="I5" s="32"/>
    </row>
    <row r="6" spans="1:10" ht="15" customHeight="1">
      <c r="G6" s="2"/>
    </row>
    <row r="7" spans="1:10" ht="18" customHeight="1">
      <c r="A7" s="4" t="s">
        <v>17</v>
      </c>
      <c r="B7" s="4"/>
      <c r="F7" s="4"/>
      <c r="G7" s="4"/>
      <c r="I7" s="23" t="s">
        <v>18</v>
      </c>
    </row>
    <row r="8" spans="1:10" ht="10.5" customHeight="1">
      <c r="F8" s="4"/>
      <c r="G8" s="4"/>
    </row>
    <row r="9" spans="1:10" ht="27" customHeight="1" thickBot="1">
      <c r="E9" s="73" t="s">
        <v>0</v>
      </c>
      <c r="F9" s="73"/>
      <c r="G9" s="5"/>
      <c r="I9" s="7" t="s">
        <v>1</v>
      </c>
    </row>
    <row r="10" spans="1:10" ht="15" customHeight="1">
      <c r="A10" s="8" t="s">
        <v>2</v>
      </c>
      <c r="B10" s="9" t="s">
        <v>11</v>
      </c>
      <c r="C10" s="64" t="s">
        <v>9</v>
      </c>
      <c r="D10" s="66" t="s">
        <v>12</v>
      </c>
      <c r="E10" s="36" t="s">
        <v>251</v>
      </c>
      <c r="F10" s="9" t="s">
        <v>212</v>
      </c>
      <c r="G10" s="36" t="s">
        <v>7</v>
      </c>
      <c r="H10" s="67" t="s">
        <v>10</v>
      </c>
      <c r="I10" s="68"/>
    </row>
    <row r="11" spans="1:10" ht="15" customHeight="1">
      <c r="A11" s="10" t="s">
        <v>3</v>
      </c>
      <c r="B11" s="11" t="s">
        <v>6</v>
      </c>
      <c r="C11" s="65"/>
      <c r="D11" s="65"/>
      <c r="E11" s="37" t="s">
        <v>13</v>
      </c>
      <c r="F11" s="37" t="s">
        <v>250</v>
      </c>
      <c r="G11" s="37" t="s">
        <v>8</v>
      </c>
      <c r="H11" s="41"/>
      <c r="I11" s="69"/>
    </row>
    <row r="12" spans="1:10" ht="15" customHeight="1">
      <c r="A12" s="42">
        <v>1</v>
      </c>
      <c r="B12" s="56" t="s">
        <v>19</v>
      </c>
      <c r="C12" s="70" t="s">
        <v>20</v>
      </c>
      <c r="D12" s="45" t="s">
        <v>229</v>
      </c>
      <c r="E12" s="12">
        <f>380+16848</f>
        <v>17228</v>
      </c>
      <c r="F12" s="12">
        <f>79+301+18428</f>
        <v>18808</v>
      </c>
      <c r="G12" s="12">
        <f>+F12-E12</f>
        <v>1580</v>
      </c>
      <c r="H12" s="40"/>
      <c r="I12" s="29"/>
      <c r="J12" s="2" t="s">
        <v>15</v>
      </c>
    </row>
    <row r="13" spans="1:10" ht="15" customHeight="1">
      <c r="A13" s="43"/>
      <c r="B13" s="57"/>
      <c r="C13" s="70"/>
      <c r="D13" s="46"/>
      <c r="E13" s="13">
        <f>380+16848</f>
        <v>17228</v>
      </c>
      <c r="F13" s="13">
        <f>79+301+18428</f>
        <v>18808</v>
      </c>
      <c r="G13" s="14">
        <f>+F13-E13</f>
        <v>1580</v>
      </c>
      <c r="H13" s="41"/>
      <c r="I13" s="30"/>
      <c r="J13" s="2" t="s">
        <v>16</v>
      </c>
    </row>
    <row r="14" spans="1:10" ht="15" customHeight="1">
      <c r="A14" s="49" t="s">
        <v>22</v>
      </c>
      <c r="B14" s="50"/>
      <c r="C14" s="50"/>
      <c r="D14" s="51"/>
      <c r="E14" s="15">
        <f t="shared" ref="E14" si="0">E12</f>
        <v>17228</v>
      </c>
      <c r="F14" s="15">
        <f>F12</f>
        <v>18808</v>
      </c>
      <c r="G14" s="12">
        <f>+F14-E14</f>
        <v>1580</v>
      </c>
      <c r="H14" s="40"/>
      <c r="I14" s="27"/>
    </row>
    <row r="15" spans="1:10" ht="15" customHeight="1">
      <c r="A15" s="52"/>
      <c r="B15" s="53"/>
      <c r="C15" s="53"/>
      <c r="D15" s="55"/>
      <c r="E15" s="16">
        <f t="shared" ref="E15" si="1">E13</f>
        <v>17228</v>
      </c>
      <c r="F15" s="16">
        <f>F13</f>
        <v>18808</v>
      </c>
      <c r="G15" s="14">
        <f>+F15-E15</f>
        <v>1580</v>
      </c>
      <c r="H15" s="41"/>
      <c r="I15" s="17"/>
    </row>
    <row r="16" spans="1:10" ht="22.5" customHeight="1">
      <c r="A16" s="42">
        <v>2</v>
      </c>
      <c r="B16" s="38" t="s">
        <v>23</v>
      </c>
      <c r="C16" s="58" t="s">
        <v>209</v>
      </c>
      <c r="D16" s="45" t="s">
        <v>208</v>
      </c>
      <c r="E16" s="28">
        <v>7991038</v>
      </c>
      <c r="F16" s="28">
        <v>7697503</v>
      </c>
      <c r="G16" s="12">
        <f t="shared" ref="G16:G71" si="2">+F16-E16</f>
        <v>-293535</v>
      </c>
      <c r="H16" s="40"/>
      <c r="I16" s="27"/>
      <c r="J16" s="2" t="s">
        <v>15</v>
      </c>
    </row>
    <row r="17" spans="1:11" ht="22.5" customHeight="1">
      <c r="A17" s="43"/>
      <c r="B17" s="39"/>
      <c r="C17" s="59"/>
      <c r="D17" s="46"/>
      <c r="E17" s="16">
        <f>E16-939078</f>
        <v>7051960</v>
      </c>
      <c r="F17" s="16">
        <f>F16-588795</f>
        <v>7108708</v>
      </c>
      <c r="G17" s="14">
        <f t="shared" si="2"/>
        <v>56748</v>
      </c>
      <c r="H17" s="41"/>
      <c r="I17" s="17"/>
      <c r="J17" s="2" t="s">
        <v>16</v>
      </c>
    </row>
    <row r="18" spans="1:11" ht="15" customHeight="1">
      <c r="A18" s="42">
        <v>3</v>
      </c>
      <c r="B18" s="38" t="s">
        <v>23</v>
      </c>
      <c r="C18" s="62" t="s">
        <v>24</v>
      </c>
      <c r="D18" s="45" t="s">
        <v>25</v>
      </c>
      <c r="E18" s="15">
        <v>7297963</v>
      </c>
      <c r="F18" s="15">
        <v>3712768</v>
      </c>
      <c r="G18" s="12">
        <f t="shared" si="2"/>
        <v>-3585195</v>
      </c>
      <c r="H18" s="40"/>
      <c r="I18" s="27"/>
      <c r="J18" s="2" t="s">
        <v>15</v>
      </c>
    </row>
    <row r="19" spans="1:11" ht="15" customHeight="1">
      <c r="A19" s="43"/>
      <c r="B19" s="39"/>
      <c r="C19" s="62"/>
      <c r="D19" s="46"/>
      <c r="E19" s="16">
        <f>E18</f>
        <v>7297963</v>
      </c>
      <c r="F19" s="16">
        <f>F18</f>
        <v>3712768</v>
      </c>
      <c r="G19" s="14">
        <f t="shared" si="2"/>
        <v>-3585195</v>
      </c>
      <c r="H19" s="41"/>
      <c r="I19" s="17"/>
      <c r="J19" s="2" t="s">
        <v>16</v>
      </c>
    </row>
    <row r="20" spans="1:11" ht="15" customHeight="1">
      <c r="A20" s="49" t="s">
        <v>26</v>
      </c>
      <c r="B20" s="50"/>
      <c r="C20" s="50"/>
      <c r="D20" s="51"/>
      <c r="E20" s="15">
        <f t="shared" ref="E20" si="3">E16+E18</f>
        <v>15289001</v>
      </c>
      <c r="F20" s="15">
        <f t="shared" ref="F20" si="4">F16+F18</f>
        <v>11410271</v>
      </c>
      <c r="G20" s="12">
        <f t="shared" si="2"/>
        <v>-3878730</v>
      </c>
      <c r="H20" s="40"/>
      <c r="I20" s="27"/>
    </row>
    <row r="21" spans="1:11" ht="15" customHeight="1">
      <c r="A21" s="52"/>
      <c r="B21" s="53"/>
      <c r="C21" s="53"/>
      <c r="D21" s="55"/>
      <c r="E21" s="16">
        <f>E17+E19</f>
        <v>14349923</v>
      </c>
      <c r="F21" s="16">
        <f>F17+F19</f>
        <v>10821476</v>
      </c>
      <c r="G21" s="14">
        <f t="shared" si="2"/>
        <v>-3528447</v>
      </c>
      <c r="H21" s="41"/>
      <c r="I21" s="17"/>
    </row>
    <row r="22" spans="1:11" ht="15" customHeight="1">
      <c r="A22" s="42">
        <v>4</v>
      </c>
      <c r="B22" s="38" t="s">
        <v>27</v>
      </c>
      <c r="C22" s="63" t="s">
        <v>28</v>
      </c>
      <c r="D22" s="45" t="s">
        <v>230</v>
      </c>
      <c r="E22" s="15">
        <f>48403+1+115+5633+4209+4515+49180+69+2696</f>
        <v>114821</v>
      </c>
      <c r="F22" s="15">
        <f>46544+1+114+5982+4156+3840+11754+2810+69+46813</f>
        <v>122083</v>
      </c>
      <c r="G22" s="12">
        <f t="shared" si="2"/>
        <v>7262</v>
      </c>
      <c r="H22" s="40" t="s">
        <v>4</v>
      </c>
      <c r="I22" s="27"/>
      <c r="J22" s="2" t="s">
        <v>29</v>
      </c>
    </row>
    <row r="23" spans="1:11" ht="15" customHeight="1">
      <c r="A23" s="43"/>
      <c r="B23" s="39"/>
      <c r="C23" s="63"/>
      <c r="D23" s="46"/>
      <c r="E23" s="16">
        <f>E22-360</f>
        <v>114461</v>
      </c>
      <c r="F23" s="16">
        <f>F22-360-9</f>
        <v>121714</v>
      </c>
      <c r="G23" s="14">
        <f t="shared" si="2"/>
        <v>7253</v>
      </c>
      <c r="H23" s="41"/>
      <c r="I23" s="17"/>
      <c r="J23" s="2" t="s">
        <v>30</v>
      </c>
    </row>
    <row r="24" spans="1:11" ht="15" customHeight="1">
      <c r="A24" s="42">
        <v>5</v>
      </c>
      <c r="B24" s="38" t="s">
        <v>27</v>
      </c>
      <c r="C24" s="63" t="s">
        <v>31</v>
      </c>
      <c r="D24" s="45" t="s">
        <v>32</v>
      </c>
      <c r="E24" s="12">
        <f>1524+462+4541+264+0+1706+9465+108+5573+3007+6749+351+22305</f>
        <v>56055</v>
      </c>
      <c r="F24" s="12">
        <f>1756+477+81+4377+293+2095+8964+92+5581+2793+7357+351+22543</f>
        <v>56760</v>
      </c>
      <c r="G24" s="12">
        <f t="shared" si="2"/>
        <v>705</v>
      </c>
      <c r="H24" s="40" t="s">
        <v>33</v>
      </c>
      <c r="I24" s="27">
        <v>351</v>
      </c>
      <c r="J24" s="2" t="s">
        <v>29</v>
      </c>
      <c r="K24" s="2" t="s">
        <v>34</v>
      </c>
    </row>
    <row r="25" spans="1:11" ht="15" customHeight="1">
      <c r="A25" s="43"/>
      <c r="B25" s="39"/>
      <c r="C25" s="63"/>
      <c r="D25" s="46"/>
      <c r="E25" s="13">
        <f>E24-6320</f>
        <v>49735</v>
      </c>
      <c r="F25" s="13">
        <f>F24-7077</f>
        <v>49683</v>
      </c>
      <c r="G25" s="14">
        <f t="shared" si="2"/>
        <v>-52</v>
      </c>
      <c r="H25" s="41"/>
      <c r="I25" s="17">
        <v>351</v>
      </c>
      <c r="J25" s="2" t="s">
        <v>30</v>
      </c>
      <c r="K25" s="2" t="s">
        <v>35</v>
      </c>
    </row>
    <row r="26" spans="1:11" ht="22.5" customHeight="1">
      <c r="A26" s="42">
        <v>6</v>
      </c>
      <c r="B26" s="38" t="s">
        <v>27</v>
      </c>
      <c r="C26" s="63" t="s">
        <v>36</v>
      </c>
      <c r="D26" s="45" t="s">
        <v>37</v>
      </c>
      <c r="E26" s="15">
        <v>13959</v>
      </c>
      <c r="F26" s="15">
        <v>12635</v>
      </c>
      <c r="G26" s="12">
        <f t="shared" si="2"/>
        <v>-1324</v>
      </c>
      <c r="H26" s="40" t="s">
        <v>4</v>
      </c>
      <c r="I26" s="27"/>
      <c r="J26" s="2" t="s">
        <v>29</v>
      </c>
    </row>
    <row r="27" spans="1:11" ht="22.5" customHeight="1">
      <c r="A27" s="43"/>
      <c r="B27" s="39"/>
      <c r="C27" s="63"/>
      <c r="D27" s="46"/>
      <c r="E27" s="16">
        <f>E26-0</f>
        <v>13959</v>
      </c>
      <c r="F27" s="16">
        <f>F26</f>
        <v>12635</v>
      </c>
      <c r="G27" s="14">
        <f t="shared" si="2"/>
        <v>-1324</v>
      </c>
      <c r="H27" s="41"/>
      <c r="I27" s="17"/>
      <c r="J27" s="2" t="s">
        <v>30</v>
      </c>
    </row>
    <row r="28" spans="1:11" ht="15" customHeight="1">
      <c r="A28" s="42">
        <v>7</v>
      </c>
      <c r="B28" s="38" t="s">
        <v>27</v>
      </c>
      <c r="C28" s="63" t="s">
        <v>38</v>
      </c>
      <c r="D28" s="45" t="s">
        <v>39</v>
      </c>
      <c r="E28" s="15">
        <v>95370</v>
      </c>
      <c r="F28" s="15">
        <f>10660+4835+0+1683+14786+7393+481+185+1260+768+900+2588+771+4890+4080+43342+549+396</f>
        <v>99567</v>
      </c>
      <c r="G28" s="12">
        <f t="shared" si="2"/>
        <v>4197</v>
      </c>
      <c r="H28" s="40" t="s">
        <v>4</v>
      </c>
      <c r="I28" s="27"/>
      <c r="J28" s="2" t="s">
        <v>29</v>
      </c>
    </row>
    <row r="29" spans="1:11" ht="15" customHeight="1">
      <c r="A29" s="43"/>
      <c r="B29" s="39"/>
      <c r="C29" s="63"/>
      <c r="D29" s="46"/>
      <c r="E29" s="16">
        <f>E28-34</f>
        <v>95336</v>
      </c>
      <c r="F29" s="16">
        <f>F28-34</f>
        <v>99533</v>
      </c>
      <c r="G29" s="14">
        <f t="shared" si="2"/>
        <v>4197</v>
      </c>
      <c r="H29" s="41"/>
      <c r="I29" s="17"/>
      <c r="J29" s="2" t="s">
        <v>30</v>
      </c>
    </row>
    <row r="30" spans="1:11" ht="15" customHeight="1">
      <c r="A30" s="42">
        <v>8</v>
      </c>
      <c r="B30" s="38" t="s">
        <v>27</v>
      </c>
      <c r="C30" s="63" t="s">
        <v>77</v>
      </c>
      <c r="D30" s="45" t="s">
        <v>39</v>
      </c>
      <c r="E30" s="15">
        <f>33551+17888</f>
        <v>51439</v>
      </c>
      <c r="F30" s="15">
        <f>33377+18631</f>
        <v>52008</v>
      </c>
      <c r="G30" s="12">
        <f t="shared" si="2"/>
        <v>569</v>
      </c>
      <c r="H30" s="40" t="s">
        <v>4</v>
      </c>
      <c r="I30" s="27"/>
      <c r="J30" s="2" t="s">
        <v>29</v>
      </c>
    </row>
    <row r="31" spans="1:11" ht="15" customHeight="1">
      <c r="A31" s="43"/>
      <c r="B31" s="39"/>
      <c r="C31" s="63"/>
      <c r="D31" s="46"/>
      <c r="E31" s="16">
        <f>E30</f>
        <v>51439</v>
      </c>
      <c r="F31" s="16">
        <f>F30</f>
        <v>52008</v>
      </c>
      <c r="G31" s="14">
        <f t="shared" si="2"/>
        <v>569</v>
      </c>
      <c r="H31" s="41"/>
      <c r="I31" s="17"/>
      <c r="J31" s="2" t="s">
        <v>30</v>
      </c>
    </row>
    <row r="32" spans="1:11" ht="22.5" customHeight="1">
      <c r="A32" s="42">
        <v>9</v>
      </c>
      <c r="B32" s="38" t="s">
        <v>27</v>
      </c>
      <c r="C32" s="63" t="s">
        <v>40</v>
      </c>
      <c r="D32" s="45" t="s">
        <v>39</v>
      </c>
      <c r="E32" s="15">
        <f>4183+3192</f>
        <v>7375</v>
      </c>
      <c r="F32" s="15">
        <f>7454</f>
        <v>7454</v>
      </c>
      <c r="G32" s="12">
        <f t="shared" si="2"/>
        <v>79</v>
      </c>
      <c r="H32" s="40" t="s">
        <v>4</v>
      </c>
      <c r="I32" s="27"/>
      <c r="J32" s="2" t="s">
        <v>29</v>
      </c>
    </row>
    <row r="33" spans="1:10" ht="22.5" customHeight="1">
      <c r="A33" s="43"/>
      <c r="B33" s="39"/>
      <c r="C33" s="63"/>
      <c r="D33" s="46"/>
      <c r="E33" s="16">
        <f>E32</f>
        <v>7375</v>
      </c>
      <c r="F33" s="16">
        <f>F32</f>
        <v>7454</v>
      </c>
      <c r="G33" s="14">
        <f t="shared" si="2"/>
        <v>79</v>
      </c>
      <c r="H33" s="41"/>
      <c r="I33" s="17"/>
      <c r="J33" s="2" t="s">
        <v>30</v>
      </c>
    </row>
    <row r="34" spans="1:10" ht="15" customHeight="1">
      <c r="A34" s="42">
        <v>10</v>
      </c>
      <c r="B34" s="38" t="s">
        <v>27</v>
      </c>
      <c r="C34" s="63" t="s">
        <v>41</v>
      </c>
      <c r="D34" s="45" t="s">
        <v>39</v>
      </c>
      <c r="E34" s="15">
        <v>199813</v>
      </c>
      <c r="F34" s="15">
        <v>208345</v>
      </c>
      <c r="G34" s="12">
        <f t="shared" si="2"/>
        <v>8532</v>
      </c>
      <c r="H34" s="40" t="s">
        <v>4</v>
      </c>
      <c r="I34" s="27"/>
      <c r="J34" s="2" t="s">
        <v>29</v>
      </c>
    </row>
    <row r="35" spans="1:10" ht="15" customHeight="1">
      <c r="A35" s="43"/>
      <c r="B35" s="39"/>
      <c r="C35" s="63"/>
      <c r="D35" s="46"/>
      <c r="E35" s="16">
        <f>E34-0</f>
        <v>199813</v>
      </c>
      <c r="F35" s="16">
        <f>F34</f>
        <v>208345</v>
      </c>
      <c r="G35" s="14">
        <f t="shared" si="2"/>
        <v>8532</v>
      </c>
      <c r="H35" s="41"/>
      <c r="I35" s="17"/>
      <c r="J35" s="2" t="s">
        <v>30</v>
      </c>
    </row>
    <row r="36" spans="1:10" ht="33.75" customHeight="1">
      <c r="A36" s="42">
        <v>11</v>
      </c>
      <c r="B36" s="38" t="s">
        <v>27</v>
      </c>
      <c r="C36" s="63" t="s">
        <v>42</v>
      </c>
      <c r="D36" s="45" t="s">
        <v>239</v>
      </c>
      <c r="E36" s="15">
        <f>1082+786+2826+9320+2785+16489</f>
        <v>33288</v>
      </c>
      <c r="F36" s="15">
        <f>1292+777+2962+8532+2837+18383+478</f>
        <v>35261</v>
      </c>
      <c r="G36" s="12">
        <f t="shared" si="2"/>
        <v>1973</v>
      </c>
      <c r="H36" s="40" t="s">
        <v>4</v>
      </c>
      <c r="I36" s="27"/>
      <c r="J36" s="2" t="s">
        <v>29</v>
      </c>
    </row>
    <row r="37" spans="1:10" ht="33.75" customHeight="1">
      <c r="A37" s="43"/>
      <c r="B37" s="39"/>
      <c r="C37" s="63"/>
      <c r="D37" s="46"/>
      <c r="E37" s="16">
        <f>E36</f>
        <v>33288</v>
      </c>
      <c r="F37" s="16">
        <f>F36</f>
        <v>35261</v>
      </c>
      <c r="G37" s="14">
        <f t="shared" si="2"/>
        <v>1973</v>
      </c>
      <c r="H37" s="41"/>
      <c r="I37" s="17"/>
      <c r="J37" s="2" t="s">
        <v>30</v>
      </c>
    </row>
    <row r="38" spans="1:10" ht="22.5" customHeight="1">
      <c r="A38" s="42">
        <v>12</v>
      </c>
      <c r="B38" s="38" t="s">
        <v>27</v>
      </c>
      <c r="C38" s="63" t="s">
        <v>43</v>
      </c>
      <c r="D38" s="45" t="s">
        <v>44</v>
      </c>
      <c r="E38" s="12">
        <v>785815</v>
      </c>
      <c r="F38" s="12">
        <v>782180</v>
      </c>
      <c r="G38" s="12">
        <f t="shared" si="2"/>
        <v>-3635</v>
      </c>
      <c r="H38" s="40" t="s">
        <v>4</v>
      </c>
      <c r="I38" s="27"/>
      <c r="J38" s="2" t="s">
        <v>29</v>
      </c>
    </row>
    <row r="39" spans="1:10" ht="22.5" customHeight="1">
      <c r="A39" s="43"/>
      <c r="B39" s="39"/>
      <c r="C39" s="63"/>
      <c r="D39" s="46"/>
      <c r="E39" s="13">
        <f>E38</f>
        <v>785815</v>
      </c>
      <c r="F39" s="13">
        <f>F38</f>
        <v>782180</v>
      </c>
      <c r="G39" s="14">
        <f t="shared" si="2"/>
        <v>-3635</v>
      </c>
      <c r="H39" s="41"/>
      <c r="I39" s="17"/>
      <c r="J39" s="2" t="s">
        <v>30</v>
      </c>
    </row>
    <row r="40" spans="1:10" ht="15" customHeight="1">
      <c r="A40" s="42">
        <v>13</v>
      </c>
      <c r="B40" s="38" t="s">
        <v>27</v>
      </c>
      <c r="C40" s="71" t="s">
        <v>45</v>
      </c>
      <c r="D40" s="45" t="s">
        <v>25</v>
      </c>
      <c r="E40" s="15">
        <v>17692</v>
      </c>
      <c r="F40" s="15">
        <v>17977</v>
      </c>
      <c r="G40" s="12">
        <f t="shared" si="2"/>
        <v>285</v>
      </c>
      <c r="H40" s="40" t="s">
        <v>4</v>
      </c>
      <c r="I40" s="27"/>
      <c r="J40" s="2" t="s">
        <v>29</v>
      </c>
    </row>
    <row r="41" spans="1:10" ht="15" customHeight="1">
      <c r="A41" s="43"/>
      <c r="B41" s="39"/>
      <c r="C41" s="72"/>
      <c r="D41" s="46"/>
      <c r="E41" s="16">
        <f>E40</f>
        <v>17692</v>
      </c>
      <c r="F41" s="16">
        <f>F40</f>
        <v>17977</v>
      </c>
      <c r="G41" s="14">
        <f t="shared" si="2"/>
        <v>285</v>
      </c>
      <c r="H41" s="41"/>
      <c r="I41" s="17"/>
      <c r="J41" s="2" t="s">
        <v>30</v>
      </c>
    </row>
    <row r="42" spans="1:10" ht="15" customHeight="1">
      <c r="A42" s="42">
        <v>14</v>
      </c>
      <c r="B42" s="38" t="s">
        <v>27</v>
      </c>
      <c r="C42" s="71" t="s">
        <v>46</v>
      </c>
      <c r="D42" s="45" t="s">
        <v>25</v>
      </c>
      <c r="E42" s="15">
        <v>7691</v>
      </c>
      <c r="F42" s="15">
        <v>4336</v>
      </c>
      <c r="G42" s="12">
        <f t="shared" si="2"/>
        <v>-3355</v>
      </c>
      <c r="H42" s="40" t="s">
        <v>4</v>
      </c>
      <c r="I42" s="27"/>
      <c r="J42" s="2" t="s">
        <v>29</v>
      </c>
    </row>
    <row r="43" spans="1:10" ht="15" customHeight="1">
      <c r="A43" s="43"/>
      <c r="B43" s="39"/>
      <c r="C43" s="72"/>
      <c r="D43" s="46"/>
      <c r="E43" s="16">
        <f>E42</f>
        <v>7691</v>
      </c>
      <c r="F43" s="16">
        <f>F42</f>
        <v>4336</v>
      </c>
      <c r="G43" s="14">
        <f t="shared" si="2"/>
        <v>-3355</v>
      </c>
      <c r="H43" s="41"/>
      <c r="I43" s="17"/>
      <c r="J43" s="2" t="s">
        <v>30</v>
      </c>
    </row>
    <row r="44" spans="1:10" ht="26.25" customHeight="1">
      <c r="A44" s="42">
        <v>15</v>
      </c>
      <c r="B44" s="38" t="s">
        <v>27</v>
      </c>
      <c r="C44" s="71" t="s">
        <v>233</v>
      </c>
      <c r="D44" s="45" t="s">
        <v>231</v>
      </c>
      <c r="E44" s="15">
        <f>240340+284902+282676+1466</f>
        <v>809384</v>
      </c>
      <c r="F44" s="15">
        <f>289549+300075+285114+1526</f>
        <v>876264</v>
      </c>
      <c r="G44" s="12">
        <f t="shared" si="2"/>
        <v>66880</v>
      </c>
      <c r="H44" s="40" t="s">
        <v>4</v>
      </c>
      <c r="I44" s="27"/>
      <c r="J44" s="2" t="s">
        <v>29</v>
      </c>
    </row>
    <row r="45" spans="1:10" ht="26.25" customHeight="1">
      <c r="A45" s="43"/>
      <c r="B45" s="39"/>
      <c r="C45" s="72"/>
      <c r="D45" s="46"/>
      <c r="E45" s="16">
        <f>E44</f>
        <v>809384</v>
      </c>
      <c r="F45" s="16">
        <f>F44</f>
        <v>876264</v>
      </c>
      <c r="G45" s="14">
        <f t="shared" si="2"/>
        <v>66880</v>
      </c>
      <c r="H45" s="41"/>
      <c r="I45" s="17"/>
      <c r="J45" s="2" t="s">
        <v>30</v>
      </c>
    </row>
    <row r="46" spans="1:10" ht="22.5" customHeight="1">
      <c r="A46" s="42">
        <v>16</v>
      </c>
      <c r="B46" s="38" t="s">
        <v>27</v>
      </c>
      <c r="C46" s="71" t="s">
        <v>78</v>
      </c>
      <c r="D46" s="45" t="s">
        <v>44</v>
      </c>
      <c r="E46" s="15">
        <v>675759</v>
      </c>
      <c r="F46" s="15">
        <v>691101</v>
      </c>
      <c r="G46" s="12">
        <f t="shared" si="2"/>
        <v>15342</v>
      </c>
      <c r="H46" s="40" t="s">
        <v>4</v>
      </c>
      <c r="I46" s="27"/>
      <c r="J46" s="2" t="s">
        <v>29</v>
      </c>
    </row>
    <row r="47" spans="1:10" ht="22.5" customHeight="1">
      <c r="A47" s="43"/>
      <c r="B47" s="39"/>
      <c r="C47" s="72"/>
      <c r="D47" s="46"/>
      <c r="E47" s="16">
        <f>E46</f>
        <v>675759</v>
      </c>
      <c r="F47" s="16">
        <f>F46</f>
        <v>691101</v>
      </c>
      <c r="G47" s="14">
        <f t="shared" si="2"/>
        <v>15342</v>
      </c>
      <c r="H47" s="41"/>
      <c r="I47" s="17"/>
      <c r="J47" s="2" t="s">
        <v>30</v>
      </c>
    </row>
    <row r="48" spans="1:10" ht="15" customHeight="1">
      <c r="A48" s="42">
        <v>17</v>
      </c>
      <c r="B48" s="38" t="s">
        <v>27</v>
      </c>
      <c r="C48" s="71" t="s">
        <v>47</v>
      </c>
      <c r="D48" s="45" t="s">
        <v>48</v>
      </c>
      <c r="E48" s="15">
        <v>29415</v>
      </c>
      <c r="F48" s="15">
        <v>28299</v>
      </c>
      <c r="G48" s="12">
        <f t="shared" si="2"/>
        <v>-1116</v>
      </c>
      <c r="H48" s="40" t="s">
        <v>4</v>
      </c>
      <c r="I48" s="27"/>
      <c r="J48" s="2" t="s">
        <v>29</v>
      </c>
    </row>
    <row r="49" spans="1:10" ht="15" customHeight="1">
      <c r="A49" s="43"/>
      <c r="B49" s="39"/>
      <c r="C49" s="72"/>
      <c r="D49" s="46"/>
      <c r="E49" s="16">
        <f>E48</f>
        <v>29415</v>
      </c>
      <c r="F49" s="16">
        <f>F48</f>
        <v>28299</v>
      </c>
      <c r="G49" s="14">
        <f t="shared" si="2"/>
        <v>-1116</v>
      </c>
      <c r="H49" s="41"/>
      <c r="I49" s="17"/>
      <c r="J49" s="2" t="s">
        <v>30</v>
      </c>
    </row>
    <row r="50" spans="1:10" ht="15" customHeight="1">
      <c r="A50" s="42">
        <v>18</v>
      </c>
      <c r="B50" s="38" t="s">
        <v>27</v>
      </c>
      <c r="C50" s="71" t="s">
        <v>49</v>
      </c>
      <c r="D50" s="45" t="s">
        <v>50</v>
      </c>
      <c r="E50" s="15">
        <v>353410</v>
      </c>
      <c r="F50" s="15">
        <v>353410</v>
      </c>
      <c r="G50" s="12">
        <f t="shared" si="2"/>
        <v>0</v>
      </c>
      <c r="H50" s="40" t="s">
        <v>4</v>
      </c>
      <c r="I50" s="27"/>
      <c r="J50" s="2" t="s">
        <v>29</v>
      </c>
    </row>
    <row r="51" spans="1:10" ht="15" customHeight="1">
      <c r="A51" s="43"/>
      <c r="B51" s="39"/>
      <c r="C51" s="72"/>
      <c r="D51" s="46"/>
      <c r="E51" s="16">
        <f>E50</f>
        <v>353410</v>
      </c>
      <c r="F51" s="16">
        <f>F50</f>
        <v>353410</v>
      </c>
      <c r="G51" s="14">
        <f t="shared" si="2"/>
        <v>0</v>
      </c>
      <c r="H51" s="41"/>
      <c r="I51" s="17"/>
      <c r="J51" s="2" t="s">
        <v>30</v>
      </c>
    </row>
    <row r="52" spans="1:10" ht="22.5" customHeight="1">
      <c r="A52" s="42">
        <v>19</v>
      </c>
      <c r="B52" s="38" t="s">
        <v>27</v>
      </c>
      <c r="C52" s="71" t="s">
        <v>51</v>
      </c>
      <c r="D52" s="45" t="s">
        <v>232</v>
      </c>
      <c r="E52" s="15">
        <v>7004</v>
      </c>
      <c r="F52" s="15">
        <v>6972</v>
      </c>
      <c r="G52" s="12">
        <f t="shared" si="2"/>
        <v>-32</v>
      </c>
      <c r="H52" s="40" t="s">
        <v>4</v>
      </c>
      <c r="I52" s="27"/>
      <c r="J52" s="2" t="s">
        <v>29</v>
      </c>
    </row>
    <row r="53" spans="1:10" ht="22.5" customHeight="1">
      <c r="A53" s="43"/>
      <c r="B53" s="39"/>
      <c r="C53" s="72"/>
      <c r="D53" s="46"/>
      <c r="E53" s="16">
        <f>E52</f>
        <v>7004</v>
      </c>
      <c r="F53" s="16">
        <f>F52</f>
        <v>6972</v>
      </c>
      <c r="G53" s="14">
        <f t="shared" si="2"/>
        <v>-32</v>
      </c>
      <c r="H53" s="41"/>
      <c r="I53" s="17"/>
      <c r="J53" s="2" t="s">
        <v>30</v>
      </c>
    </row>
    <row r="54" spans="1:10" ht="22.5" customHeight="1">
      <c r="A54" s="42">
        <v>20</v>
      </c>
      <c r="B54" s="38" t="s">
        <v>27</v>
      </c>
      <c r="C54" s="71" t="s">
        <v>199</v>
      </c>
      <c r="D54" s="45" t="s">
        <v>44</v>
      </c>
      <c r="E54" s="15">
        <v>530</v>
      </c>
      <c r="F54" s="15">
        <v>874</v>
      </c>
      <c r="G54" s="12">
        <f t="shared" si="2"/>
        <v>344</v>
      </c>
      <c r="H54" s="40" t="s">
        <v>4</v>
      </c>
      <c r="I54" s="27"/>
      <c r="J54" s="2" t="s">
        <v>29</v>
      </c>
    </row>
    <row r="55" spans="1:10" ht="22.5" customHeight="1">
      <c r="A55" s="43"/>
      <c r="B55" s="39"/>
      <c r="C55" s="72"/>
      <c r="D55" s="46"/>
      <c r="E55" s="16">
        <f>E54</f>
        <v>530</v>
      </c>
      <c r="F55" s="16">
        <f>F54</f>
        <v>874</v>
      </c>
      <c r="G55" s="14">
        <f t="shared" si="2"/>
        <v>344</v>
      </c>
      <c r="H55" s="41"/>
      <c r="I55" s="17"/>
      <c r="J55" s="2" t="s">
        <v>30</v>
      </c>
    </row>
    <row r="56" spans="1:10" ht="15" customHeight="1">
      <c r="A56" s="42">
        <v>21</v>
      </c>
      <c r="B56" s="38" t="s">
        <v>27</v>
      </c>
      <c r="C56" s="60" t="s">
        <v>222</v>
      </c>
      <c r="D56" s="45" t="s">
        <v>223</v>
      </c>
      <c r="E56" s="15">
        <v>0</v>
      </c>
      <c r="F56" s="15">
        <v>208461</v>
      </c>
      <c r="G56" s="15">
        <f>+F56-E56</f>
        <v>208461</v>
      </c>
      <c r="H56" s="34" t="s">
        <v>4</v>
      </c>
      <c r="I56" s="33"/>
      <c r="J56" s="2" t="s">
        <v>29</v>
      </c>
    </row>
    <row r="57" spans="1:10" ht="15" customHeight="1">
      <c r="A57" s="43"/>
      <c r="B57" s="39"/>
      <c r="C57" s="61"/>
      <c r="D57" s="46"/>
      <c r="E57" s="16">
        <f>E56</f>
        <v>0</v>
      </c>
      <c r="F57" s="16">
        <f>F56</f>
        <v>208461</v>
      </c>
      <c r="G57" s="14">
        <f>+F57-E57</f>
        <v>208461</v>
      </c>
      <c r="H57" s="35"/>
      <c r="I57" s="17"/>
      <c r="J57" s="2" t="s">
        <v>30</v>
      </c>
    </row>
    <row r="58" spans="1:10" ht="15" customHeight="1">
      <c r="A58" s="49" t="s">
        <v>55</v>
      </c>
      <c r="B58" s="50"/>
      <c r="C58" s="50"/>
      <c r="D58" s="51"/>
      <c r="E58" s="15">
        <f>E22+E24+E26+E28+E30+E32+E34+E36+E38+E40+E42+E44+E46+E48+E50+E52+E56+E54</f>
        <v>3258820</v>
      </c>
      <c r="F58" s="15">
        <f>F22+F24+F26+F28+F30+F32+F34+F36+F38+F40+F42+F44+F46+F48+F50+F52+F56+F54</f>
        <v>3563987</v>
      </c>
      <c r="G58" s="15">
        <f t="shared" si="2"/>
        <v>305167</v>
      </c>
      <c r="H58" s="40"/>
      <c r="I58" s="33"/>
    </row>
    <row r="59" spans="1:10" ht="15" customHeight="1">
      <c r="A59" s="52"/>
      <c r="B59" s="53"/>
      <c r="C59" s="53"/>
      <c r="D59" s="55"/>
      <c r="E59" s="16">
        <f>E23+E25+E27+E29+E31+E33+E35+E37+E39+E41+E43+E45+E47+E49+E51+E53+E57+E55</f>
        <v>3252106</v>
      </c>
      <c r="F59" s="16">
        <f>F23+F25+F27+F29+F31+F33+F35+F37+F39+F41+F43+F45+F47+F49+F51+F53+F57+F55</f>
        <v>3556507</v>
      </c>
      <c r="G59" s="14">
        <f t="shared" si="2"/>
        <v>304401</v>
      </c>
      <c r="H59" s="41"/>
      <c r="I59" s="17"/>
    </row>
    <row r="60" spans="1:10" ht="15" customHeight="1">
      <c r="A60" s="42">
        <v>22</v>
      </c>
      <c r="B60" s="38" t="s">
        <v>56</v>
      </c>
      <c r="C60" s="81" t="s">
        <v>79</v>
      </c>
      <c r="D60" s="45" t="s">
        <v>39</v>
      </c>
      <c r="E60" s="12">
        <v>122206</v>
      </c>
      <c r="F60" s="12">
        <v>122087</v>
      </c>
      <c r="G60" s="12">
        <f t="shared" si="2"/>
        <v>-119</v>
      </c>
      <c r="H60" s="40"/>
      <c r="I60" s="27"/>
      <c r="J60" s="2" t="s">
        <v>29</v>
      </c>
    </row>
    <row r="61" spans="1:10" ht="15" customHeight="1">
      <c r="A61" s="43"/>
      <c r="B61" s="39"/>
      <c r="C61" s="82"/>
      <c r="D61" s="46"/>
      <c r="E61" s="13">
        <f>E60</f>
        <v>122206</v>
      </c>
      <c r="F61" s="13">
        <f>F60</f>
        <v>122087</v>
      </c>
      <c r="G61" s="14">
        <f t="shared" si="2"/>
        <v>-119</v>
      </c>
      <c r="H61" s="41"/>
      <c r="I61" s="17"/>
      <c r="J61" s="2" t="s">
        <v>30</v>
      </c>
    </row>
    <row r="62" spans="1:10" ht="15" customHeight="1">
      <c r="A62" s="42">
        <v>23</v>
      </c>
      <c r="B62" s="38" t="s">
        <v>56</v>
      </c>
      <c r="C62" s="81" t="s">
        <v>57</v>
      </c>
      <c r="D62" s="45" t="s">
        <v>53</v>
      </c>
      <c r="E62" s="15">
        <v>106579</v>
      </c>
      <c r="F62" s="15">
        <v>105670</v>
      </c>
      <c r="G62" s="12">
        <f t="shared" si="2"/>
        <v>-909</v>
      </c>
      <c r="H62" s="40"/>
      <c r="I62" s="27"/>
      <c r="J62" s="2" t="s">
        <v>29</v>
      </c>
    </row>
    <row r="63" spans="1:10" ht="15" customHeight="1">
      <c r="A63" s="43"/>
      <c r="B63" s="39"/>
      <c r="C63" s="82"/>
      <c r="D63" s="46"/>
      <c r="E63" s="16">
        <f>E62-39446</f>
        <v>67133</v>
      </c>
      <c r="F63" s="16">
        <f>F62-33263-5880</f>
        <v>66527</v>
      </c>
      <c r="G63" s="14">
        <f t="shared" si="2"/>
        <v>-606</v>
      </c>
      <c r="H63" s="41"/>
      <c r="I63" s="17"/>
      <c r="J63" s="2" t="s">
        <v>30</v>
      </c>
    </row>
    <row r="64" spans="1:10" ht="15" customHeight="1">
      <c r="A64" s="42">
        <v>24</v>
      </c>
      <c r="B64" s="38" t="s">
        <v>56</v>
      </c>
      <c r="C64" s="81" t="s">
        <v>58</v>
      </c>
      <c r="D64" s="45" t="s">
        <v>53</v>
      </c>
      <c r="E64" s="15">
        <f>44305+2495</f>
        <v>46800</v>
      </c>
      <c r="F64" s="15">
        <v>46463</v>
      </c>
      <c r="G64" s="12">
        <f t="shared" si="2"/>
        <v>-337</v>
      </c>
      <c r="H64" s="40"/>
      <c r="I64" s="27"/>
      <c r="J64" s="2" t="s">
        <v>29</v>
      </c>
    </row>
    <row r="65" spans="1:10" ht="15" customHeight="1">
      <c r="A65" s="43"/>
      <c r="B65" s="39"/>
      <c r="C65" s="82"/>
      <c r="D65" s="46"/>
      <c r="E65" s="16">
        <f>E64-2495</f>
        <v>44305</v>
      </c>
      <c r="F65" s="16">
        <f>F64</f>
        <v>46463</v>
      </c>
      <c r="G65" s="14">
        <f t="shared" si="2"/>
        <v>2158</v>
      </c>
      <c r="H65" s="41"/>
      <c r="I65" s="17"/>
      <c r="J65" s="2" t="s">
        <v>30</v>
      </c>
    </row>
    <row r="66" spans="1:10" ht="22.5" customHeight="1">
      <c r="A66" s="42">
        <v>25</v>
      </c>
      <c r="B66" s="38" t="s">
        <v>56</v>
      </c>
      <c r="C66" s="81" t="s">
        <v>59</v>
      </c>
      <c r="D66" s="45" t="s">
        <v>237</v>
      </c>
      <c r="E66" s="15">
        <f>42952+3789</f>
        <v>46741</v>
      </c>
      <c r="F66" s="15">
        <f>49189+3274+3552</f>
        <v>56015</v>
      </c>
      <c r="G66" s="12">
        <f t="shared" si="2"/>
        <v>9274</v>
      </c>
      <c r="H66" s="40"/>
      <c r="I66" s="27"/>
      <c r="J66" s="2" t="s">
        <v>29</v>
      </c>
    </row>
    <row r="67" spans="1:10" ht="22.5" customHeight="1">
      <c r="A67" s="43"/>
      <c r="B67" s="39"/>
      <c r="C67" s="82"/>
      <c r="D67" s="46"/>
      <c r="E67" s="16">
        <f>E66-71-3500</f>
        <v>43170</v>
      </c>
      <c r="F67" s="16">
        <f>F66-71-5000-3000-3552</f>
        <v>44392</v>
      </c>
      <c r="G67" s="14">
        <f t="shared" si="2"/>
        <v>1222</v>
      </c>
      <c r="H67" s="41"/>
      <c r="I67" s="17"/>
      <c r="J67" s="2" t="s">
        <v>30</v>
      </c>
    </row>
    <row r="68" spans="1:10" ht="15" customHeight="1">
      <c r="A68" s="42">
        <v>26</v>
      </c>
      <c r="B68" s="38" t="s">
        <v>56</v>
      </c>
      <c r="C68" s="81" t="s">
        <v>60</v>
      </c>
      <c r="D68" s="45" t="s">
        <v>234</v>
      </c>
      <c r="E68" s="15">
        <f>231+2193</f>
        <v>2424</v>
      </c>
      <c r="F68" s="15">
        <f>231+2193</f>
        <v>2424</v>
      </c>
      <c r="G68" s="12">
        <f t="shared" si="2"/>
        <v>0</v>
      </c>
      <c r="H68" s="40"/>
      <c r="I68" s="27"/>
      <c r="J68" s="2" t="s">
        <v>29</v>
      </c>
    </row>
    <row r="69" spans="1:10" ht="15" customHeight="1">
      <c r="A69" s="43"/>
      <c r="B69" s="39"/>
      <c r="C69" s="82"/>
      <c r="D69" s="46"/>
      <c r="E69" s="16">
        <f>E68</f>
        <v>2424</v>
      </c>
      <c r="F69" s="16">
        <f>F68</f>
        <v>2424</v>
      </c>
      <c r="G69" s="14">
        <f t="shared" si="2"/>
        <v>0</v>
      </c>
      <c r="H69" s="41"/>
      <c r="I69" s="17"/>
      <c r="J69" s="2" t="s">
        <v>30</v>
      </c>
    </row>
    <row r="70" spans="1:10" ht="15" customHeight="1">
      <c r="A70" s="42">
        <v>27</v>
      </c>
      <c r="B70" s="38" t="s">
        <v>56</v>
      </c>
      <c r="C70" s="44" t="s">
        <v>213</v>
      </c>
      <c r="D70" s="45" t="s">
        <v>235</v>
      </c>
      <c r="E70" s="15">
        <v>14651</v>
      </c>
      <c r="F70" s="15">
        <v>42783</v>
      </c>
      <c r="G70" s="12">
        <f t="shared" si="2"/>
        <v>28132</v>
      </c>
      <c r="H70" s="40"/>
      <c r="I70" s="27"/>
      <c r="J70" s="2" t="s">
        <v>29</v>
      </c>
    </row>
    <row r="71" spans="1:10" ht="15" customHeight="1">
      <c r="A71" s="43"/>
      <c r="B71" s="39"/>
      <c r="C71" s="44"/>
      <c r="D71" s="46"/>
      <c r="E71" s="16">
        <f>E70-2752</f>
        <v>11899</v>
      </c>
      <c r="F71" s="16">
        <f>F70-12173</f>
        <v>30610</v>
      </c>
      <c r="G71" s="14">
        <f t="shared" si="2"/>
        <v>18711</v>
      </c>
      <c r="H71" s="41"/>
      <c r="I71" s="17"/>
      <c r="J71" s="2" t="s">
        <v>30</v>
      </c>
    </row>
    <row r="72" spans="1:10" ht="15" customHeight="1">
      <c r="A72" s="42">
        <v>28</v>
      </c>
      <c r="B72" s="38" t="s">
        <v>56</v>
      </c>
      <c r="C72" s="44" t="s">
        <v>61</v>
      </c>
      <c r="D72" s="45" t="s">
        <v>184</v>
      </c>
      <c r="E72" s="12">
        <v>606</v>
      </c>
      <c r="F72" s="12">
        <v>705</v>
      </c>
      <c r="G72" s="12">
        <f t="shared" ref="G72:G115" si="5">+F72-E72</f>
        <v>99</v>
      </c>
      <c r="H72" s="40"/>
      <c r="I72" s="27"/>
      <c r="J72" s="2" t="s">
        <v>29</v>
      </c>
    </row>
    <row r="73" spans="1:10" ht="15" customHeight="1">
      <c r="A73" s="43"/>
      <c r="B73" s="39"/>
      <c r="C73" s="44"/>
      <c r="D73" s="46"/>
      <c r="E73" s="13">
        <f>E72</f>
        <v>606</v>
      </c>
      <c r="F73" s="13">
        <f>F72</f>
        <v>705</v>
      </c>
      <c r="G73" s="14">
        <f t="shared" si="5"/>
        <v>99</v>
      </c>
      <c r="H73" s="41"/>
      <c r="I73" s="17"/>
      <c r="J73" s="2" t="s">
        <v>30</v>
      </c>
    </row>
    <row r="74" spans="1:10" ht="22.5" customHeight="1">
      <c r="A74" s="42">
        <v>29</v>
      </c>
      <c r="B74" s="38" t="s">
        <v>56</v>
      </c>
      <c r="C74" s="44" t="s">
        <v>62</v>
      </c>
      <c r="D74" s="45" t="s">
        <v>238</v>
      </c>
      <c r="E74" s="15">
        <f>79845+730902</f>
        <v>810747</v>
      </c>
      <c r="F74" s="15">
        <f>78206+716645</f>
        <v>794851</v>
      </c>
      <c r="G74" s="12">
        <f t="shared" si="5"/>
        <v>-15896</v>
      </c>
      <c r="H74" s="40"/>
      <c r="I74" s="27"/>
      <c r="J74" s="2" t="s">
        <v>29</v>
      </c>
    </row>
    <row r="75" spans="1:10" ht="22.5" customHeight="1">
      <c r="A75" s="43"/>
      <c r="B75" s="39"/>
      <c r="C75" s="44"/>
      <c r="D75" s="46"/>
      <c r="E75" s="16">
        <f>E74</f>
        <v>810747</v>
      </c>
      <c r="F75" s="16">
        <f>F74</f>
        <v>794851</v>
      </c>
      <c r="G75" s="14">
        <f t="shared" si="5"/>
        <v>-15896</v>
      </c>
      <c r="H75" s="41"/>
      <c r="I75" s="17"/>
      <c r="J75" s="2" t="s">
        <v>30</v>
      </c>
    </row>
    <row r="76" spans="1:10" ht="15" customHeight="1">
      <c r="A76" s="42">
        <v>30</v>
      </c>
      <c r="B76" s="38" t="s">
        <v>56</v>
      </c>
      <c r="C76" s="44" t="s">
        <v>63</v>
      </c>
      <c r="D76" s="45" t="s">
        <v>226</v>
      </c>
      <c r="E76" s="15">
        <f>9295+4408</f>
        <v>13703</v>
      </c>
      <c r="F76" s="15">
        <f>13191+4408</f>
        <v>17599</v>
      </c>
      <c r="G76" s="12">
        <f t="shared" si="5"/>
        <v>3896</v>
      </c>
      <c r="H76" s="40"/>
      <c r="I76" s="27"/>
      <c r="J76" s="2" t="s">
        <v>29</v>
      </c>
    </row>
    <row r="77" spans="1:10" ht="15" customHeight="1">
      <c r="A77" s="43"/>
      <c r="B77" s="39"/>
      <c r="C77" s="44"/>
      <c r="D77" s="46"/>
      <c r="E77" s="16">
        <f>E76-1730</f>
        <v>11973</v>
      </c>
      <c r="F77" s="16">
        <f>F76-1080-650</f>
        <v>15869</v>
      </c>
      <c r="G77" s="14">
        <f t="shared" si="5"/>
        <v>3896</v>
      </c>
      <c r="H77" s="41"/>
      <c r="I77" s="17"/>
      <c r="J77" s="2" t="s">
        <v>30</v>
      </c>
    </row>
    <row r="78" spans="1:10" ht="15" customHeight="1">
      <c r="A78" s="42">
        <v>31</v>
      </c>
      <c r="B78" s="38" t="s">
        <v>56</v>
      </c>
      <c r="C78" s="44" t="s">
        <v>64</v>
      </c>
      <c r="D78" s="45" t="s">
        <v>53</v>
      </c>
      <c r="E78" s="15">
        <f>155313+1015</f>
        <v>156328</v>
      </c>
      <c r="F78" s="15">
        <f>158970+1015</f>
        <v>159985</v>
      </c>
      <c r="G78" s="12">
        <f t="shared" si="5"/>
        <v>3657</v>
      </c>
      <c r="H78" s="40"/>
      <c r="I78" s="27"/>
      <c r="J78" s="2" t="s">
        <v>29</v>
      </c>
    </row>
    <row r="79" spans="1:10" ht="15" customHeight="1">
      <c r="A79" s="43"/>
      <c r="B79" s="39"/>
      <c r="C79" s="44"/>
      <c r="D79" s="46"/>
      <c r="E79" s="16">
        <f>E78-37728</f>
        <v>118600</v>
      </c>
      <c r="F79" s="16">
        <f>F78-30614-7904</f>
        <v>121467</v>
      </c>
      <c r="G79" s="14">
        <f t="shared" si="5"/>
        <v>2867</v>
      </c>
      <c r="H79" s="41"/>
      <c r="I79" s="17"/>
      <c r="J79" s="2" t="s">
        <v>30</v>
      </c>
    </row>
    <row r="80" spans="1:10" ht="22.5" customHeight="1">
      <c r="A80" s="42">
        <v>32</v>
      </c>
      <c r="B80" s="38" t="s">
        <v>56</v>
      </c>
      <c r="C80" s="44" t="s">
        <v>65</v>
      </c>
      <c r="D80" s="45" t="s">
        <v>66</v>
      </c>
      <c r="E80" s="15">
        <v>644</v>
      </c>
      <c r="F80" s="15">
        <v>644</v>
      </c>
      <c r="G80" s="12">
        <f t="shared" si="5"/>
        <v>0</v>
      </c>
      <c r="H80" s="40"/>
      <c r="I80" s="27"/>
      <c r="J80" s="2" t="s">
        <v>29</v>
      </c>
    </row>
    <row r="81" spans="1:10" ht="22.5" customHeight="1">
      <c r="A81" s="43"/>
      <c r="B81" s="39"/>
      <c r="C81" s="44"/>
      <c r="D81" s="46"/>
      <c r="E81" s="16">
        <f>E80</f>
        <v>644</v>
      </c>
      <c r="F81" s="16">
        <f>F80</f>
        <v>644</v>
      </c>
      <c r="G81" s="14">
        <f t="shared" si="5"/>
        <v>0</v>
      </c>
      <c r="H81" s="41"/>
      <c r="I81" s="17"/>
      <c r="J81" s="2" t="s">
        <v>30</v>
      </c>
    </row>
    <row r="82" spans="1:10" ht="15" customHeight="1">
      <c r="A82" s="42">
        <v>33</v>
      </c>
      <c r="B82" s="38" t="s">
        <v>56</v>
      </c>
      <c r="C82" s="44" t="s">
        <v>185</v>
      </c>
      <c r="D82" s="45" t="s">
        <v>53</v>
      </c>
      <c r="E82" s="15">
        <v>245604</v>
      </c>
      <c r="F82" s="15">
        <v>252205</v>
      </c>
      <c r="G82" s="12">
        <f t="shared" si="5"/>
        <v>6601</v>
      </c>
      <c r="H82" s="40"/>
      <c r="I82" s="27"/>
      <c r="J82" s="2" t="s">
        <v>29</v>
      </c>
    </row>
    <row r="83" spans="1:10" ht="15" customHeight="1">
      <c r="A83" s="43"/>
      <c r="B83" s="39"/>
      <c r="C83" s="44"/>
      <c r="D83" s="46"/>
      <c r="E83" s="16">
        <f>E82</f>
        <v>245604</v>
      </c>
      <c r="F83" s="16">
        <f>F82</f>
        <v>252205</v>
      </c>
      <c r="G83" s="14">
        <f t="shared" si="5"/>
        <v>6601</v>
      </c>
      <c r="H83" s="41"/>
      <c r="I83" s="17"/>
      <c r="J83" s="2" t="s">
        <v>30</v>
      </c>
    </row>
    <row r="84" spans="1:10" ht="15" customHeight="1">
      <c r="A84" s="42">
        <v>34</v>
      </c>
      <c r="B84" s="38" t="s">
        <v>56</v>
      </c>
      <c r="C84" s="44" t="s">
        <v>67</v>
      </c>
      <c r="D84" s="45" t="s">
        <v>53</v>
      </c>
      <c r="E84" s="15">
        <v>24353</v>
      </c>
      <c r="F84" s="15">
        <f>21680+1798</f>
        <v>23478</v>
      </c>
      <c r="G84" s="12">
        <f t="shared" si="5"/>
        <v>-875</v>
      </c>
      <c r="H84" s="26"/>
      <c r="I84" s="27"/>
      <c r="J84" s="2" t="s">
        <v>29</v>
      </c>
    </row>
    <row r="85" spans="1:10" ht="15" customHeight="1">
      <c r="A85" s="43"/>
      <c r="B85" s="39"/>
      <c r="C85" s="44"/>
      <c r="D85" s="46"/>
      <c r="E85" s="16">
        <f>E84</f>
        <v>24353</v>
      </c>
      <c r="F85" s="16">
        <f>F84</f>
        <v>23478</v>
      </c>
      <c r="G85" s="14">
        <f t="shared" si="5"/>
        <v>-875</v>
      </c>
      <c r="H85" s="26"/>
      <c r="I85" s="17"/>
      <c r="J85" s="2" t="s">
        <v>30</v>
      </c>
    </row>
    <row r="86" spans="1:10" ht="15" customHeight="1">
      <c r="A86" s="42">
        <v>35</v>
      </c>
      <c r="B86" s="38" t="s">
        <v>56</v>
      </c>
      <c r="C86" s="44" t="s">
        <v>68</v>
      </c>
      <c r="D86" s="45" t="s">
        <v>69</v>
      </c>
      <c r="E86" s="15">
        <v>784254</v>
      </c>
      <c r="F86" s="15">
        <v>888542</v>
      </c>
      <c r="G86" s="12">
        <f t="shared" si="5"/>
        <v>104288</v>
      </c>
      <c r="H86" s="40"/>
      <c r="I86" s="27"/>
      <c r="J86" s="2" t="s">
        <v>29</v>
      </c>
    </row>
    <row r="87" spans="1:10" ht="15" customHeight="1">
      <c r="A87" s="43"/>
      <c r="B87" s="39"/>
      <c r="C87" s="44"/>
      <c r="D87" s="46"/>
      <c r="E87" s="16">
        <f>E86-149760</f>
        <v>634494</v>
      </c>
      <c r="F87" s="16">
        <f>F86-154080</f>
        <v>734462</v>
      </c>
      <c r="G87" s="14">
        <f t="shared" si="5"/>
        <v>99968</v>
      </c>
      <c r="H87" s="41"/>
      <c r="I87" s="17"/>
      <c r="J87" s="2" t="s">
        <v>30</v>
      </c>
    </row>
    <row r="88" spans="1:10" ht="15" customHeight="1">
      <c r="A88" s="42">
        <v>36</v>
      </c>
      <c r="B88" s="38" t="s">
        <v>56</v>
      </c>
      <c r="C88" s="44" t="s">
        <v>70</v>
      </c>
      <c r="D88" s="45" t="s">
        <v>53</v>
      </c>
      <c r="E88" s="12">
        <v>78972</v>
      </c>
      <c r="F88" s="12">
        <v>78181</v>
      </c>
      <c r="G88" s="12">
        <f t="shared" si="5"/>
        <v>-791</v>
      </c>
      <c r="H88" s="40"/>
      <c r="I88" s="27"/>
      <c r="J88" s="2" t="s">
        <v>29</v>
      </c>
    </row>
    <row r="89" spans="1:10" ht="15" customHeight="1">
      <c r="A89" s="43"/>
      <c r="B89" s="39"/>
      <c r="C89" s="44"/>
      <c r="D89" s="46"/>
      <c r="E89" s="13">
        <f>E88</f>
        <v>78972</v>
      </c>
      <c r="F89" s="13">
        <f>F88</f>
        <v>78181</v>
      </c>
      <c r="G89" s="14">
        <f t="shared" si="5"/>
        <v>-791</v>
      </c>
      <c r="H89" s="41"/>
      <c r="I89" s="17"/>
      <c r="J89" s="2" t="s">
        <v>30</v>
      </c>
    </row>
    <row r="90" spans="1:10" ht="15" customHeight="1">
      <c r="A90" s="42">
        <v>37</v>
      </c>
      <c r="B90" s="38" t="s">
        <v>56</v>
      </c>
      <c r="C90" s="44" t="s">
        <v>71</v>
      </c>
      <c r="D90" s="45" t="s">
        <v>53</v>
      </c>
      <c r="E90" s="15">
        <v>12679</v>
      </c>
      <c r="F90" s="15">
        <v>12679</v>
      </c>
      <c r="G90" s="12">
        <f t="shared" si="5"/>
        <v>0</v>
      </c>
      <c r="H90" s="40"/>
      <c r="I90" s="27"/>
      <c r="J90" s="2" t="s">
        <v>29</v>
      </c>
    </row>
    <row r="91" spans="1:10" ht="15" customHeight="1">
      <c r="A91" s="43"/>
      <c r="B91" s="39"/>
      <c r="C91" s="44"/>
      <c r="D91" s="46"/>
      <c r="E91" s="16">
        <f>E90-4226</f>
        <v>8453</v>
      </c>
      <c r="F91" s="16">
        <f>F90-4226</f>
        <v>8453</v>
      </c>
      <c r="G91" s="14">
        <f t="shared" si="5"/>
        <v>0</v>
      </c>
      <c r="H91" s="41"/>
      <c r="I91" s="17"/>
      <c r="J91" s="2" t="s">
        <v>30</v>
      </c>
    </row>
    <row r="92" spans="1:10" ht="15" customHeight="1">
      <c r="A92" s="42">
        <v>38</v>
      </c>
      <c r="B92" s="38" t="s">
        <v>56</v>
      </c>
      <c r="C92" s="44" t="s">
        <v>72</v>
      </c>
      <c r="D92" s="45" t="s">
        <v>48</v>
      </c>
      <c r="E92" s="15">
        <v>394</v>
      </c>
      <c r="F92" s="15">
        <v>370</v>
      </c>
      <c r="G92" s="12">
        <f t="shared" si="5"/>
        <v>-24</v>
      </c>
      <c r="H92" s="40"/>
      <c r="I92" s="27"/>
      <c r="J92" s="2" t="s">
        <v>29</v>
      </c>
    </row>
    <row r="93" spans="1:10" ht="15" customHeight="1">
      <c r="A93" s="43"/>
      <c r="B93" s="39"/>
      <c r="C93" s="44"/>
      <c r="D93" s="46"/>
      <c r="E93" s="16">
        <f>E92</f>
        <v>394</v>
      </c>
      <c r="F93" s="16">
        <f>F92</f>
        <v>370</v>
      </c>
      <c r="G93" s="14">
        <f t="shared" si="5"/>
        <v>-24</v>
      </c>
      <c r="H93" s="41"/>
      <c r="I93" s="17"/>
      <c r="J93" s="2" t="s">
        <v>30</v>
      </c>
    </row>
    <row r="94" spans="1:10" ht="15" customHeight="1">
      <c r="A94" s="42">
        <v>39</v>
      </c>
      <c r="B94" s="38" t="s">
        <v>56</v>
      </c>
      <c r="C94" s="44" t="s">
        <v>253</v>
      </c>
      <c r="D94" s="45" t="s">
        <v>54</v>
      </c>
      <c r="E94" s="15">
        <v>44246</v>
      </c>
      <c r="F94" s="15">
        <v>36116</v>
      </c>
      <c r="G94" s="12">
        <f t="shared" si="5"/>
        <v>-8130</v>
      </c>
      <c r="H94" s="40"/>
      <c r="I94" s="27"/>
      <c r="J94" s="2" t="s">
        <v>29</v>
      </c>
    </row>
    <row r="95" spans="1:10" ht="15" customHeight="1">
      <c r="A95" s="43"/>
      <c r="B95" s="39"/>
      <c r="C95" s="44"/>
      <c r="D95" s="46"/>
      <c r="E95" s="16">
        <f>E94</f>
        <v>44246</v>
      </c>
      <c r="F95" s="16">
        <f>F94</f>
        <v>36116</v>
      </c>
      <c r="G95" s="14">
        <f t="shared" si="5"/>
        <v>-8130</v>
      </c>
      <c r="H95" s="41"/>
      <c r="I95" s="17"/>
      <c r="J95" s="2" t="s">
        <v>30</v>
      </c>
    </row>
    <row r="96" spans="1:10" ht="22.5" customHeight="1">
      <c r="A96" s="42">
        <v>40</v>
      </c>
      <c r="B96" s="38" t="s">
        <v>56</v>
      </c>
      <c r="C96" s="44" t="s">
        <v>254</v>
      </c>
      <c r="D96" s="45" t="s">
        <v>53</v>
      </c>
      <c r="E96" s="15">
        <v>280831</v>
      </c>
      <c r="F96" s="15">
        <v>285854</v>
      </c>
      <c r="G96" s="12">
        <f t="shared" si="5"/>
        <v>5023</v>
      </c>
      <c r="H96" s="40"/>
      <c r="I96" s="27"/>
      <c r="J96" s="2" t="s">
        <v>29</v>
      </c>
    </row>
    <row r="97" spans="1:10" ht="22.5" customHeight="1">
      <c r="A97" s="43"/>
      <c r="B97" s="39"/>
      <c r="C97" s="44"/>
      <c r="D97" s="46"/>
      <c r="E97" s="16">
        <f>E96-59557</f>
        <v>221274</v>
      </c>
      <c r="F97" s="16">
        <f>F96-60697</f>
        <v>225157</v>
      </c>
      <c r="G97" s="14">
        <f t="shared" si="5"/>
        <v>3883</v>
      </c>
      <c r="H97" s="41"/>
      <c r="I97" s="17"/>
      <c r="J97" s="2" t="s">
        <v>30</v>
      </c>
    </row>
    <row r="98" spans="1:10" ht="15" customHeight="1">
      <c r="A98" s="42">
        <v>41</v>
      </c>
      <c r="B98" s="38" t="s">
        <v>56</v>
      </c>
      <c r="C98" s="44" t="s">
        <v>74</v>
      </c>
      <c r="D98" s="45" t="s">
        <v>53</v>
      </c>
      <c r="E98" s="12">
        <v>8127</v>
      </c>
      <c r="F98" s="12">
        <v>8127</v>
      </c>
      <c r="G98" s="12">
        <f t="shared" si="5"/>
        <v>0</v>
      </c>
      <c r="H98" s="40"/>
      <c r="I98" s="27"/>
      <c r="J98" s="2" t="s">
        <v>29</v>
      </c>
    </row>
    <row r="99" spans="1:10" ht="15" customHeight="1">
      <c r="A99" s="43"/>
      <c r="B99" s="39"/>
      <c r="C99" s="44"/>
      <c r="D99" s="46"/>
      <c r="E99" s="13">
        <f>E98</f>
        <v>8127</v>
      </c>
      <c r="F99" s="13">
        <f>F98</f>
        <v>8127</v>
      </c>
      <c r="G99" s="14">
        <f t="shared" si="5"/>
        <v>0</v>
      </c>
      <c r="H99" s="41"/>
      <c r="I99" s="17"/>
      <c r="J99" s="2" t="s">
        <v>30</v>
      </c>
    </row>
    <row r="100" spans="1:10" ht="15" customHeight="1">
      <c r="A100" s="42">
        <v>42</v>
      </c>
      <c r="B100" s="38" t="s">
        <v>56</v>
      </c>
      <c r="C100" s="44" t="s">
        <v>75</v>
      </c>
      <c r="D100" s="45" t="s">
        <v>53</v>
      </c>
      <c r="E100" s="15">
        <v>438232</v>
      </c>
      <c r="F100" s="15">
        <v>445078</v>
      </c>
      <c r="G100" s="12">
        <f t="shared" si="5"/>
        <v>6846</v>
      </c>
      <c r="H100" s="40"/>
      <c r="I100" s="27"/>
      <c r="J100" s="2" t="s">
        <v>29</v>
      </c>
    </row>
    <row r="101" spans="1:10" ht="15" customHeight="1">
      <c r="A101" s="43"/>
      <c r="B101" s="39"/>
      <c r="C101" s="44"/>
      <c r="D101" s="46"/>
      <c r="E101" s="16">
        <f>E100-72180</f>
        <v>366052</v>
      </c>
      <c r="F101" s="16">
        <f>F100-74333</f>
        <v>370745</v>
      </c>
      <c r="G101" s="14">
        <f t="shared" si="5"/>
        <v>4693</v>
      </c>
      <c r="H101" s="41"/>
      <c r="I101" s="17"/>
      <c r="J101" s="2" t="s">
        <v>30</v>
      </c>
    </row>
    <row r="102" spans="1:10" ht="22.5" customHeight="1">
      <c r="A102" s="42">
        <v>43</v>
      </c>
      <c r="B102" s="38" t="s">
        <v>56</v>
      </c>
      <c r="C102" s="44" t="s">
        <v>186</v>
      </c>
      <c r="D102" s="45" t="s">
        <v>53</v>
      </c>
      <c r="E102" s="15">
        <v>167545</v>
      </c>
      <c r="F102" s="15">
        <v>224025</v>
      </c>
      <c r="G102" s="12">
        <f t="shared" si="5"/>
        <v>56480</v>
      </c>
      <c r="H102" s="40"/>
      <c r="I102" s="27"/>
      <c r="J102" s="2" t="s">
        <v>29</v>
      </c>
    </row>
    <row r="103" spans="1:10" ht="22.5" customHeight="1">
      <c r="A103" s="43"/>
      <c r="B103" s="39"/>
      <c r="C103" s="44"/>
      <c r="D103" s="46"/>
      <c r="E103" s="16">
        <f>E102-55848</f>
        <v>111697</v>
      </c>
      <c r="F103" s="16">
        <f>F102-74675</f>
        <v>149350</v>
      </c>
      <c r="G103" s="14">
        <f t="shared" si="5"/>
        <v>37653</v>
      </c>
      <c r="H103" s="41"/>
      <c r="I103" s="17"/>
      <c r="J103" s="2" t="s">
        <v>30</v>
      </c>
    </row>
    <row r="104" spans="1:10" ht="15" customHeight="1">
      <c r="A104" s="42">
        <v>44</v>
      </c>
      <c r="B104" s="38" t="s">
        <v>56</v>
      </c>
      <c r="C104" s="44" t="s">
        <v>214</v>
      </c>
      <c r="D104" s="45" t="s">
        <v>53</v>
      </c>
      <c r="E104" s="15">
        <f>90646</f>
        <v>90646</v>
      </c>
      <c r="F104" s="15">
        <v>89926</v>
      </c>
      <c r="G104" s="12">
        <f t="shared" si="5"/>
        <v>-720</v>
      </c>
      <c r="H104" s="40"/>
      <c r="I104" s="27"/>
      <c r="J104" s="2" t="s">
        <v>29</v>
      </c>
    </row>
    <row r="105" spans="1:10" ht="15" customHeight="1">
      <c r="A105" s="43"/>
      <c r="B105" s="39"/>
      <c r="C105" s="44"/>
      <c r="D105" s="46"/>
      <c r="E105" s="16">
        <f>E104-24211</f>
        <v>66435</v>
      </c>
      <c r="F105" s="16">
        <f>F104-24968</f>
        <v>64958</v>
      </c>
      <c r="G105" s="14">
        <f t="shared" si="5"/>
        <v>-1477</v>
      </c>
      <c r="H105" s="41"/>
      <c r="I105" s="17"/>
      <c r="J105" s="2" t="s">
        <v>30</v>
      </c>
    </row>
    <row r="106" spans="1:10" ht="15" customHeight="1">
      <c r="A106" s="42">
        <v>45</v>
      </c>
      <c r="B106" s="38" t="s">
        <v>56</v>
      </c>
      <c r="C106" s="44" t="s">
        <v>193</v>
      </c>
      <c r="D106" s="45" t="s">
        <v>53</v>
      </c>
      <c r="E106" s="15">
        <v>250</v>
      </c>
      <c r="F106" s="15">
        <v>340</v>
      </c>
      <c r="G106" s="12">
        <f t="shared" ref="G106:G107" si="6">+F106-E106</f>
        <v>90</v>
      </c>
      <c r="H106" s="40"/>
      <c r="I106" s="27"/>
      <c r="J106" s="2" t="s">
        <v>29</v>
      </c>
    </row>
    <row r="107" spans="1:10" ht="15" customHeight="1">
      <c r="A107" s="43"/>
      <c r="B107" s="39"/>
      <c r="C107" s="44"/>
      <c r="D107" s="46"/>
      <c r="E107" s="16">
        <f>E106</f>
        <v>250</v>
      </c>
      <c r="F107" s="16">
        <f>F106</f>
        <v>340</v>
      </c>
      <c r="G107" s="14">
        <f t="shared" si="6"/>
        <v>90</v>
      </c>
      <c r="H107" s="41"/>
      <c r="I107" s="17"/>
      <c r="J107" s="2" t="s">
        <v>30</v>
      </c>
    </row>
    <row r="108" spans="1:10" ht="22.5" customHeight="1">
      <c r="A108" s="42">
        <v>46</v>
      </c>
      <c r="B108" s="38" t="s">
        <v>56</v>
      </c>
      <c r="C108" s="44" t="s">
        <v>76</v>
      </c>
      <c r="D108" s="45" t="s">
        <v>44</v>
      </c>
      <c r="E108" s="15">
        <v>627585</v>
      </c>
      <c r="F108" s="15">
        <v>621305</v>
      </c>
      <c r="G108" s="12">
        <f t="shared" si="5"/>
        <v>-6280</v>
      </c>
      <c r="H108" s="40"/>
      <c r="I108" s="27"/>
      <c r="J108" s="2" t="s">
        <v>29</v>
      </c>
    </row>
    <row r="109" spans="1:10" ht="22.5" customHeight="1">
      <c r="A109" s="43"/>
      <c r="B109" s="39"/>
      <c r="C109" s="44"/>
      <c r="D109" s="46"/>
      <c r="E109" s="16">
        <f>E108</f>
        <v>627585</v>
      </c>
      <c r="F109" s="16">
        <f>F108</f>
        <v>621305</v>
      </c>
      <c r="G109" s="14">
        <f t="shared" si="5"/>
        <v>-6280</v>
      </c>
      <c r="H109" s="41"/>
      <c r="I109" s="17"/>
      <c r="J109" s="2" t="s">
        <v>30</v>
      </c>
    </row>
    <row r="110" spans="1:10" ht="26.25" customHeight="1">
      <c r="A110" s="42">
        <v>47</v>
      </c>
      <c r="B110" s="38" t="s">
        <v>56</v>
      </c>
      <c r="C110" s="44" t="s">
        <v>80</v>
      </c>
      <c r="D110" s="45" t="s">
        <v>53</v>
      </c>
      <c r="E110" s="15">
        <v>308915</v>
      </c>
      <c r="F110" s="15">
        <v>318602</v>
      </c>
      <c r="G110" s="12">
        <f t="shared" si="5"/>
        <v>9687</v>
      </c>
      <c r="H110" s="40"/>
      <c r="I110" s="27"/>
      <c r="J110" s="2" t="s">
        <v>29</v>
      </c>
    </row>
    <row r="111" spans="1:10" ht="26.25" customHeight="1">
      <c r="A111" s="43"/>
      <c r="B111" s="39"/>
      <c r="C111" s="44"/>
      <c r="D111" s="46"/>
      <c r="E111" s="16">
        <f>E110-102530</f>
        <v>206385</v>
      </c>
      <c r="F111" s="16">
        <f>F110-105759</f>
        <v>212843</v>
      </c>
      <c r="G111" s="14">
        <f t="shared" si="5"/>
        <v>6458</v>
      </c>
      <c r="H111" s="41"/>
      <c r="I111" s="17"/>
      <c r="J111" s="2" t="s">
        <v>30</v>
      </c>
    </row>
    <row r="112" spans="1:10" ht="15" customHeight="1">
      <c r="A112" s="42">
        <v>48</v>
      </c>
      <c r="B112" s="38" t="s">
        <v>56</v>
      </c>
      <c r="C112" s="44" t="s">
        <v>195</v>
      </c>
      <c r="D112" s="45" t="s">
        <v>196</v>
      </c>
      <c r="E112" s="15">
        <v>7950</v>
      </c>
      <c r="F112" s="15">
        <v>4803</v>
      </c>
      <c r="G112" s="12">
        <f t="shared" si="5"/>
        <v>-3147</v>
      </c>
      <c r="H112" s="40"/>
      <c r="I112" s="27"/>
      <c r="J112" s="2" t="s">
        <v>29</v>
      </c>
    </row>
    <row r="113" spans="1:10" ht="15" customHeight="1">
      <c r="A113" s="43"/>
      <c r="B113" s="39"/>
      <c r="C113" s="44"/>
      <c r="D113" s="46"/>
      <c r="E113" s="16">
        <f>E112-1794</f>
        <v>6156</v>
      </c>
      <c r="F113" s="16">
        <f>F112</f>
        <v>4803</v>
      </c>
      <c r="G113" s="14">
        <f t="shared" si="5"/>
        <v>-1353</v>
      </c>
      <c r="H113" s="41"/>
      <c r="I113" s="17"/>
      <c r="J113" s="2" t="s">
        <v>30</v>
      </c>
    </row>
    <row r="114" spans="1:10" ht="15" customHeight="1">
      <c r="A114" s="42">
        <v>49</v>
      </c>
      <c r="B114" s="38" t="s">
        <v>56</v>
      </c>
      <c r="C114" s="44" t="s">
        <v>197</v>
      </c>
      <c r="D114" s="45" t="s">
        <v>196</v>
      </c>
      <c r="E114" s="15">
        <v>6529</v>
      </c>
      <c r="F114" s="15">
        <v>2232</v>
      </c>
      <c r="G114" s="12">
        <f t="shared" si="5"/>
        <v>-4297</v>
      </c>
      <c r="H114" s="26"/>
      <c r="I114" s="27"/>
      <c r="J114" s="2" t="s">
        <v>29</v>
      </c>
    </row>
    <row r="115" spans="1:10" ht="15" customHeight="1">
      <c r="A115" s="43"/>
      <c r="B115" s="39"/>
      <c r="C115" s="44"/>
      <c r="D115" s="46"/>
      <c r="E115" s="16">
        <f>E114</f>
        <v>6529</v>
      </c>
      <c r="F115" s="16">
        <f>F114</f>
        <v>2232</v>
      </c>
      <c r="G115" s="14">
        <f t="shared" si="5"/>
        <v>-4297</v>
      </c>
      <c r="H115" s="26"/>
      <c r="I115" s="17"/>
      <c r="J115" s="2" t="s">
        <v>30</v>
      </c>
    </row>
    <row r="116" spans="1:10" ht="15" customHeight="1">
      <c r="A116" s="42">
        <v>50</v>
      </c>
      <c r="B116" s="38" t="s">
        <v>56</v>
      </c>
      <c r="C116" s="44" t="s">
        <v>201</v>
      </c>
      <c r="D116" s="45" t="s">
        <v>210</v>
      </c>
      <c r="E116" s="15">
        <v>553748</v>
      </c>
      <c r="F116" s="15">
        <v>570936</v>
      </c>
      <c r="G116" s="12">
        <f t="shared" ref="G116:G127" si="7">+F116-E116</f>
        <v>17188</v>
      </c>
      <c r="H116" s="40" t="s">
        <v>4</v>
      </c>
      <c r="I116" s="27"/>
      <c r="J116" s="2" t="s">
        <v>29</v>
      </c>
    </row>
    <row r="117" spans="1:10" ht="15" customHeight="1">
      <c r="A117" s="43"/>
      <c r="B117" s="39"/>
      <c r="C117" s="44"/>
      <c r="D117" s="46"/>
      <c r="E117" s="16">
        <f>E116-45013</f>
        <v>508735</v>
      </c>
      <c r="F117" s="16">
        <f>F116-46431</f>
        <v>524505</v>
      </c>
      <c r="G117" s="14">
        <f t="shared" si="7"/>
        <v>15770</v>
      </c>
      <c r="H117" s="41"/>
      <c r="I117" s="17"/>
      <c r="J117" s="2" t="s">
        <v>30</v>
      </c>
    </row>
    <row r="118" spans="1:10" ht="22.5" customHeight="1">
      <c r="A118" s="42">
        <v>51</v>
      </c>
      <c r="B118" s="38" t="s">
        <v>56</v>
      </c>
      <c r="C118" s="63" t="s">
        <v>215</v>
      </c>
      <c r="D118" s="45" t="s">
        <v>53</v>
      </c>
      <c r="E118" s="15">
        <v>0</v>
      </c>
      <c r="F118" s="15">
        <v>169528</v>
      </c>
      <c r="G118" s="12">
        <f t="shared" si="7"/>
        <v>169528</v>
      </c>
      <c r="H118" s="40"/>
      <c r="I118" s="27"/>
      <c r="J118" s="2" t="s">
        <v>29</v>
      </c>
    </row>
    <row r="119" spans="1:10" ht="22.5" customHeight="1">
      <c r="A119" s="43"/>
      <c r="B119" s="39"/>
      <c r="C119" s="63"/>
      <c r="D119" s="46"/>
      <c r="E119" s="16">
        <f>E118</f>
        <v>0</v>
      </c>
      <c r="F119" s="16">
        <f>F118-56316</f>
        <v>113212</v>
      </c>
      <c r="G119" s="14">
        <f t="shared" si="7"/>
        <v>113212</v>
      </c>
      <c r="H119" s="41"/>
      <c r="I119" s="17"/>
      <c r="J119" s="2" t="s">
        <v>30</v>
      </c>
    </row>
    <row r="120" spans="1:10" ht="15" customHeight="1">
      <c r="A120" s="42">
        <v>52</v>
      </c>
      <c r="B120" s="38" t="s">
        <v>56</v>
      </c>
      <c r="C120" s="83" t="s">
        <v>216</v>
      </c>
      <c r="D120" s="45" t="s">
        <v>53</v>
      </c>
      <c r="E120" s="15">
        <v>0</v>
      </c>
      <c r="F120" s="15">
        <v>57193</v>
      </c>
      <c r="G120" s="12">
        <f t="shared" si="7"/>
        <v>57193</v>
      </c>
      <c r="H120" s="40"/>
      <c r="I120" s="27"/>
      <c r="J120" s="2" t="s">
        <v>29</v>
      </c>
    </row>
    <row r="121" spans="1:10" ht="15" customHeight="1">
      <c r="A121" s="43"/>
      <c r="B121" s="39"/>
      <c r="C121" s="83"/>
      <c r="D121" s="46"/>
      <c r="E121" s="16">
        <f>E120</f>
        <v>0</v>
      </c>
      <c r="F121" s="16">
        <f>F120-18888</f>
        <v>38305</v>
      </c>
      <c r="G121" s="14">
        <f t="shared" si="7"/>
        <v>38305</v>
      </c>
      <c r="H121" s="41"/>
      <c r="I121" s="17"/>
      <c r="J121" s="2" t="s">
        <v>30</v>
      </c>
    </row>
    <row r="122" spans="1:10" ht="15" customHeight="1">
      <c r="A122" s="42">
        <v>53</v>
      </c>
      <c r="B122" s="38" t="s">
        <v>56</v>
      </c>
      <c r="C122" s="83" t="s">
        <v>217</v>
      </c>
      <c r="D122" s="45" t="s">
        <v>53</v>
      </c>
      <c r="E122" s="15">
        <v>0</v>
      </c>
      <c r="F122" s="15">
        <v>1117</v>
      </c>
      <c r="G122" s="12">
        <f t="shared" si="7"/>
        <v>1117</v>
      </c>
      <c r="H122" s="40"/>
      <c r="I122" s="27"/>
      <c r="J122" s="2" t="s">
        <v>29</v>
      </c>
    </row>
    <row r="123" spans="1:10" ht="15" customHeight="1">
      <c r="A123" s="43"/>
      <c r="B123" s="39"/>
      <c r="C123" s="83"/>
      <c r="D123" s="46"/>
      <c r="E123" s="16">
        <f>E122</f>
        <v>0</v>
      </c>
      <c r="F123" s="16">
        <f>F122</f>
        <v>1117</v>
      </c>
      <c r="G123" s="14">
        <f t="shared" si="7"/>
        <v>1117</v>
      </c>
      <c r="H123" s="41"/>
      <c r="I123" s="17"/>
      <c r="J123" s="2" t="s">
        <v>30</v>
      </c>
    </row>
    <row r="124" spans="1:10" ht="15" customHeight="1">
      <c r="A124" s="42">
        <v>54</v>
      </c>
      <c r="B124" s="38" t="s">
        <v>56</v>
      </c>
      <c r="C124" s="63" t="s">
        <v>218</v>
      </c>
      <c r="D124" s="45" t="s">
        <v>219</v>
      </c>
      <c r="E124" s="12">
        <v>0</v>
      </c>
      <c r="F124" s="12">
        <v>10990</v>
      </c>
      <c r="G124" s="12">
        <f t="shared" si="7"/>
        <v>10990</v>
      </c>
      <c r="H124" s="40"/>
      <c r="I124" s="27"/>
      <c r="J124" s="2" t="s">
        <v>29</v>
      </c>
    </row>
    <row r="125" spans="1:10" ht="15" customHeight="1">
      <c r="A125" s="43"/>
      <c r="B125" s="39"/>
      <c r="C125" s="63"/>
      <c r="D125" s="46"/>
      <c r="E125" s="13">
        <f>E124</f>
        <v>0</v>
      </c>
      <c r="F125" s="13">
        <f>F124-3617</f>
        <v>7373</v>
      </c>
      <c r="G125" s="14">
        <f t="shared" si="7"/>
        <v>7373</v>
      </c>
      <c r="H125" s="41"/>
      <c r="I125" s="17"/>
      <c r="J125" s="2" t="s">
        <v>30</v>
      </c>
    </row>
    <row r="126" spans="1:10" ht="15" customHeight="1">
      <c r="A126" s="42">
        <v>55</v>
      </c>
      <c r="B126" s="38" t="s">
        <v>56</v>
      </c>
      <c r="C126" s="63" t="s">
        <v>220</v>
      </c>
      <c r="D126" s="45" t="s">
        <v>221</v>
      </c>
      <c r="E126" s="15">
        <v>0</v>
      </c>
      <c r="F126" s="15">
        <v>54648</v>
      </c>
      <c r="G126" s="12">
        <f t="shared" si="7"/>
        <v>54648</v>
      </c>
      <c r="H126" s="40"/>
      <c r="I126" s="27"/>
      <c r="J126" s="2" t="s">
        <v>29</v>
      </c>
    </row>
    <row r="127" spans="1:10" ht="15" customHeight="1">
      <c r="A127" s="43"/>
      <c r="B127" s="39"/>
      <c r="C127" s="63"/>
      <c r="D127" s="46"/>
      <c r="E127" s="16">
        <f>E126</f>
        <v>0</v>
      </c>
      <c r="F127" s="16">
        <f>F126</f>
        <v>54648</v>
      </c>
      <c r="G127" s="14">
        <f t="shared" si="7"/>
        <v>54648</v>
      </c>
      <c r="H127" s="41"/>
      <c r="I127" s="17"/>
      <c r="J127" s="2" t="s">
        <v>30</v>
      </c>
    </row>
    <row r="128" spans="1:10" ht="22.5" customHeight="1">
      <c r="A128" s="42">
        <v>56</v>
      </c>
      <c r="B128" s="38" t="s">
        <v>56</v>
      </c>
      <c r="C128" s="47" t="s">
        <v>255</v>
      </c>
      <c r="D128" s="45" t="s">
        <v>44</v>
      </c>
      <c r="E128" s="15">
        <v>686</v>
      </c>
      <c r="F128" s="15">
        <v>0</v>
      </c>
      <c r="G128" s="12">
        <f>+F128-E128</f>
        <v>-686</v>
      </c>
      <c r="H128" s="40"/>
      <c r="I128" s="27"/>
      <c r="J128" s="2" t="s">
        <v>29</v>
      </c>
    </row>
    <row r="129" spans="1:10" ht="22.5" customHeight="1">
      <c r="A129" s="43"/>
      <c r="B129" s="39"/>
      <c r="C129" s="47"/>
      <c r="D129" s="46"/>
      <c r="E129" s="16">
        <f>E128</f>
        <v>686</v>
      </c>
      <c r="F129" s="16">
        <v>0</v>
      </c>
      <c r="G129" s="14">
        <f>+F129-E129</f>
        <v>-686</v>
      </c>
      <c r="H129" s="41"/>
      <c r="I129" s="17"/>
      <c r="J129" s="2" t="s">
        <v>30</v>
      </c>
    </row>
    <row r="130" spans="1:10" ht="15" customHeight="1">
      <c r="A130" s="49" t="s">
        <v>81</v>
      </c>
      <c r="B130" s="50"/>
      <c r="C130" s="50"/>
      <c r="D130" s="51"/>
      <c r="E130" s="15">
        <f>SUM(E60,E62,E118,E64,E66,E68,E70,E72,E128,E74,E76,E78,E80,E120,E82,E84,E86,E88,E122,E124,E90,E92,E94,E126,E96,E98,E100,E102,E104,E106,E108,E110,E112,E114,E116)</f>
        <v>5002975</v>
      </c>
      <c r="F130" s="15">
        <f>SUM(F60,F62,F118,F64,F66,F68,F70,F72,F128,F74,F106,F76,F78,F80,F120,F82,F84,F86,F88,F122,F124,F90,F92,F94,F126,F96,F98,F100,F102,F104,F108,F110,F112,F114,F116)</f>
        <v>5505501</v>
      </c>
      <c r="G130" s="12">
        <f>+F130-E130</f>
        <v>502526</v>
      </c>
      <c r="H130" s="40"/>
      <c r="I130" s="27"/>
    </row>
    <row r="131" spans="1:10" ht="15" customHeight="1">
      <c r="A131" s="52"/>
      <c r="B131" s="53"/>
      <c r="C131" s="54"/>
      <c r="D131" s="55"/>
      <c r="E131" s="16">
        <f>SUM(E61,E63,E119,E65,E67,E69,E71,E73,E129,E75,E77,E79,E81,E121,E83,E85,E87,E89,E123,E125,E91,E93,E95,E127,E97,E99,E101,E103,E105,E107,E109,E111,E113,E115,E117)</f>
        <v>4400134</v>
      </c>
      <c r="F131" s="16">
        <f>SUM(F61,F63,F119,F65,F67,F69,F71,F73,F129,F75,F77,F79,F81,F121,F83,F85,F87,F89,F123,F125,F91,F93,F95,F127,F97,F99,F101,F103,F105,F109,F111,F113,F115,F117,F107)</f>
        <v>4778324</v>
      </c>
      <c r="G131" s="14">
        <f>+F131-E131</f>
        <v>378190</v>
      </c>
      <c r="H131" s="41"/>
      <c r="I131" s="17"/>
    </row>
    <row r="132" spans="1:10" ht="15" customHeight="1">
      <c r="A132" s="42">
        <v>57</v>
      </c>
      <c r="B132" s="38" t="s">
        <v>82</v>
      </c>
      <c r="C132" s="44" t="s">
        <v>83</v>
      </c>
      <c r="D132" s="45" t="s">
        <v>84</v>
      </c>
      <c r="E132" s="15">
        <v>22230</v>
      </c>
      <c r="F132" s="15">
        <v>16531</v>
      </c>
      <c r="G132" s="12">
        <f t="shared" ref="G132:G201" si="8">+F132-E132</f>
        <v>-5699</v>
      </c>
      <c r="H132" s="40"/>
      <c r="I132" s="27"/>
      <c r="J132" s="2" t="s">
        <v>29</v>
      </c>
    </row>
    <row r="133" spans="1:10" ht="15" customHeight="1">
      <c r="A133" s="43"/>
      <c r="B133" s="39"/>
      <c r="C133" s="44"/>
      <c r="D133" s="46"/>
      <c r="E133" s="16">
        <f>E132</f>
        <v>22230</v>
      </c>
      <c r="F133" s="16">
        <f>F132</f>
        <v>16531</v>
      </c>
      <c r="G133" s="14">
        <f t="shared" si="8"/>
        <v>-5699</v>
      </c>
      <c r="H133" s="41"/>
      <c r="I133" s="17"/>
      <c r="J133" s="2" t="s">
        <v>30</v>
      </c>
    </row>
    <row r="134" spans="1:10" ht="15" customHeight="1">
      <c r="A134" s="42">
        <v>58</v>
      </c>
      <c r="B134" s="38" t="s">
        <v>82</v>
      </c>
      <c r="C134" s="44" t="s">
        <v>85</v>
      </c>
      <c r="D134" s="45" t="s">
        <v>84</v>
      </c>
      <c r="E134" s="12">
        <v>5957</v>
      </c>
      <c r="F134" s="12">
        <v>4450</v>
      </c>
      <c r="G134" s="12">
        <f t="shared" si="8"/>
        <v>-1507</v>
      </c>
      <c r="H134" s="40"/>
      <c r="I134" s="27"/>
      <c r="J134" s="2" t="s">
        <v>29</v>
      </c>
    </row>
    <row r="135" spans="1:10" ht="15" customHeight="1">
      <c r="A135" s="43"/>
      <c r="B135" s="39"/>
      <c r="C135" s="44"/>
      <c r="D135" s="46"/>
      <c r="E135" s="13">
        <f>E134</f>
        <v>5957</v>
      </c>
      <c r="F135" s="13">
        <f>F134</f>
        <v>4450</v>
      </c>
      <c r="G135" s="14">
        <f t="shared" si="8"/>
        <v>-1507</v>
      </c>
      <c r="H135" s="41"/>
      <c r="I135" s="17"/>
      <c r="J135" s="2" t="s">
        <v>30</v>
      </c>
    </row>
    <row r="136" spans="1:10" ht="15" customHeight="1">
      <c r="A136" s="42">
        <v>59</v>
      </c>
      <c r="B136" s="38" t="s">
        <v>82</v>
      </c>
      <c r="C136" s="44" t="s">
        <v>86</v>
      </c>
      <c r="D136" s="45" t="s">
        <v>84</v>
      </c>
      <c r="E136" s="15">
        <v>275</v>
      </c>
      <c r="F136" s="15">
        <v>275</v>
      </c>
      <c r="G136" s="12">
        <f t="shared" si="8"/>
        <v>0</v>
      </c>
      <c r="H136" s="40"/>
      <c r="I136" s="27"/>
      <c r="J136" s="2" t="s">
        <v>29</v>
      </c>
    </row>
    <row r="137" spans="1:10" ht="15" customHeight="1">
      <c r="A137" s="43"/>
      <c r="B137" s="39"/>
      <c r="C137" s="44"/>
      <c r="D137" s="46"/>
      <c r="E137" s="16">
        <f>E136</f>
        <v>275</v>
      </c>
      <c r="F137" s="16">
        <f>F136</f>
        <v>275</v>
      </c>
      <c r="G137" s="14">
        <f t="shared" si="8"/>
        <v>0</v>
      </c>
      <c r="H137" s="41"/>
      <c r="I137" s="17"/>
      <c r="J137" s="2" t="s">
        <v>30</v>
      </c>
    </row>
    <row r="138" spans="1:10" ht="15" customHeight="1">
      <c r="A138" s="42">
        <v>60</v>
      </c>
      <c r="B138" s="38" t="s">
        <v>82</v>
      </c>
      <c r="C138" s="44" t="s">
        <v>87</v>
      </c>
      <c r="D138" s="45" t="s">
        <v>84</v>
      </c>
      <c r="E138" s="15">
        <v>1685</v>
      </c>
      <c r="F138" s="15">
        <v>1685</v>
      </c>
      <c r="G138" s="12">
        <f t="shared" si="8"/>
        <v>0</v>
      </c>
      <c r="H138" s="40"/>
      <c r="I138" s="27"/>
      <c r="J138" s="2" t="s">
        <v>29</v>
      </c>
    </row>
    <row r="139" spans="1:10" ht="15" customHeight="1">
      <c r="A139" s="43"/>
      <c r="B139" s="39"/>
      <c r="C139" s="44"/>
      <c r="D139" s="46"/>
      <c r="E139" s="16">
        <f>E138</f>
        <v>1685</v>
      </c>
      <c r="F139" s="16">
        <f>F138</f>
        <v>1685</v>
      </c>
      <c r="G139" s="14">
        <f t="shared" si="8"/>
        <v>0</v>
      </c>
      <c r="H139" s="41"/>
      <c r="I139" s="17"/>
      <c r="J139" s="2" t="s">
        <v>30</v>
      </c>
    </row>
    <row r="140" spans="1:10" ht="15" customHeight="1">
      <c r="A140" s="42">
        <v>61</v>
      </c>
      <c r="B140" s="38" t="s">
        <v>82</v>
      </c>
      <c r="C140" s="44" t="s">
        <v>88</v>
      </c>
      <c r="D140" s="45" t="s">
        <v>84</v>
      </c>
      <c r="E140" s="15">
        <v>4724</v>
      </c>
      <c r="F140" s="15">
        <v>4724</v>
      </c>
      <c r="G140" s="12">
        <f t="shared" si="8"/>
        <v>0</v>
      </c>
      <c r="H140" s="40"/>
      <c r="I140" s="27"/>
      <c r="J140" s="2" t="s">
        <v>29</v>
      </c>
    </row>
    <row r="141" spans="1:10" ht="15" customHeight="1">
      <c r="A141" s="43"/>
      <c r="B141" s="39"/>
      <c r="C141" s="44"/>
      <c r="D141" s="46"/>
      <c r="E141" s="16">
        <f>E140-4500</f>
        <v>224</v>
      </c>
      <c r="F141" s="16">
        <f>F140-4500</f>
        <v>224</v>
      </c>
      <c r="G141" s="14">
        <f t="shared" si="8"/>
        <v>0</v>
      </c>
      <c r="H141" s="41"/>
      <c r="I141" s="17"/>
      <c r="J141" s="2" t="s">
        <v>30</v>
      </c>
    </row>
    <row r="142" spans="1:10" ht="15" customHeight="1">
      <c r="A142" s="42">
        <v>62</v>
      </c>
      <c r="B142" s="38" t="s">
        <v>82</v>
      </c>
      <c r="C142" s="44" t="s">
        <v>89</v>
      </c>
      <c r="D142" s="45" t="s">
        <v>84</v>
      </c>
      <c r="E142" s="15">
        <v>2083</v>
      </c>
      <c r="F142" s="15">
        <v>2085</v>
      </c>
      <c r="G142" s="12">
        <f t="shared" si="8"/>
        <v>2</v>
      </c>
      <c r="H142" s="40"/>
      <c r="I142" s="27"/>
      <c r="J142" s="2" t="s">
        <v>29</v>
      </c>
    </row>
    <row r="143" spans="1:10" ht="15" customHeight="1">
      <c r="A143" s="43"/>
      <c r="B143" s="39"/>
      <c r="C143" s="44"/>
      <c r="D143" s="46"/>
      <c r="E143" s="16">
        <f>E142-2083</f>
        <v>0</v>
      </c>
      <c r="F143" s="16">
        <f>F142-2085</f>
        <v>0</v>
      </c>
      <c r="G143" s="14">
        <f t="shared" si="8"/>
        <v>0</v>
      </c>
      <c r="H143" s="41"/>
      <c r="I143" s="17"/>
      <c r="J143" s="2" t="s">
        <v>30</v>
      </c>
    </row>
    <row r="144" spans="1:10" ht="15" customHeight="1">
      <c r="A144" s="42">
        <v>63</v>
      </c>
      <c r="B144" s="38" t="s">
        <v>82</v>
      </c>
      <c r="C144" s="44" t="s">
        <v>256</v>
      </c>
      <c r="D144" s="45" t="s">
        <v>84</v>
      </c>
      <c r="E144" s="15">
        <v>556456</v>
      </c>
      <c r="F144" s="15">
        <v>294774</v>
      </c>
      <c r="G144" s="12">
        <f t="shared" si="8"/>
        <v>-261682</v>
      </c>
      <c r="H144" s="40"/>
      <c r="I144" s="27"/>
      <c r="J144" s="2" t="s">
        <v>29</v>
      </c>
    </row>
    <row r="145" spans="1:10" ht="15" customHeight="1">
      <c r="A145" s="43"/>
      <c r="B145" s="39"/>
      <c r="C145" s="44"/>
      <c r="D145" s="46"/>
      <c r="E145" s="16">
        <f>E144</f>
        <v>556456</v>
      </c>
      <c r="F145" s="16">
        <f>F144</f>
        <v>294774</v>
      </c>
      <c r="G145" s="14">
        <f t="shared" si="8"/>
        <v>-261682</v>
      </c>
      <c r="H145" s="41"/>
      <c r="I145" s="17"/>
      <c r="J145" s="2" t="s">
        <v>30</v>
      </c>
    </row>
    <row r="146" spans="1:10" ht="15" customHeight="1">
      <c r="A146" s="42">
        <v>64</v>
      </c>
      <c r="B146" s="38" t="s">
        <v>82</v>
      </c>
      <c r="C146" s="44" t="s">
        <v>90</v>
      </c>
      <c r="D146" s="45" t="s">
        <v>84</v>
      </c>
      <c r="E146" s="15">
        <v>17212</v>
      </c>
      <c r="F146" s="15">
        <v>17864</v>
      </c>
      <c r="G146" s="12">
        <f t="shared" si="8"/>
        <v>652</v>
      </c>
      <c r="H146" s="40"/>
      <c r="I146" s="27"/>
      <c r="J146" s="2" t="s">
        <v>29</v>
      </c>
    </row>
    <row r="147" spans="1:10" ht="15" customHeight="1">
      <c r="A147" s="43"/>
      <c r="B147" s="39"/>
      <c r="C147" s="44"/>
      <c r="D147" s="46"/>
      <c r="E147" s="16">
        <f>E146</f>
        <v>17212</v>
      </c>
      <c r="F147" s="16">
        <f>F146</f>
        <v>17864</v>
      </c>
      <c r="G147" s="14">
        <f t="shared" si="8"/>
        <v>652</v>
      </c>
      <c r="H147" s="41"/>
      <c r="I147" s="17"/>
      <c r="J147" s="2" t="s">
        <v>30</v>
      </c>
    </row>
    <row r="148" spans="1:10" ht="15" customHeight="1">
      <c r="A148" s="42">
        <v>65</v>
      </c>
      <c r="B148" s="38" t="s">
        <v>82</v>
      </c>
      <c r="C148" s="44" t="s">
        <v>91</v>
      </c>
      <c r="D148" s="45" t="s">
        <v>84</v>
      </c>
      <c r="E148" s="12">
        <v>69275</v>
      </c>
      <c r="F148" s="12">
        <f>63977+19896</f>
        <v>83873</v>
      </c>
      <c r="G148" s="12">
        <f t="shared" si="8"/>
        <v>14598</v>
      </c>
      <c r="H148" s="40"/>
      <c r="I148" s="27"/>
      <c r="J148" s="2" t="s">
        <v>29</v>
      </c>
    </row>
    <row r="149" spans="1:10" ht="15" customHeight="1">
      <c r="A149" s="43"/>
      <c r="B149" s="39"/>
      <c r="C149" s="44"/>
      <c r="D149" s="46"/>
      <c r="E149" s="13">
        <f>E148-105</f>
        <v>69170</v>
      </c>
      <c r="F149" s="13">
        <f>F148-81-26</f>
        <v>83766</v>
      </c>
      <c r="G149" s="14">
        <f t="shared" si="8"/>
        <v>14596</v>
      </c>
      <c r="H149" s="41"/>
      <c r="I149" s="17"/>
      <c r="J149" s="2" t="s">
        <v>30</v>
      </c>
    </row>
    <row r="150" spans="1:10" ht="15" customHeight="1">
      <c r="A150" s="49" t="s">
        <v>92</v>
      </c>
      <c r="B150" s="50"/>
      <c r="C150" s="54"/>
      <c r="D150" s="51"/>
      <c r="E150" s="15">
        <f>E132+E134+E136+E138+E140+E142+E144+E146+E148</f>
        <v>679897</v>
      </c>
      <c r="F150" s="15">
        <f>F132+F134+F136+F138+F140+F142+F144+F146+F148</f>
        <v>426261</v>
      </c>
      <c r="G150" s="12">
        <f t="shared" si="8"/>
        <v>-253636</v>
      </c>
      <c r="H150" s="40"/>
      <c r="I150" s="27"/>
    </row>
    <row r="151" spans="1:10" ht="15" customHeight="1">
      <c r="A151" s="52"/>
      <c r="B151" s="53"/>
      <c r="C151" s="54"/>
      <c r="D151" s="55"/>
      <c r="E151" s="16">
        <f>E133+E135+E137+E139+E141+E143+E145+E147+E149</f>
        <v>673209</v>
      </c>
      <c r="F151" s="16">
        <f>F133+F135+F137+F139+F141+F143+F145+F147+F149</f>
        <v>419569</v>
      </c>
      <c r="G151" s="14">
        <f t="shared" si="8"/>
        <v>-253640</v>
      </c>
      <c r="H151" s="41"/>
      <c r="I151" s="17"/>
    </row>
    <row r="152" spans="1:10" ht="26.25" customHeight="1">
      <c r="A152" s="42">
        <v>66</v>
      </c>
      <c r="B152" s="38" t="s">
        <v>93</v>
      </c>
      <c r="C152" s="48" t="s">
        <v>63</v>
      </c>
      <c r="D152" s="45" t="s">
        <v>252</v>
      </c>
      <c r="E152" s="15">
        <v>14935</v>
      </c>
      <c r="F152" s="15">
        <v>15079</v>
      </c>
      <c r="G152" s="12">
        <f t="shared" si="8"/>
        <v>144</v>
      </c>
      <c r="H152" s="40"/>
      <c r="I152" s="27"/>
      <c r="J152" s="2" t="s">
        <v>29</v>
      </c>
    </row>
    <row r="153" spans="1:10" ht="26.25" customHeight="1">
      <c r="A153" s="43"/>
      <c r="B153" s="39"/>
      <c r="C153" s="48"/>
      <c r="D153" s="46"/>
      <c r="E153" s="16">
        <f>E152</f>
        <v>14935</v>
      </c>
      <c r="F153" s="16">
        <f>F152</f>
        <v>15079</v>
      </c>
      <c r="G153" s="14">
        <f t="shared" si="8"/>
        <v>144</v>
      </c>
      <c r="H153" s="41"/>
      <c r="I153" s="17"/>
      <c r="J153" s="2" t="s">
        <v>30</v>
      </c>
    </row>
    <row r="154" spans="1:10" ht="15" customHeight="1">
      <c r="A154" s="42">
        <v>67</v>
      </c>
      <c r="B154" s="38" t="s">
        <v>93</v>
      </c>
      <c r="C154" s="48" t="s">
        <v>91</v>
      </c>
      <c r="D154" s="45" t="s">
        <v>211</v>
      </c>
      <c r="E154" s="15">
        <v>28338</v>
      </c>
      <c r="F154" s="15">
        <v>28291</v>
      </c>
      <c r="G154" s="12">
        <f t="shared" si="8"/>
        <v>-47</v>
      </c>
      <c r="H154" s="40"/>
      <c r="I154" s="27"/>
      <c r="J154" s="2" t="s">
        <v>29</v>
      </c>
    </row>
    <row r="155" spans="1:10" ht="15" customHeight="1">
      <c r="A155" s="43"/>
      <c r="B155" s="39"/>
      <c r="C155" s="48"/>
      <c r="D155" s="46"/>
      <c r="E155" s="16">
        <f>E154</f>
        <v>28338</v>
      </c>
      <c r="F155" s="16">
        <f>F154</f>
        <v>28291</v>
      </c>
      <c r="G155" s="14">
        <f t="shared" si="8"/>
        <v>-47</v>
      </c>
      <c r="H155" s="41"/>
      <c r="I155" s="17"/>
      <c r="J155" s="2" t="s">
        <v>30</v>
      </c>
    </row>
    <row r="156" spans="1:10" ht="15" customHeight="1">
      <c r="A156" s="49" t="s">
        <v>94</v>
      </c>
      <c r="B156" s="50"/>
      <c r="C156" s="54"/>
      <c r="D156" s="51"/>
      <c r="E156" s="15">
        <f t="shared" ref="E156" si="9">E152+E154</f>
        <v>43273</v>
      </c>
      <c r="F156" s="15">
        <f t="shared" ref="F156:F157" si="10">F152+F154</f>
        <v>43370</v>
      </c>
      <c r="G156" s="12">
        <f t="shared" si="8"/>
        <v>97</v>
      </c>
      <c r="H156" s="40"/>
      <c r="I156" s="27"/>
    </row>
    <row r="157" spans="1:10" ht="15" customHeight="1">
      <c r="A157" s="52"/>
      <c r="B157" s="53"/>
      <c r="C157" s="54"/>
      <c r="D157" s="55"/>
      <c r="E157" s="16">
        <f t="shared" ref="E157" si="11">E153+E155</f>
        <v>43273</v>
      </c>
      <c r="F157" s="16">
        <f t="shared" si="10"/>
        <v>43370</v>
      </c>
      <c r="G157" s="14">
        <f t="shared" si="8"/>
        <v>97</v>
      </c>
      <c r="H157" s="41"/>
      <c r="I157" s="17"/>
    </row>
    <row r="158" spans="1:10" ht="15" customHeight="1">
      <c r="A158" s="42">
        <v>68</v>
      </c>
      <c r="B158" s="56" t="s">
        <v>240</v>
      </c>
      <c r="C158" s="44" t="s">
        <v>242</v>
      </c>
      <c r="D158" s="45" t="s">
        <v>246</v>
      </c>
      <c r="E158" s="12">
        <v>71766</v>
      </c>
      <c r="F158" s="12">
        <f>192647</f>
        <v>192647</v>
      </c>
      <c r="G158" s="12">
        <f t="shared" ref="G158:G159" si="12">+F158-E158</f>
        <v>120881</v>
      </c>
      <c r="H158" s="40"/>
      <c r="I158" s="27"/>
      <c r="J158" s="2" t="s">
        <v>29</v>
      </c>
    </row>
    <row r="159" spans="1:10" ht="15" customHeight="1">
      <c r="A159" s="43"/>
      <c r="B159" s="57"/>
      <c r="C159" s="44"/>
      <c r="D159" s="46"/>
      <c r="E159" s="13">
        <f>E158-16360</f>
        <v>55406</v>
      </c>
      <c r="F159" s="13">
        <f>F158-15160</f>
        <v>177487</v>
      </c>
      <c r="G159" s="14">
        <f t="shared" si="12"/>
        <v>122081</v>
      </c>
      <c r="H159" s="41"/>
      <c r="I159" s="17"/>
      <c r="J159" s="2" t="s">
        <v>30</v>
      </c>
    </row>
    <row r="160" spans="1:10" ht="15" customHeight="1">
      <c r="A160" s="49" t="s">
        <v>243</v>
      </c>
      <c r="B160" s="50"/>
      <c r="C160" s="54"/>
      <c r="D160" s="51"/>
      <c r="E160" s="15">
        <f>E158</f>
        <v>71766</v>
      </c>
      <c r="F160" s="15">
        <f>F158</f>
        <v>192647</v>
      </c>
      <c r="G160" s="12">
        <f>+F160-E160</f>
        <v>120881</v>
      </c>
      <c r="H160" s="40"/>
      <c r="I160" s="27"/>
    </row>
    <row r="161" spans="1:10" ht="15" customHeight="1">
      <c r="A161" s="52"/>
      <c r="B161" s="53"/>
      <c r="C161" s="54"/>
      <c r="D161" s="55"/>
      <c r="E161" s="16">
        <f>E159</f>
        <v>55406</v>
      </c>
      <c r="F161" s="16">
        <f>F159</f>
        <v>177487</v>
      </c>
      <c r="G161" s="14">
        <f>+F161-E161</f>
        <v>122081</v>
      </c>
      <c r="H161" s="41"/>
      <c r="I161" s="17"/>
    </row>
    <row r="162" spans="1:10" ht="15" customHeight="1">
      <c r="A162" s="42">
        <v>69</v>
      </c>
      <c r="B162" s="56" t="s">
        <v>241</v>
      </c>
      <c r="C162" s="44" t="s">
        <v>244</v>
      </c>
      <c r="D162" s="45" t="s">
        <v>246</v>
      </c>
      <c r="E162" s="12">
        <v>5</v>
      </c>
      <c r="F162" s="12">
        <v>11</v>
      </c>
      <c r="G162" s="12">
        <f t="shared" ref="G162:G165" si="13">+F162-E162</f>
        <v>6</v>
      </c>
      <c r="H162" s="40"/>
      <c r="I162" s="27"/>
      <c r="J162" s="2" t="s">
        <v>29</v>
      </c>
    </row>
    <row r="163" spans="1:10" ht="15" customHeight="1">
      <c r="A163" s="43"/>
      <c r="B163" s="57"/>
      <c r="C163" s="44"/>
      <c r="D163" s="46"/>
      <c r="E163" s="13">
        <f>E162-5</f>
        <v>0</v>
      </c>
      <c r="F163" s="13">
        <f>F162-11</f>
        <v>0</v>
      </c>
      <c r="G163" s="14">
        <f t="shared" si="13"/>
        <v>0</v>
      </c>
      <c r="H163" s="41"/>
      <c r="I163" s="17"/>
      <c r="J163" s="2" t="s">
        <v>30</v>
      </c>
    </row>
    <row r="164" spans="1:10" ht="15" customHeight="1">
      <c r="A164" s="49" t="s">
        <v>245</v>
      </c>
      <c r="B164" s="50"/>
      <c r="C164" s="50"/>
      <c r="D164" s="51"/>
      <c r="E164" s="15">
        <f>E162</f>
        <v>5</v>
      </c>
      <c r="F164" s="15">
        <f>F162</f>
        <v>11</v>
      </c>
      <c r="G164" s="12">
        <f t="shared" si="13"/>
        <v>6</v>
      </c>
      <c r="H164" s="40"/>
      <c r="I164" s="27"/>
    </row>
    <row r="165" spans="1:10" ht="15" customHeight="1">
      <c r="A165" s="52"/>
      <c r="B165" s="53"/>
      <c r="C165" s="53"/>
      <c r="D165" s="55"/>
      <c r="E165" s="16">
        <f>E163</f>
        <v>0</v>
      </c>
      <c r="F165" s="16">
        <f>F163</f>
        <v>0</v>
      </c>
      <c r="G165" s="14">
        <f t="shared" si="13"/>
        <v>0</v>
      </c>
      <c r="H165" s="41"/>
      <c r="I165" s="17"/>
    </row>
    <row r="166" spans="1:10" ht="22.5" customHeight="1">
      <c r="A166" s="42">
        <v>70</v>
      </c>
      <c r="B166" s="38" t="s">
        <v>95</v>
      </c>
      <c r="C166" s="48" t="s">
        <v>96</v>
      </c>
      <c r="D166" s="45" t="s">
        <v>188</v>
      </c>
      <c r="E166" s="15">
        <v>604719</v>
      </c>
      <c r="F166" s="15">
        <v>604815</v>
      </c>
      <c r="G166" s="12">
        <f t="shared" si="8"/>
        <v>96</v>
      </c>
      <c r="H166" s="40"/>
      <c r="I166" s="27"/>
      <c r="J166" s="2" t="s">
        <v>29</v>
      </c>
    </row>
    <row r="167" spans="1:10" ht="22.5" customHeight="1">
      <c r="A167" s="43"/>
      <c r="B167" s="39"/>
      <c r="C167" s="48"/>
      <c r="D167" s="46"/>
      <c r="E167" s="16">
        <f>E166</f>
        <v>604719</v>
      </c>
      <c r="F167" s="16">
        <f>F166</f>
        <v>604815</v>
      </c>
      <c r="G167" s="14">
        <f t="shared" si="8"/>
        <v>96</v>
      </c>
      <c r="H167" s="41"/>
      <c r="I167" s="17"/>
      <c r="J167" s="2" t="s">
        <v>30</v>
      </c>
    </row>
    <row r="168" spans="1:10" ht="15" customHeight="1">
      <c r="A168" s="42">
        <v>71</v>
      </c>
      <c r="B168" s="38" t="s">
        <v>95</v>
      </c>
      <c r="C168" s="48" t="s">
        <v>97</v>
      </c>
      <c r="D168" s="45" t="s">
        <v>187</v>
      </c>
      <c r="E168" s="15">
        <v>71243190</v>
      </c>
      <c r="F168" s="15">
        <f>74907475-F166</f>
        <v>74302660</v>
      </c>
      <c r="G168" s="12">
        <f t="shared" si="8"/>
        <v>3059470</v>
      </c>
      <c r="H168" s="40"/>
      <c r="I168" s="27"/>
      <c r="J168" s="2" t="s">
        <v>29</v>
      </c>
    </row>
    <row r="169" spans="1:10" ht="15" customHeight="1">
      <c r="A169" s="43"/>
      <c r="B169" s="39"/>
      <c r="C169" s="48"/>
      <c r="D169" s="46"/>
      <c r="E169" s="16">
        <f>E168-18078763</f>
        <v>53164427</v>
      </c>
      <c r="F169" s="16">
        <f>F168-18102593</f>
        <v>56200067</v>
      </c>
      <c r="G169" s="14">
        <f t="shared" si="8"/>
        <v>3035640</v>
      </c>
      <c r="H169" s="41"/>
      <c r="I169" s="17"/>
      <c r="J169" s="2" t="s">
        <v>30</v>
      </c>
    </row>
    <row r="170" spans="1:10" ht="15" customHeight="1">
      <c r="A170" s="49" t="s">
        <v>98</v>
      </c>
      <c r="B170" s="50"/>
      <c r="C170" s="50"/>
      <c r="D170" s="51"/>
      <c r="E170" s="15">
        <f>E166+E168</f>
        <v>71847909</v>
      </c>
      <c r="F170" s="15">
        <f>F166+F168</f>
        <v>74907475</v>
      </c>
      <c r="G170" s="15">
        <f t="shared" si="8"/>
        <v>3059566</v>
      </c>
      <c r="H170" s="40"/>
      <c r="I170" s="33"/>
    </row>
    <row r="171" spans="1:10" ht="15" customHeight="1">
      <c r="A171" s="52"/>
      <c r="B171" s="53"/>
      <c r="C171" s="53"/>
      <c r="D171" s="55"/>
      <c r="E171" s="16">
        <f>E167+E169</f>
        <v>53769146</v>
      </c>
      <c r="F171" s="16">
        <f>F167+F169</f>
        <v>56804882</v>
      </c>
      <c r="G171" s="14">
        <f t="shared" si="8"/>
        <v>3035736</v>
      </c>
      <c r="H171" s="41"/>
      <c r="I171" s="17"/>
    </row>
    <row r="172" spans="1:10" ht="15" customHeight="1">
      <c r="A172" s="42">
        <v>72</v>
      </c>
      <c r="B172" s="38" t="s">
        <v>99</v>
      </c>
      <c r="C172" s="44" t="s">
        <v>100</v>
      </c>
      <c r="D172" s="45" t="s">
        <v>39</v>
      </c>
      <c r="E172" s="15">
        <v>449452</v>
      </c>
      <c r="F172" s="15">
        <v>569753</v>
      </c>
      <c r="G172" s="12">
        <f t="shared" si="8"/>
        <v>120301</v>
      </c>
      <c r="H172" s="40"/>
      <c r="I172" s="27"/>
      <c r="J172" s="2" t="s">
        <v>29</v>
      </c>
    </row>
    <row r="173" spans="1:10" ht="15" customHeight="1">
      <c r="A173" s="43"/>
      <c r="B173" s="39"/>
      <c r="C173" s="44"/>
      <c r="D173" s="46"/>
      <c r="E173" s="16">
        <f>E172-144941</f>
        <v>304511</v>
      </c>
      <c r="F173" s="16">
        <f>F172-172361</f>
        <v>397392</v>
      </c>
      <c r="G173" s="14">
        <f t="shared" si="8"/>
        <v>92881</v>
      </c>
      <c r="H173" s="41"/>
      <c r="I173" s="17"/>
      <c r="J173" s="2" t="s">
        <v>30</v>
      </c>
    </row>
    <row r="174" spans="1:10" ht="15" customHeight="1">
      <c r="A174" s="42">
        <v>73</v>
      </c>
      <c r="B174" s="38" t="s">
        <v>99</v>
      </c>
      <c r="C174" s="44" t="s">
        <v>101</v>
      </c>
      <c r="D174" s="45" t="s">
        <v>39</v>
      </c>
      <c r="E174" s="15">
        <v>52903</v>
      </c>
      <c r="F174" s="15">
        <v>52903</v>
      </c>
      <c r="G174" s="12">
        <f t="shared" si="8"/>
        <v>0</v>
      </c>
      <c r="H174" s="40"/>
      <c r="I174" s="27"/>
      <c r="J174" s="2" t="s">
        <v>29</v>
      </c>
    </row>
    <row r="175" spans="1:10" ht="15" customHeight="1">
      <c r="A175" s="43"/>
      <c r="B175" s="39"/>
      <c r="C175" s="44"/>
      <c r="D175" s="46"/>
      <c r="E175" s="16">
        <f>E174-17573</f>
        <v>35330</v>
      </c>
      <c r="F175" s="16">
        <f>F174-17573</f>
        <v>35330</v>
      </c>
      <c r="G175" s="14">
        <f t="shared" si="8"/>
        <v>0</v>
      </c>
      <c r="H175" s="41"/>
      <c r="I175" s="17"/>
      <c r="J175" s="2" t="s">
        <v>30</v>
      </c>
    </row>
    <row r="176" spans="1:10" ht="15" customHeight="1">
      <c r="A176" s="42">
        <v>74</v>
      </c>
      <c r="B176" s="38" t="s">
        <v>99</v>
      </c>
      <c r="C176" s="44" t="s">
        <v>102</v>
      </c>
      <c r="D176" s="45" t="s">
        <v>103</v>
      </c>
      <c r="E176" s="15">
        <v>10227</v>
      </c>
      <c r="F176" s="15">
        <f>5547+377+4653</f>
        <v>10577</v>
      </c>
      <c r="G176" s="12">
        <f t="shared" si="8"/>
        <v>350</v>
      </c>
      <c r="H176" s="40"/>
      <c r="I176" s="27"/>
      <c r="J176" s="2" t="s">
        <v>29</v>
      </c>
    </row>
    <row r="177" spans="1:10" ht="15" customHeight="1">
      <c r="A177" s="43"/>
      <c r="B177" s="39"/>
      <c r="C177" s="44"/>
      <c r="D177" s="46"/>
      <c r="E177" s="16">
        <f>E176</f>
        <v>10227</v>
      </c>
      <c r="F177" s="16">
        <f>F176</f>
        <v>10577</v>
      </c>
      <c r="G177" s="14">
        <f t="shared" si="8"/>
        <v>350</v>
      </c>
      <c r="H177" s="41"/>
      <c r="I177" s="17"/>
      <c r="J177" s="2" t="s">
        <v>30</v>
      </c>
    </row>
    <row r="178" spans="1:10" ht="15" customHeight="1">
      <c r="A178" s="42">
        <v>75</v>
      </c>
      <c r="B178" s="38" t="s">
        <v>99</v>
      </c>
      <c r="C178" s="44" t="s">
        <v>104</v>
      </c>
      <c r="D178" s="45" t="s">
        <v>105</v>
      </c>
      <c r="E178" s="15">
        <v>109780</v>
      </c>
      <c r="F178" s="15">
        <v>121592</v>
      </c>
      <c r="G178" s="12">
        <f t="shared" si="8"/>
        <v>11812</v>
      </c>
      <c r="H178" s="26"/>
      <c r="I178" s="27"/>
      <c r="J178" s="2" t="s">
        <v>29</v>
      </c>
    </row>
    <row r="179" spans="1:10" ht="15" customHeight="1">
      <c r="A179" s="43"/>
      <c r="B179" s="39"/>
      <c r="C179" s="44"/>
      <c r="D179" s="46"/>
      <c r="E179" s="16">
        <f>E178</f>
        <v>109780</v>
      </c>
      <c r="F179" s="16">
        <f>F178</f>
        <v>121592</v>
      </c>
      <c r="G179" s="14">
        <f t="shared" si="8"/>
        <v>11812</v>
      </c>
      <c r="H179" s="26"/>
      <c r="I179" s="17"/>
      <c r="J179" s="2" t="s">
        <v>30</v>
      </c>
    </row>
    <row r="180" spans="1:10" ht="22.5" customHeight="1">
      <c r="A180" s="42">
        <v>76</v>
      </c>
      <c r="B180" s="38" t="s">
        <v>99</v>
      </c>
      <c r="C180" s="44" t="s">
        <v>106</v>
      </c>
      <c r="D180" s="45" t="s">
        <v>44</v>
      </c>
      <c r="E180" s="15">
        <v>128634</v>
      </c>
      <c r="F180" s="15">
        <v>122368</v>
      </c>
      <c r="G180" s="12">
        <f t="shared" si="8"/>
        <v>-6266</v>
      </c>
      <c r="H180" s="40"/>
      <c r="I180" s="27"/>
      <c r="J180" s="2" t="s">
        <v>29</v>
      </c>
    </row>
    <row r="181" spans="1:10" ht="22.5" customHeight="1">
      <c r="A181" s="43"/>
      <c r="B181" s="39"/>
      <c r="C181" s="44"/>
      <c r="D181" s="46"/>
      <c r="E181" s="16">
        <f>E180</f>
        <v>128634</v>
      </c>
      <c r="F181" s="16">
        <f>F180</f>
        <v>122368</v>
      </c>
      <c r="G181" s="14">
        <f t="shared" si="8"/>
        <v>-6266</v>
      </c>
      <c r="H181" s="41"/>
      <c r="I181" s="17"/>
      <c r="J181" s="2" t="s">
        <v>30</v>
      </c>
    </row>
    <row r="182" spans="1:10" ht="22.5" customHeight="1">
      <c r="A182" s="42">
        <v>77</v>
      </c>
      <c r="B182" s="38" t="s">
        <v>99</v>
      </c>
      <c r="C182" s="44" t="s">
        <v>107</v>
      </c>
      <c r="D182" s="45" t="s">
        <v>108</v>
      </c>
      <c r="E182" s="15">
        <v>1443595</v>
      </c>
      <c r="F182" s="15">
        <f>1443003+1890</f>
        <v>1444893</v>
      </c>
      <c r="G182" s="15">
        <f t="shared" si="8"/>
        <v>1298</v>
      </c>
      <c r="H182" s="40"/>
      <c r="I182" s="33"/>
      <c r="J182" s="2" t="s">
        <v>29</v>
      </c>
    </row>
    <row r="183" spans="1:10" ht="22.5" customHeight="1">
      <c r="A183" s="43"/>
      <c r="B183" s="39"/>
      <c r="C183" s="44"/>
      <c r="D183" s="46"/>
      <c r="E183" s="16">
        <f>E182-27810</f>
        <v>1415785</v>
      </c>
      <c r="F183" s="16">
        <f>F182-29766</f>
        <v>1415127</v>
      </c>
      <c r="G183" s="14">
        <f t="shared" si="8"/>
        <v>-658</v>
      </c>
      <c r="H183" s="41"/>
      <c r="I183" s="17"/>
      <c r="J183" s="2" t="s">
        <v>30</v>
      </c>
    </row>
    <row r="184" spans="1:10" ht="15" customHeight="1">
      <c r="A184" s="42">
        <v>78</v>
      </c>
      <c r="B184" s="38" t="s">
        <v>99</v>
      </c>
      <c r="C184" s="44" t="s">
        <v>109</v>
      </c>
      <c r="D184" s="45" t="s">
        <v>69</v>
      </c>
      <c r="E184" s="15">
        <v>103916</v>
      </c>
      <c r="F184" s="15">
        <v>103094</v>
      </c>
      <c r="G184" s="12">
        <f t="shared" si="8"/>
        <v>-822</v>
      </c>
      <c r="H184" s="40"/>
      <c r="I184" s="27"/>
      <c r="J184" s="2" t="s">
        <v>29</v>
      </c>
    </row>
    <row r="185" spans="1:10" ht="15" customHeight="1">
      <c r="A185" s="43"/>
      <c r="B185" s="39"/>
      <c r="C185" s="44"/>
      <c r="D185" s="46"/>
      <c r="E185" s="16">
        <f>E184-49153</f>
        <v>54763</v>
      </c>
      <c r="F185" s="16">
        <f>F184-48786</f>
        <v>54308</v>
      </c>
      <c r="G185" s="14">
        <f t="shared" si="8"/>
        <v>-455</v>
      </c>
      <c r="H185" s="41"/>
      <c r="I185" s="17"/>
      <c r="J185" s="2" t="s">
        <v>30</v>
      </c>
    </row>
    <row r="186" spans="1:10" ht="15" customHeight="1">
      <c r="A186" s="42">
        <v>79</v>
      </c>
      <c r="B186" s="38" t="s">
        <v>99</v>
      </c>
      <c r="C186" s="44" t="s">
        <v>110</v>
      </c>
      <c r="D186" s="45" t="s">
        <v>53</v>
      </c>
      <c r="E186" s="12">
        <v>7283</v>
      </c>
      <c r="F186" s="12">
        <v>7283</v>
      </c>
      <c r="G186" s="12">
        <f t="shared" si="8"/>
        <v>0</v>
      </c>
      <c r="H186" s="40"/>
      <c r="I186" s="27"/>
      <c r="J186" s="2" t="s">
        <v>29</v>
      </c>
    </row>
    <row r="187" spans="1:10" ht="15" customHeight="1">
      <c r="A187" s="43"/>
      <c r="B187" s="39"/>
      <c r="C187" s="44"/>
      <c r="D187" s="46"/>
      <c r="E187" s="16">
        <f>E186-3641</f>
        <v>3642</v>
      </c>
      <c r="F187" s="16">
        <f>F186-3641</f>
        <v>3642</v>
      </c>
      <c r="G187" s="14">
        <f t="shared" si="8"/>
        <v>0</v>
      </c>
      <c r="H187" s="41"/>
      <c r="I187" s="17"/>
      <c r="J187" s="2" t="s">
        <v>30</v>
      </c>
    </row>
    <row r="188" spans="1:10" ht="15" customHeight="1">
      <c r="A188" s="42">
        <v>80</v>
      </c>
      <c r="B188" s="38" t="s">
        <v>99</v>
      </c>
      <c r="C188" s="44" t="s">
        <v>111</v>
      </c>
      <c r="D188" s="45" t="s">
        <v>105</v>
      </c>
      <c r="E188" s="15">
        <v>434193</v>
      </c>
      <c r="F188" s="15">
        <v>434193</v>
      </c>
      <c r="G188" s="12">
        <f t="shared" si="8"/>
        <v>0</v>
      </c>
      <c r="H188" s="40"/>
      <c r="I188" s="27"/>
      <c r="J188" s="2" t="s">
        <v>29</v>
      </c>
    </row>
    <row r="189" spans="1:10" ht="15" customHeight="1">
      <c r="A189" s="43"/>
      <c r="B189" s="39"/>
      <c r="C189" s="44"/>
      <c r="D189" s="46"/>
      <c r="E189" s="16">
        <f>E188</f>
        <v>434193</v>
      </c>
      <c r="F189" s="16">
        <f>F188</f>
        <v>434193</v>
      </c>
      <c r="G189" s="14">
        <f t="shared" si="8"/>
        <v>0</v>
      </c>
      <c r="H189" s="41"/>
      <c r="I189" s="17"/>
      <c r="J189" s="2" t="s">
        <v>30</v>
      </c>
    </row>
    <row r="190" spans="1:10" ht="15" customHeight="1">
      <c r="A190" s="42">
        <v>81</v>
      </c>
      <c r="B190" s="38" t="s">
        <v>99</v>
      </c>
      <c r="C190" s="44" t="s">
        <v>51</v>
      </c>
      <c r="D190" s="45" t="s">
        <v>69</v>
      </c>
      <c r="E190" s="15">
        <v>5996060</v>
      </c>
      <c r="F190" s="15">
        <v>6229370</v>
      </c>
      <c r="G190" s="12">
        <f t="shared" si="8"/>
        <v>233310</v>
      </c>
      <c r="H190" s="40"/>
      <c r="I190" s="27"/>
      <c r="J190" s="2" t="s">
        <v>29</v>
      </c>
    </row>
    <row r="191" spans="1:10" ht="15" customHeight="1">
      <c r="A191" s="43"/>
      <c r="B191" s="39"/>
      <c r="C191" s="44"/>
      <c r="D191" s="46"/>
      <c r="E191" s="16">
        <f>E190-5996060</f>
        <v>0</v>
      </c>
      <c r="F191" s="16">
        <f>F190-6229370</f>
        <v>0</v>
      </c>
      <c r="G191" s="14">
        <f t="shared" si="8"/>
        <v>0</v>
      </c>
      <c r="H191" s="41"/>
      <c r="I191" s="17"/>
      <c r="J191" s="2" t="s">
        <v>30</v>
      </c>
    </row>
    <row r="192" spans="1:10" ht="15" customHeight="1">
      <c r="A192" s="42">
        <v>82</v>
      </c>
      <c r="B192" s="38" t="s">
        <v>99</v>
      </c>
      <c r="C192" s="44" t="s">
        <v>228</v>
      </c>
      <c r="D192" s="45" t="s">
        <v>69</v>
      </c>
      <c r="E192" s="15">
        <v>0</v>
      </c>
      <c r="F192" s="15">
        <v>0</v>
      </c>
      <c r="G192" s="12">
        <f t="shared" ref="G192:G193" si="14">+F192-E192</f>
        <v>0</v>
      </c>
      <c r="H192" s="40"/>
      <c r="I192" s="27"/>
      <c r="J192" s="2" t="s">
        <v>29</v>
      </c>
    </row>
    <row r="193" spans="1:10" ht="15" customHeight="1">
      <c r="A193" s="43"/>
      <c r="B193" s="39"/>
      <c r="C193" s="44"/>
      <c r="D193" s="46"/>
      <c r="E193" s="14">
        <f>E192-(-4404482)</f>
        <v>4404482</v>
      </c>
      <c r="F193" s="14">
        <f>F192-(-4569703)</f>
        <v>4569703</v>
      </c>
      <c r="G193" s="14">
        <f t="shared" si="14"/>
        <v>165221</v>
      </c>
      <c r="H193" s="41"/>
      <c r="I193" s="17"/>
      <c r="J193" s="2" t="s">
        <v>30</v>
      </c>
    </row>
    <row r="194" spans="1:10" ht="15" customHeight="1">
      <c r="A194" s="42">
        <v>83</v>
      </c>
      <c r="B194" s="38" t="s">
        <v>99</v>
      </c>
      <c r="C194" s="44" t="s">
        <v>112</v>
      </c>
      <c r="D194" s="45" t="s">
        <v>69</v>
      </c>
      <c r="E194" s="15">
        <v>122768</v>
      </c>
      <c r="F194" s="15">
        <v>122654</v>
      </c>
      <c r="G194" s="12">
        <f t="shared" si="8"/>
        <v>-114</v>
      </c>
      <c r="H194" s="40"/>
      <c r="I194" s="27"/>
      <c r="J194" s="2" t="s">
        <v>29</v>
      </c>
    </row>
    <row r="195" spans="1:10" ht="15" customHeight="1">
      <c r="A195" s="43"/>
      <c r="B195" s="39"/>
      <c r="C195" s="44"/>
      <c r="D195" s="46"/>
      <c r="E195" s="16">
        <f>E194-7838</f>
        <v>114930</v>
      </c>
      <c r="F195" s="16">
        <f>F194-7657</f>
        <v>114997</v>
      </c>
      <c r="G195" s="14">
        <f t="shared" si="8"/>
        <v>67</v>
      </c>
      <c r="H195" s="41"/>
      <c r="I195" s="17"/>
      <c r="J195" s="2" t="s">
        <v>30</v>
      </c>
    </row>
    <row r="196" spans="1:10" ht="15" customHeight="1">
      <c r="A196" s="42">
        <v>84</v>
      </c>
      <c r="B196" s="38" t="s">
        <v>99</v>
      </c>
      <c r="C196" s="44" t="s">
        <v>113</v>
      </c>
      <c r="D196" s="45" t="s">
        <v>69</v>
      </c>
      <c r="E196" s="15">
        <v>3221099</v>
      </c>
      <c r="F196" s="15">
        <v>3233474</v>
      </c>
      <c r="G196" s="12">
        <f t="shared" si="8"/>
        <v>12375</v>
      </c>
      <c r="H196" s="40"/>
      <c r="I196" s="27"/>
      <c r="J196" s="2" t="s">
        <v>29</v>
      </c>
    </row>
    <row r="197" spans="1:10" ht="15" customHeight="1">
      <c r="A197" s="43"/>
      <c r="B197" s="39"/>
      <c r="C197" s="44"/>
      <c r="D197" s="46"/>
      <c r="E197" s="16">
        <f>E196</f>
        <v>3221099</v>
      </c>
      <c r="F197" s="16">
        <f>F196</f>
        <v>3233474</v>
      </c>
      <c r="G197" s="14">
        <f t="shared" si="8"/>
        <v>12375</v>
      </c>
      <c r="H197" s="41"/>
      <c r="I197" s="17"/>
      <c r="J197" s="2" t="s">
        <v>30</v>
      </c>
    </row>
    <row r="198" spans="1:10" ht="22.5" customHeight="1">
      <c r="A198" s="42">
        <v>85</v>
      </c>
      <c r="B198" s="38" t="s">
        <v>99</v>
      </c>
      <c r="C198" s="44" t="s">
        <v>78</v>
      </c>
      <c r="D198" s="45" t="s">
        <v>44</v>
      </c>
      <c r="E198" s="12">
        <v>5250595</v>
      </c>
      <c r="F198" s="12">
        <f>507878+2552187</f>
        <v>3060065</v>
      </c>
      <c r="G198" s="12">
        <f t="shared" si="8"/>
        <v>-2190530</v>
      </c>
      <c r="H198" s="40"/>
      <c r="I198" s="27"/>
      <c r="J198" s="2" t="s">
        <v>29</v>
      </c>
    </row>
    <row r="199" spans="1:10" ht="22.5" customHeight="1">
      <c r="A199" s="43"/>
      <c r="B199" s="39"/>
      <c r="C199" s="44"/>
      <c r="D199" s="46"/>
      <c r="E199" s="13">
        <f>E198-293159</f>
        <v>4957436</v>
      </c>
      <c r="F199" s="13">
        <f>F198-169055</f>
        <v>2891010</v>
      </c>
      <c r="G199" s="14">
        <f t="shared" si="8"/>
        <v>-2066426</v>
      </c>
      <c r="H199" s="41"/>
      <c r="I199" s="17"/>
      <c r="J199" s="2" t="s">
        <v>30</v>
      </c>
    </row>
    <row r="200" spans="1:10" ht="22.5" customHeight="1">
      <c r="A200" s="42">
        <v>86</v>
      </c>
      <c r="B200" s="38" t="s">
        <v>99</v>
      </c>
      <c r="C200" s="44" t="s">
        <v>190</v>
      </c>
      <c r="D200" s="45" t="s">
        <v>44</v>
      </c>
      <c r="E200" s="15">
        <v>355905</v>
      </c>
      <c r="F200" s="15">
        <v>248911</v>
      </c>
      <c r="G200" s="12">
        <f t="shared" si="8"/>
        <v>-106994</v>
      </c>
      <c r="H200" s="40"/>
      <c r="I200" s="27"/>
      <c r="J200" s="2" t="s">
        <v>29</v>
      </c>
    </row>
    <row r="201" spans="1:10" ht="22.5" customHeight="1">
      <c r="A201" s="43"/>
      <c r="B201" s="39"/>
      <c r="C201" s="44"/>
      <c r="D201" s="46"/>
      <c r="E201" s="16">
        <f>E200</f>
        <v>355905</v>
      </c>
      <c r="F201" s="16">
        <f>F200</f>
        <v>248911</v>
      </c>
      <c r="G201" s="14">
        <f t="shared" si="8"/>
        <v>-106994</v>
      </c>
      <c r="H201" s="41"/>
      <c r="I201" s="17"/>
      <c r="J201" s="2" t="s">
        <v>30</v>
      </c>
    </row>
    <row r="202" spans="1:10" ht="15" customHeight="1">
      <c r="A202" s="42">
        <v>87</v>
      </c>
      <c r="B202" s="38" t="s">
        <v>99</v>
      </c>
      <c r="C202" s="44" t="s">
        <v>62</v>
      </c>
      <c r="D202" s="45" t="s">
        <v>53</v>
      </c>
      <c r="E202" s="15">
        <v>348558</v>
      </c>
      <c r="F202" s="15">
        <v>362377</v>
      </c>
      <c r="G202" s="12">
        <f t="shared" ref="G202:G219" si="15">+F202-E202</f>
        <v>13819</v>
      </c>
      <c r="H202" s="40"/>
      <c r="I202" s="27"/>
      <c r="J202" s="2" t="s">
        <v>29</v>
      </c>
    </row>
    <row r="203" spans="1:10" ht="15" customHeight="1">
      <c r="A203" s="43"/>
      <c r="B203" s="39"/>
      <c r="C203" s="44"/>
      <c r="D203" s="46"/>
      <c r="E203" s="16">
        <f>E202-7309</f>
        <v>341249</v>
      </c>
      <c r="F203" s="16">
        <f>F202-8419</f>
        <v>353958</v>
      </c>
      <c r="G203" s="14">
        <f t="shared" si="15"/>
        <v>12709</v>
      </c>
      <c r="H203" s="41"/>
      <c r="I203" s="17"/>
      <c r="J203" s="2" t="s">
        <v>30</v>
      </c>
    </row>
    <row r="204" spans="1:10" ht="15" customHeight="1">
      <c r="A204" s="42">
        <v>88</v>
      </c>
      <c r="B204" s="38" t="s">
        <v>99</v>
      </c>
      <c r="C204" s="44" t="s">
        <v>64</v>
      </c>
      <c r="D204" s="45" t="s">
        <v>53</v>
      </c>
      <c r="E204" s="15">
        <v>645755</v>
      </c>
      <c r="F204" s="15">
        <v>637450</v>
      </c>
      <c r="G204" s="12">
        <f t="shared" si="15"/>
        <v>-8305</v>
      </c>
      <c r="H204" s="40"/>
      <c r="I204" s="27"/>
      <c r="J204" s="2" t="s">
        <v>29</v>
      </c>
    </row>
    <row r="205" spans="1:10" ht="15" customHeight="1">
      <c r="A205" s="43"/>
      <c r="B205" s="39"/>
      <c r="C205" s="44"/>
      <c r="D205" s="46"/>
      <c r="E205" s="16">
        <f>E204</f>
        <v>645755</v>
      </c>
      <c r="F205" s="16">
        <f>F204</f>
        <v>637450</v>
      </c>
      <c r="G205" s="14">
        <f t="shared" si="15"/>
        <v>-8305</v>
      </c>
      <c r="H205" s="41"/>
      <c r="I205" s="17"/>
      <c r="J205" s="2" t="s">
        <v>30</v>
      </c>
    </row>
    <row r="206" spans="1:10" ht="15" customHeight="1">
      <c r="A206" s="42">
        <v>89</v>
      </c>
      <c r="B206" s="38" t="s">
        <v>99</v>
      </c>
      <c r="C206" s="44" t="s">
        <v>70</v>
      </c>
      <c r="D206" s="45" t="s">
        <v>53</v>
      </c>
      <c r="E206" s="15">
        <v>189679</v>
      </c>
      <c r="F206" s="15">
        <v>189679</v>
      </c>
      <c r="G206" s="12">
        <f t="shared" si="15"/>
        <v>0</v>
      </c>
      <c r="H206" s="40"/>
      <c r="I206" s="27"/>
      <c r="J206" s="2" t="s">
        <v>29</v>
      </c>
    </row>
    <row r="207" spans="1:10" ht="15" customHeight="1">
      <c r="A207" s="43"/>
      <c r="B207" s="39"/>
      <c r="C207" s="44"/>
      <c r="D207" s="46"/>
      <c r="E207" s="16">
        <f>E206</f>
        <v>189679</v>
      </c>
      <c r="F207" s="16">
        <f>F206</f>
        <v>189679</v>
      </c>
      <c r="G207" s="14">
        <f t="shared" si="15"/>
        <v>0</v>
      </c>
      <c r="H207" s="41"/>
      <c r="I207" s="17"/>
      <c r="J207" s="2" t="s">
        <v>30</v>
      </c>
    </row>
    <row r="208" spans="1:10" ht="22.5" customHeight="1">
      <c r="A208" s="42">
        <v>90</v>
      </c>
      <c r="B208" s="38" t="s">
        <v>99</v>
      </c>
      <c r="C208" s="44" t="s">
        <v>115</v>
      </c>
      <c r="D208" s="45" t="s">
        <v>116</v>
      </c>
      <c r="E208" s="15">
        <v>6997165</v>
      </c>
      <c r="F208" s="15">
        <f>6662489+270434+758416+556689+277660</f>
        <v>8525688</v>
      </c>
      <c r="G208" s="12">
        <f t="shared" si="15"/>
        <v>1528523</v>
      </c>
      <c r="H208" s="40"/>
      <c r="I208" s="27"/>
      <c r="J208" s="2" t="s">
        <v>29</v>
      </c>
    </row>
    <row r="209" spans="1:10" ht="22.5" customHeight="1">
      <c r="A209" s="43"/>
      <c r="B209" s="39"/>
      <c r="C209" s="44"/>
      <c r="D209" s="46"/>
      <c r="E209" s="16">
        <f>E208-9170</f>
        <v>6987995</v>
      </c>
      <c r="F209" s="16">
        <f>F208-10034-407</f>
        <v>8515247</v>
      </c>
      <c r="G209" s="14">
        <f t="shared" si="15"/>
        <v>1527252</v>
      </c>
      <c r="H209" s="41"/>
      <c r="I209" s="17"/>
      <c r="J209" s="2" t="s">
        <v>30</v>
      </c>
    </row>
    <row r="210" spans="1:10" ht="15" customHeight="1">
      <c r="A210" s="42">
        <v>91</v>
      </c>
      <c r="B210" s="38" t="s">
        <v>99</v>
      </c>
      <c r="C210" s="44" t="s">
        <v>117</v>
      </c>
      <c r="D210" s="45" t="s">
        <v>69</v>
      </c>
      <c r="E210" s="15">
        <v>6289</v>
      </c>
      <c r="F210" s="15">
        <v>8180</v>
      </c>
      <c r="G210" s="12">
        <f t="shared" si="15"/>
        <v>1891</v>
      </c>
      <c r="H210" s="40"/>
      <c r="I210" s="27"/>
      <c r="J210" s="2" t="s">
        <v>29</v>
      </c>
    </row>
    <row r="211" spans="1:10" ht="15" customHeight="1">
      <c r="A211" s="43"/>
      <c r="B211" s="39"/>
      <c r="C211" s="44"/>
      <c r="D211" s="46"/>
      <c r="E211" s="16">
        <f>E210</f>
        <v>6289</v>
      </c>
      <c r="F211" s="16">
        <f>F210</f>
        <v>8180</v>
      </c>
      <c r="G211" s="14">
        <f t="shared" si="15"/>
        <v>1891</v>
      </c>
      <c r="H211" s="41"/>
      <c r="I211" s="17"/>
      <c r="J211" s="2" t="s">
        <v>30</v>
      </c>
    </row>
    <row r="212" spans="1:10" ht="15" customHeight="1">
      <c r="A212" s="42">
        <v>92</v>
      </c>
      <c r="B212" s="38" t="s">
        <v>99</v>
      </c>
      <c r="C212" s="44" t="s">
        <v>118</v>
      </c>
      <c r="D212" s="45" t="s">
        <v>105</v>
      </c>
      <c r="E212" s="15">
        <v>2280</v>
      </c>
      <c r="F212" s="15">
        <v>1870</v>
      </c>
      <c r="G212" s="12">
        <f t="shared" si="15"/>
        <v>-410</v>
      </c>
      <c r="H212" s="26"/>
      <c r="I212" s="27"/>
      <c r="J212" s="2" t="s">
        <v>29</v>
      </c>
    </row>
    <row r="213" spans="1:10" ht="15" customHeight="1">
      <c r="A213" s="43"/>
      <c r="B213" s="39"/>
      <c r="C213" s="44"/>
      <c r="D213" s="46"/>
      <c r="E213" s="16">
        <f>E212</f>
        <v>2280</v>
      </c>
      <c r="F213" s="16">
        <f>F212</f>
        <v>1870</v>
      </c>
      <c r="G213" s="14">
        <f t="shared" si="15"/>
        <v>-410</v>
      </c>
      <c r="H213" s="26"/>
      <c r="I213" s="17"/>
      <c r="J213" s="2" t="s">
        <v>30</v>
      </c>
    </row>
    <row r="214" spans="1:10" ht="15" customHeight="1">
      <c r="A214" s="42">
        <v>93</v>
      </c>
      <c r="B214" s="38" t="s">
        <v>99</v>
      </c>
      <c r="C214" s="44" t="s">
        <v>119</v>
      </c>
      <c r="D214" s="45" t="s">
        <v>39</v>
      </c>
      <c r="E214" s="15">
        <v>230741</v>
      </c>
      <c r="F214" s="15">
        <v>387018</v>
      </c>
      <c r="G214" s="12">
        <f t="shared" si="15"/>
        <v>156277</v>
      </c>
      <c r="H214" s="40"/>
      <c r="I214" s="27"/>
      <c r="J214" s="2" t="s">
        <v>29</v>
      </c>
    </row>
    <row r="215" spans="1:10" ht="15" customHeight="1">
      <c r="A215" s="43"/>
      <c r="B215" s="39"/>
      <c r="C215" s="44"/>
      <c r="D215" s="46"/>
      <c r="E215" s="16">
        <f>E214-51648</f>
        <v>179093</v>
      </c>
      <c r="F215" s="16">
        <f>F214-80040</f>
        <v>306978</v>
      </c>
      <c r="G215" s="14">
        <f t="shared" si="15"/>
        <v>127885</v>
      </c>
      <c r="H215" s="41"/>
      <c r="I215" s="17"/>
      <c r="J215" s="2" t="s">
        <v>30</v>
      </c>
    </row>
    <row r="216" spans="1:10" ht="26.25" customHeight="1">
      <c r="A216" s="42">
        <v>94</v>
      </c>
      <c r="B216" s="38" t="s">
        <v>99</v>
      </c>
      <c r="C216" s="44" t="s">
        <v>120</v>
      </c>
      <c r="D216" s="45" t="s">
        <v>39</v>
      </c>
      <c r="E216" s="15">
        <v>182826</v>
      </c>
      <c r="F216" s="15">
        <v>146612</v>
      </c>
      <c r="G216" s="12">
        <f t="shared" si="15"/>
        <v>-36214</v>
      </c>
      <c r="H216" s="40"/>
      <c r="I216" s="27"/>
      <c r="J216" s="2" t="s">
        <v>29</v>
      </c>
    </row>
    <row r="217" spans="1:10" ht="26.25" customHeight="1">
      <c r="A217" s="43"/>
      <c r="B217" s="39"/>
      <c r="C217" s="44"/>
      <c r="D217" s="46"/>
      <c r="E217" s="16">
        <f>E216-44640</f>
        <v>138186</v>
      </c>
      <c r="F217" s="16">
        <f>F216-34560</f>
        <v>112052</v>
      </c>
      <c r="G217" s="14">
        <f t="shared" si="15"/>
        <v>-26134</v>
      </c>
      <c r="H217" s="41"/>
      <c r="I217" s="17"/>
      <c r="J217" s="2" t="s">
        <v>30</v>
      </c>
    </row>
    <row r="218" spans="1:10" ht="15" customHeight="1">
      <c r="A218" s="42">
        <v>95</v>
      </c>
      <c r="B218" s="38" t="s">
        <v>99</v>
      </c>
      <c r="C218" s="44" t="s">
        <v>121</v>
      </c>
      <c r="D218" s="45" t="s">
        <v>21</v>
      </c>
      <c r="E218" s="12">
        <v>1500</v>
      </c>
      <c r="F218" s="12">
        <v>2000</v>
      </c>
      <c r="G218" s="12">
        <f t="shared" si="15"/>
        <v>500</v>
      </c>
      <c r="H218" s="40"/>
      <c r="I218" s="27"/>
      <c r="J218" s="2" t="s">
        <v>29</v>
      </c>
    </row>
    <row r="219" spans="1:10" ht="15" customHeight="1">
      <c r="A219" s="43"/>
      <c r="B219" s="39"/>
      <c r="C219" s="44"/>
      <c r="D219" s="46"/>
      <c r="E219" s="16">
        <v>0</v>
      </c>
      <c r="F219" s="16">
        <f>F218-2000</f>
        <v>0</v>
      </c>
      <c r="G219" s="14">
        <f t="shared" si="15"/>
        <v>0</v>
      </c>
      <c r="H219" s="41"/>
      <c r="I219" s="17"/>
      <c r="J219" s="2" t="s">
        <v>30</v>
      </c>
    </row>
    <row r="220" spans="1:10" ht="15" customHeight="1">
      <c r="A220" s="42">
        <v>96</v>
      </c>
      <c r="B220" s="38" t="s">
        <v>99</v>
      </c>
      <c r="C220" s="44" t="s">
        <v>194</v>
      </c>
      <c r="D220" s="45" t="s">
        <v>39</v>
      </c>
      <c r="E220" s="15">
        <v>434</v>
      </c>
      <c r="F220" s="15">
        <v>1054</v>
      </c>
      <c r="G220" s="12">
        <f t="shared" ref="G220:G221" si="16">+F220-E220</f>
        <v>620</v>
      </c>
      <c r="H220" s="40"/>
      <c r="I220" s="27"/>
      <c r="J220" s="2" t="s">
        <v>29</v>
      </c>
    </row>
    <row r="221" spans="1:10" ht="15" customHeight="1">
      <c r="A221" s="43"/>
      <c r="B221" s="39"/>
      <c r="C221" s="44"/>
      <c r="D221" s="46"/>
      <c r="E221" s="16">
        <f>E220</f>
        <v>434</v>
      </c>
      <c r="F221" s="16">
        <f>F220</f>
        <v>1054</v>
      </c>
      <c r="G221" s="14">
        <f t="shared" si="16"/>
        <v>620</v>
      </c>
      <c r="H221" s="41"/>
      <c r="I221" s="17"/>
      <c r="J221" s="2" t="s">
        <v>30</v>
      </c>
    </row>
    <row r="222" spans="1:10" ht="15" customHeight="1">
      <c r="A222" s="42">
        <v>97</v>
      </c>
      <c r="B222" s="38" t="s">
        <v>99</v>
      </c>
      <c r="C222" s="44" t="s">
        <v>227</v>
      </c>
      <c r="D222" s="45" t="s">
        <v>53</v>
      </c>
      <c r="E222" s="15">
        <v>0</v>
      </c>
      <c r="F222" s="15">
        <v>43823</v>
      </c>
      <c r="G222" s="12">
        <f t="shared" ref="G222:G223" si="17">+F222-E222</f>
        <v>43823</v>
      </c>
      <c r="H222" s="40"/>
      <c r="I222" s="27"/>
      <c r="J222" s="2" t="s">
        <v>29</v>
      </c>
    </row>
    <row r="223" spans="1:10" ht="15" customHeight="1">
      <c r="A223" s="43"/>
      <c r="B223" s="39"/>
      <c r="C223" s="44"/>
      <c r="D223" s="46"/>
      <c r="E223" s="16">
        <f>E222</f>
        <v>0</v>
      </c>
      <c r="F223" s="16">
        <f>F222</f>
        <v>43823</v>
      </c>
      <c r="G223" s="14">
        <f t="shared" si="17"/>
        <v>43823</v>
      </c>
      <c r="H223" s="41"/>
      <c r="I223" s="17"/>
      <c r="J223" s="2" t="s">
        <v>30</v>
      </c>
    </row>
    <row r="224" spans="1:10" ht="22.5" customHeight="1">
      <c r="A224" s="42">
        <v>98</v>
      </c>
      <c r="B224" s="38" t="s">
        <v>99</v>
      </c>
      <c r="C224" s="47" t="s">
        <v>114</v>
      </c>
      <c r="D224" s="45" t="s">
        <v>44</v>
      </c>
      <c r="E224" s="15">
        <v>1844</v>
      </c>
      <c r="F224" s="15">
        <v>0</v>
      </c>
      <c r="G224" s="12">
        <f>+F224-E224</f>
        <v>-1844</v>
      </c>
      <c r="H224" s="40"/>
      <c r="I224" s="27"/>
      <c r="J224" s="2" t="s">
        <v>29</v>
      </c>
    </row>
    <row r="225" spans="1:10" ht="22.5" customHeight="1">
      <c r="A225" s="43"/>
      <c r="B225" s="39"/>
      <c r="C225" s="47"/>
      <c r="D225" s="46"/>
      <c r="E225" s="16">
        <f>E224</f>
        <v>1844</v>
      </c>
      <c r="F225" s="16">
        <f>F224</f>
        <v>0</v>
      </c>
      <c r="G225" s="14">
        <f>+F225-E225</f>
        <v>-1844</v>
      </c>
      <c r="H225" s="41"/>
      <c r="I225" s="17"/>
      <c r="J225" s="2" t="s">
        <v>30</v>
      </c>
    </row>
    <row r="226" spans="1:10" ht="15" customHeight="1">
      <c r="A226" s="49" t="s">
        <v>122</v>
      </c>
      <c r="B226" s="50"/>
      <c r="C226" s="50"/>
      <c r="D226" s="51"/>
      <c r="E226" s="15">
        <f>E172+E174+E176+E178+E180+E182+E184+E186+E188+E190+E194+E196+E198+E200+E202+E204+E224+E206+E208+E210+E212+E214+E216+E218+E220+E192+E222</f>
        <v>26293481</v>
      </c>
      <c r="F226" s="15">
        <f t="shared" ref="F226:G226" si="18">F172+F174+F176+F178+F180+F182+F184+F186+F188+F190+F194+F196+F198+F200+F202+F204+F224+F206+F208+F210+F212+F214+F216+F218+F220+F192+F222</f>
        <v>26066881</v>
      </c>
      <c r="G226" s="15">
        <f t="shared" si="18"/>
        <v>-226600</v>
      </c>
      <c r="H226" s="40"/>
      <c r="I226" s="27"/>
    </row>
    <row r="227" spans="1:10" ht="15" customHeight="1">
      <c r="A227" s="52"/>
      <c r="B227" s="53"/>
      <c r="C227" s="53"/>
      <c r="D227" s="55"/>
      <c r="E227" s="16">
        <f>E173+E175+E177+E179+E181+E183+E185+E187+E189+E191+E195+E197+E199+E201+E203+E205+E225+E207+E209+E211+E213+E215+E217+E219+E221+E193+E223</f>
        <v>24043521</v>
      </c>
      <c r="F227" s="16">
        <f t="shared" ref="F227:G227" si="19">F173+F175+F177+F179+F181+F183+F185+F187+F189+F191+F195+F197+F199+F201+F203+F205+F225+F207+F209+F211+F213+F215+F217+F219+F221+F193+F223</f>
        <v>23822915</v>
      </c>
      <c r="G227" s="14">
        <f t="shared" si="19"/>
        <v>-220606</v>
      </c>
      <c r="H227" s="41"/>
      <c r="I227" s="17"/>
    </row>
    <row r="228" spans="1:10" ht="22.5" customHeight="1">
      <c r="A228" s="42">
        <v>99</v>
      </c>
      <c r="B228" s="38" t="s">
        <v>123</v>
      </c>
      <c r="C228" s="48" t="s">
        <v>96</v>
      </c>
      <c r="D228" s="45" t="s">
        <v>189</v>
      </c>
      <c r="E228" s="15">
        <v>277811</v>
      </c>
      <c r="F228" s="15">
        <v>277571</v>
      </c>
      <c r="G228" s="12">
        <f t="shared" ref="G228:G283" si="20">+F228-E228</f>
        <v>-240</v>
      </c>
      <c r="H228" s="40"/>
      <c r="I228" s="27"/>
      <c r="J228" s="2" t="s">
        <v>29</v>
      </c>
    </row>
    <row r="229" spans="1:10" ht="22.5" customHeight="1">
      <c r="A229" s="43"/>
      <c r="B229" s="39"/>
      <c r="C229" s="48"/>
      <c r="D229" s="46"/>
      <c r="E229" s="16">
        <f>E228</f>
        <v>277811</v>
      </c>
      <c r="F229" s="16">
        <f>F228</f>
        <v>277571</v>
      </c>
      <c r="G229" s="14">
        <f t="shared" si="20"/>
        <v>-240</v>
      </c>
      <c r="H229" s="41"/>
      <c r="I229" s="17"/>
      <c r="J229" s="2" t="s">
        <v>30</v>
      </c>
    </row>
    <row r="230" spans="1:10" ht="15" customHeight="1">
      <c r="A230" s="42">
        <v>100</v>
      </c>
      <c r="B230" s="38" t="s">
        <v>123</v>
      </c>
      <c r="C230" s="48" t="s">
        <v>97</v>
      </c>
      <c r="D230" s="45" t="s">
        <v>25</v>
      </c>
      <c r="E230" s="15">
        <v>38898741</v>
      </c>
      <c r="F230" s="15">
        <f>41806904-F228</f>
        <v>41529333</v>
      </c>
      <c r="G230" s="12">
        <f t="shared" si="20"/>
        <v>2630592</v>
      </c>
      <c r="H230" s="40"/>
      <c r="I230" s="27"/>
      <c r="J230" s="2" t="s">
        <v>29</v>
      </c>
    </row>
    <row r="231" spans="1:10" ht="15" customHeight="1">
      <c r="A231" s="43"/>
      <c r="B231" s="39"/>
      <c r="C231" s="48"/>
      <c r="D231" s="46"/>
      <c r="E231" s="16">
        <f>E230-9921640-142113</f>
        <v>28834988</v>
      </c>
      <c r="F231" s="16">
        <f>F230-10028194-133601</f>
        <v>31367538</v>
      </c>
      <c r="G231" s="14">
        <f t="shared" si="20"/>
        <v>2532550</v>
      </c>
      <c r="H231" s="41"/>
      <c r="I231" s="17"/>
      <c r="J231" s="2" t="s">
        <v>30</v>
      </c>
    </row>
    <row r="232" spans="1:10" ht="15" customHeight="1">
      <c r="A232" s="49" t="s">
        <v>124</v>
      </c>
      <c r="B232" s="50"/>
      <c r="C232" s="54"/>
      <c r="D232" s="51"/>
      <c r="E232" s="15">
        <f>E228+E230</f>
        <v>39176552</v>
      </c>
      <c r="F232" s="15">
        <f>F228+F230</f>
        <v>41806904</v>
      </c>
      <c r="G232" s="12">
        <f t="shared" si="20"/>
        <v>2630352</v>
      </c>
      <c r="H232" s="40"/>
      <c r="I232" s="27"/>
    </row>
    <row r="233" spans="1:10" ht="15" customHeight="1">
      <c r="A233" s="52"/>
      <c r="B233" s="53"/>
      <c r="C233" s="54"/>
      <c r="D233" s="55"/>
      <c r="E233" s="16">
        <f>E229+E231</f>
        <v>29112799</v>
      </c>
      <c r="F233" s="16">
        <f>F229+F231</f>
        <v>31645109</v>
      </c>
      <c r="G233" s="14">
        <f t="shared" si="20"/>
        <v>2532310</v>
      </c>
      <c r="H233" s="41"/>
      <c r="I233" s="17"/>
    </row>
    <row r="234" spans="1:10" ht="15" customHeight="1">
      <c r="A234" s="42">
        <v>101</v>
      </c>
      <c r="B234" s="38" t="s">
        <v>125</v>
      </c>
      <c r="C234" s="44" t="s">
        <v>100</v>
      </c>
      <c r="D234" s="45" t="s">
        <v>39</v>
      </c>
      <c r="E234" s="15">
        <v>164997</v>
      </c>
      <c r="F234" s="15">
        <v>169813</v>
      </c>
      <c r="G234" s="12">
        <f t="shared" si="20"/>
        <v>4816</v>
      </c>
      <c r="H234" s="40"/>
      <c r="I234" s="27"/>
      <c r="J234" s="2" t="s">
        <v>29</v>
      </c>
    </row>
    <row r="235" spans="1:10" ht="15" customHeight="1">
      <c r="A235" s="43"/>
      <c r="B235" s="39"/>
      <c r="C235" s="44"/>
      <c r="D235" s="46"/>
      <c r="E235" s="16">
        <f>E234-54027</f>
        <v>110970</v>
      </c>
      <c r="F235" s="16">
        <f>F234-54136</f>
        <v>115677</v>
      </c>
      <c r="G235" s="14">
        <f t="shared" si="20"/>
        <v>4707</v>
      </c>
      <c r="H235" s="41"/>
      <c r="I235" s="17"/>
      <c r="J235" s="2" t="s">
        <v>30</v>
      </c>
    </row>
    <row r="236" spans="1:10" ht="15" customHeight="1">
      <c r="A236" s="42">
        <v>102</v>
      </c>
      <c r="B236" s="38" t="s">
        <v>125</v>
      </c>
      <c r="C236" s="44" t="s">
        <v>101</v>
      </c>
      <c r="D236" s="45" t="s">
        <v>39</v>
      </c>
      <c r="E236" s="15">
        <v>1322</v>
      </c>
      <c r="F236" s="15">
        <v>1322</v>
      </c>
      <c r="G236" s="12">
        <f t="shared" si="20"/>
        <v>0</v>
      </c>
      <c r="H236" s="40"/>
      <c r="I236" s="27"/>
      <c r="J236" s="2" t="s">
        <v>29</v>
      </c>
    </row>
    <row r="237" spans="1:10" ht="15" customHeight="1">
      <c r="A237" s="43"/>
      <c r="B237" s="39"/>
      <c r="C237" s="44"/>
      <c r="D237" s="46"/>
      <c r="E237" s="16">
        <f>E236-439</f>
        <v>883</v>
      </c>
      <c r="F237" s="16">
        <f>F236-439</f>
        <v>883</v>
      </c>
      <c r="G237" s="14">
        <f t="shared" si="20"/>
        <v>0</v>
      </c>
      <c r="H237" s="41"/>
      <c r="I237" s="17"/>
      <c r="J237" s="2" t="s">
        <v>30</v>
      </c>
    </row>
    <row r="238" spans="1:10" ht="15" customHeight="1">
      <c r="A238" s="42">
        <v>103</v>
      </c>
      <c r="B238" s="38" t="s">
        <v>125</v>
      </c>
      <c r="C238" s="44" t="s">
        <v>102</v>
      </c>
      <c r="D238" s="45" t="s">
        <v>103</v>
      </c>
      <c r="E238" s="15">
        <v>8164</v>
      </c>
      <c r="F238" s="15">
        <f>5547+2842</f>
        <v>8389</v>
      </c>
      <c r="G238" s="12">
        <f t="shared" si="20"/>
        <v>225</v>
      </c>
      <c r="H238" s="40"/>
      <c r="I238" s="27"/>
      <c r="J238" s="2" t="s">
        <v>29</v>
      </c>
    </row>
    <row r="239" spans="1:10" ht="15" customHeight="1">
      <c r="A239" s="43"/>
      <c r="B239" s="39"/>
      <c r="C239" s="44"/>
      <c r="D239" s="46"/>
      <c r="E239" s="16">
        <f>E238</f>
        <v>8164</v>
      </c>
      <c r="F239" s="16">
        <f>F238</f>
        <v>8389</v>
      </c>
      <c r="G239" s="14">
        <f t="shared" si="20"/>
        <v>225</v>
      </c>
      <c r="H239" s="41"/>
      <c r="I239" s="17"/>
      <c r="J239" s="2" t="s">
        <v>30</v>
      </c>
    </row>
    <row r="240" spans="1:10" ht="15" customHeight="1">
      <c r="A240" s="42">
        <v>104</v>
      </c>
      <c r="B240" s="38" t="s">
        <v>125</v>
      </c>
      <c r="C240" s="44" t="s">
        <v>104</v>
      </c>
      <c r="D240" s="45" t="s">
        <v>105</v>
      </c>
      <c r="E240" s="15">
        <v>53717</v>
      </c>
      <c r="F240" s="15">
        <v>62427</v>
      </c>
      <c r="G240" s="12">
        <f t="shared" si="20"/>
        <v>8710</v>
      </c>
      <c r="H240" s="40"/>
      <c r="I240" s="27"/>
      <c r="J240" s="2" t="s">
        <v>29</v>
      </c>
    </row>
    <row r="241" spans="1:10" ht="15" customHeight="1">
      <c r="A241" s="43"/>
      <c r="B241" s="39"/>
      <c r="C241" s="44"/>
      <c r="D241" s="46"/>
      <c r="E241" s="16">
        <f>E240</f>
        <v>53717</v>
      </c>
      <c r="F241" s="16">
        <f>F240</f>
        <v>62427</v>
      </c>
      <c r="G241" s="14">
        <f t="shared" si="20"/>
        <v>8710</v>
      </c>
      <c r="H241" s="41"/>
      <c r="I241" s="17"/>
      <c r="J241" s="2" t="s">
        <v>30</v>
      </c>
    </row>
    <row r="242" spans="1:10" ht="22.5" customHeight="1">
      <c r="A242" s="42">
        <v>105</v>
      </c>
      <c r="B242" s="38" t="s">
        <v>125</v>
      </c>
      <c r="C242" s="44" t="s">
        <v>106</v>
      </c>
      <c r="D242" s="45" t="s">
        <v>44</v>
      </c>
      <c r="E242" s="12">
        <v>108129</v>
      </c>
      <c r="F242" s="12">
        <v>109879</v>
      </c>
      <c r="G242" s="12">
        <f t="shared" si="20"/>
        <v>1750</v>
      </c>
      <c r="H242" s="40"/>
      <c r="I242" s="27"/>
      <c r="J242" s="2" t="s">
        <v>29</v>
      </c>
    </row>
    <row r="243" spans="1:10" ht="22.5" customHeight="1">
      <c r="A243" s="43"/>
      <c r="B243" s="39"/>
      <c r="C243" s="44"/>
      <c r="D243" s="46"/>
      <c r="E243" s="16">
        <f>E242</f>
        <v>108129</v>
      </c>
      <c r="F243" s="16">
        <f>F242</f>
        <v>109879</v>
      </c>
      <c r="G243" s="14">
        <f t="shared" si="20"/>
        <v>1750</v>
      </c>
      <c r="H243" s="41"/>
      <c r="I243" s="17"/>
      <c r="J243" s="2" t="s">
        <v>30</v>
      </c>
    </row>
    <row r="244" spans="1:10" ht="22.5" customHeight="1">
      <c r="A244" s="42">
        <v>106</v>
      </c>
      <c r="B244" s="38" t="s">
        <v>125</v>
      </c>
      <c r="C244" s="44" t="s">
        <v>107</v>
      </c>
      <c r="D244" s="45" t="s">
        <v>108</v>
      </c>
      <c r="E244" s="15">
        <v>1295085</v>
      </c>
      <c r="F244" s="15">
        <f>1327361+106</f>
        <v>1327467</v>
      </c>
      <c r="G244" s="12">
        <f t="shared" si="20"/>
        <v>32382</v>
      </c>
      <c r="H244" s="40"/>
      <c r="I244" s="27"/>
      <c r="J244" s="2" t="s">
        <v>29</v>
      </c>
    </row>
    <row r="245" spans="1:10" ht="22.5" customHeight="1">
      <c r="A245" s="43"/>
      <c r="B245" s="39"/>
      <c r="C245" s="44"/>
      <c r="D245" s="46"/>
      <c r="E245" s="16">
        <f>E244-39046</f>
        <v>1256039</v>
      </c>
      <c r="F245" s="16">
        <f>F244-40046</f>
        <v>1287421</v>
      </c>
      <c r="G245" s="14">
        <f t="shared" si="20"/>
        <v>31382</v>
      </c>
      <c r="H245" s="41"/>
      <c r="I245" s="17"/>
      <c r="J245" s="2" t="s">
        <v>30</v>
      </c>
    </row>
    <row r="246" spans="1:10" ht="15" customHeight="1">
      <c r="A246" s="42">
        <v>107</v>
      </c>
      <c r="B246" s="38" t="s">
        <v>125</v>
      </c>
      <c r="C246" s="44" t="s">
        <v>109</v>
      </c>
      <c r="D246" s="45" t="s">
        <v>69</v>
      </c>
      <c r="E246" s="15">
        <v>47666</v>
      </c>
      <c r="F246" s="15">
        <v>48133</v>
      </c>
      <c r="G246" s="12">
        <f t="shared" si="20"/>
        <v>467</v>
      </c>
      <c r="H246" s="40"/>
      <c r="I246" s="27"/>
      <c r="J246" s="2" t="s">
        <v>29</v>
      </c>
    </row>
    <row r="247" spans="1:10" ht="15" customHeight="1">
      <c r="A247" s="43"/>
      <c r="B247" s="39"/>
      <c r="C247" s="44"/>
      <c r="D247" s="46"/>
      <c r="E247" s="16">
        <f>E246-22467</f>
        <v>25199</v>
      </c>
      <c r="F247" s="16">
        <f>F246-22726</f>
        <v>25407</v>
      </c>
      <c r="G247" s="14">
        <f t="shared" si="20"/>
        <v>208</v>
      </c>
      <c r="H247" s="41"/>
      <c r="I247" s="17"/>
      <c r="J247" s="2" t="s">
        <v>30</v>
      </c>
    </row>
    <row r="248" spans="1:10" ht="15" customHeight="1">
      <c r="A248" s="42">
        <v>108</v>
      </c>
      <c r="B248" s="38" t="s">
        <v>125</v>
      </c>
      <c r="C248" s="44" t="s">
        <v>110</v>
      </c>
      <c r="D248" s="45" t="s">
        <v>53</v>
      </c>
      <c r="E248" s="15">
        <v>2338</v>
      </c>
      <c r="F248" s="15">
        <v>2338</v>
      </c>
      <c r="G248" s="12">
        <f t="shared" si="20"/>
        <v>0</v>
      </c>
      <c r="H248" s="40"/>
      <c r="I248" s="27"/>
      <c r="J248" s="2" t="s">
        <v>29</v>
      </c>
    </row>
    <row r="249" spans="1:10" ht="15" customHeight="1">
      <c r="A249" s="43"/>
      <c r="B249" s="39"/>
      <c r="C249" s="44"/>
      <c r="D249" s="46"/>
      <c r="E249" s="16">
        <f>E248-1169</f>
        <v>1169</v>
      </c>
      <c r="F249" s="16">
        <f>F248-1169</f>
        <v>1169</v>
      </c>
      <c r="G249" s="14">
        <f t="shared" si="20"/>
        <v>0</v>
      </c>
      <c r="H249" s="41"/>
      <c r="I249" s="17"/>
      <c r="J249" s="2" t="s">
        <v>30</v>
      </c>
    </row>
    <row r="250" spans="1:10" ht="15" customHeight="1">
      <c r="A250" s="42">
        <v>109</v>
      </c>
      <c r="B250" s="38" t="s">
        <v>125</v>
      </c>
      <c r="C250" s="44" t="s">
        <v>111</v>
      </c>
      <c r="D250" s="45" t="s">
        <v>105</v>
      </c>
      <c r="E250" s="15">
        <v>177982</v>
      </c>
      <c r="F250" s="15">
        <v>179474</v>
      </c>
      <c r="G250" s="12">
        <f t="shared" si="20"/>
        <v>1492</v>
      </c>
      <c r="H250" s="40"/>
      <c r="I250" s="27"/>
      <c r="J250" s="2" t="s">
        <v>29</v>
      </c>
    </row>
    <row r="251" spans="1:10" ht="15" customHeight="1">
      <c r="A251" s="43"/>
      <c r="B251" s="39"/>
      <c r="C251" s="44"/>
      <c r="D251" s="46"/>
      <c r="E251" s="16">
        <f>E250</f>
        <v>177982</v>
      </c>
      <c r="F251" s="16">
        <f>F250</f>
        <v>179474</v>
      </c>
      <c r="G251" s="14">
        <f t="shared" si="20"/>
        <v>1492</v>
      </c>
      <c r="H251" s="41"/>
      <c r="I251" s="17"/>
      <c r="J251" s="2" t="s">
        <v>30</v>
      </c>
    </row>
    <row r="252" spans="1:10" ht="15" customHeight="1">
      <c r="A252" s="42">
        <v>110</v>
      </c>
      <c r="B252" s="38" t="s">
        <v>125</v>
      </c>
      <c r="C252" s="44" t="s">
        <v>51</v>
      </c>
      <c r="D252" s="45" t="s">
        <v>69</v>
      </c>
      <c r="E252" s="15">
        <v>3032159</v>
      </c>
      <c r="F252" s="15">
        <v>3364145</v>
      </c>
      <c r="G252" s="12">
        <f t="shared" si="20"/>
        <v>331986</v>
      </c>
      <c r="H252" s="40"/>
      <c r="I252" s="27"/>
      <c r="J252" s="2" t="s">
        <v>29</v>
      </c>
    </row>
    <row r="253" spans="1:10" ht="15" customHeight="1">
      <c r="A253" s="43"/>
      <c r="B253" s="39"/>
      <c r="C253" s="44"/>
      <c r="D253" s="46"/>
      <c r="E253" s="16">
        <f>E252-3032159</f>
        <v>0</v>
      </c>
      <c r="F253" s="16">
        <f>F252-3364145</f>
        <v>0</v>
      </c>
      <c r="G253" s="14">
        <f t="shared" si="20"/>
        <v>0</v>
      </c>
      <c r="H253" s="41"/>
      <c r="I253" s="17"/>
      <c r="J253" s="2" t="s">
        <v>30</v>
      </c>
    </row>
    <row r="254" spans="1:10" ht="15" customHeight="1">
      <c r="A254" s="42">
        <v>111</v>
      </c>
      <c r="B254" s="38" t="s">
        <v>125</v>
      </c>
      <c r="C254" s="44" t="s">
        <v>228</v>
      </c>
      <c r="D254" s="45" t="s">
        <v>69</v>
      </c>
      <c r="E254" s="15">
        <v>0</v>
      </c>
      <c r="F254" s="15">
        <v>0</v>
      </c>
      <c r="G254" s="12">
        <f t="shared" si="20"/>
        <v>0</v>
      </c>
      <c r="H254" s="40"/>
      <c r="I254" s="27"/>
      <c r="J254" s="2" t="s">
        <v>29</v>
      </c>
    </row>
    <row r="255" spans="1:10" ht="15" customHeight="1">
      <c r="A255" s="43"/>
      <c r="B255" s="39"/>
      <c r="C255" s="44"/>
      <c r="D255" s="46"/>
      <c r="E255" s="14">
        <f>E254-(-2061367)</f>
        <v>2061367</v>
      </c>
      <c r="F255" s="14">
        <f>F254-(-2288024)</f>
        <v>2288024</v>
      </c>
      <c r="G255" s="14">
        <f t="shared" si="20"/>
        <v>226657</v>
      </c>
      <c r="H255" s="41"/>
      <c r="I255" s="17"/>
      <c r="J255" s="2" t="s">
        <v>30</v>
      </c>
    </row>
    <row r="256" spans="1:10" ht="15" customHeight="1">
      <c r="A256" s="42">
        <v>112</v>
      </c>
      <c r="B256" s="38" t="s">
        <v>125</v>
      </c>
      <c r="C256" s="44" t="s">
        <v>113</v>
      </c>
      <c r="D256" s="45" t="s">
        <v>69</v>
      </c>
      <c r="E256" s="15">
        <v>231334</v>
      </c>
      <c r="F256" s="15">
        <v>304852</v>
      </c>
      <c r="G256" s="12">
        <f t="shared" si="20"/>
        <v>73518</v>
      </c>
      <c r="H256" s="26"/>
      <c r="I256" s="27"/>
      <c r="J256" s="2" t="s">
        <v>29</v>
      </c>
    </row>
    <row r="257" spans="1:10" ht="15" customHeight="1">
      <c r="A257" s="43"/>
      <c r="B257" s="39"/>
      <c r="C257" s="44"/>
      <c r="D257" s="46"/>
      <c r="E257" s="16">
        <f>E256</f>
        <v>231334</v>
      </c>
      <c r="F257" s="16">
        <f>F256</f>
        <v>304852</v>
      </c>
      <c r="G257" s="14">
        <f t="shared" si="20"/>
        <v>73518</v>
      </c>
      <c r="H257" s="26"/>
      <c r="I257" s="17"/>
      <c r="J257" s="2" t="s">
        <v>30</v>
      </c>
    </row>
    <row r="258" spans="1:10" ht="15" customHeight="1">
      <c r="A258" s="42">
        <v>113</v>
      </c>
      <c r="B258" s="38" t="s">
        <v>125</v>
      </c>
      <c r="C258" s="44" t="s">
        <v>61</v>
      </c>
      <c r="D258" s="45" t="s">
        <v>69</v>
      </c>
      <c r="E258" s="15">
        <v>3496252</v>
      </c>
      <c r="F258" s="15">
        <v>3496179</v>
      </c>
      <c r="G258" s="12">
        <f t="shared" si="20"/>
        <v>-73</v>
      </c>
      <c r="H258" s="40"/>
      <c r="I258" s="27"/>
      <c r="J258" s="2" t="s">
        <v>29</v>
      </c>
    </row>
    <row r="259" spans="1:10" ht="15" customHeight="1">
      <c r="A259" s="43"/>
      <c r="B259" s="39"/>
      <c r="C259" s="44"/>
      <c r="D259" s="46"/>
      <c r="E259" s="16">
        <f>E258</f>
        <v>3496252</v>
      </c>
      <c r="F259" s="16">
        <f>F258</f>
        <v>3496179</v>
      </c>
      <c r="G259" s="14">
        <f t="shared" si="20"/>
        <v>-73</v>
      </c>
      <c r="H259" s="41"/>
      <c r="I259" s="17"/>
      <c r="J259" s="2" t="s">
        <v>30</v>
      </c>
    </row>
    <row r="260" spans="1:10" ht="22.5" customHeight="1">
      <c r="A260" s="42">
        <v>114</v>
      </c>
      <c r="B260" s="38" t="s">
        <v>125</v>
      </c>
      <c r="C260" s="44" t="s">
        <v>78</v>
      </c>
      <c r="D260" s="45" t="s">
        <v>44</v>
      </c>
      <c r="E260" s="15">
        <v>1651818</v>
      </c>
      <c r="F260" s="15">
        <f>267755+1256680</f>
        <v>1524435</v>
      </c>
      <c r="G260" s="12">
        <f t="shared" si="20"/>
        <v>-127383</v>
      </c>
      <c r="H260" s="40"/>
      <c r="I260" s="27"/>
      <c r="J260" s="2" t="s">
        <v>29</v>
      </c>
    </row>
    <row r="261" spans="1:10" ht="22.5" customHeight="1">
      <c r="A261" s="43"/>
      <c r="B261" s="39"/>
      <c r="C261" s="44"/>
      <c r="D261" s="46"/>
      <c r="E261" s="16">
        <f>E260-121248</f>
        <v>1530570</v>
      </c>
      <c r="F261" s="16">
        <f>F260-84861</f>
        <v>1439574</v>
      </c>
      <c r="G261" s="14">
        <f t="shared" si="20"/>
        <v>-90996</v>
      </c>
      <c r="H261" s="41"/>
      <c r="I261" s="17"/>
      <c r="J261" s="2" t="s">
        <v>30</v>
      </c>
    </row>
    <row r="262" spans="1:10" ht="22.5" customHeight="1">
      <c r="A262" s="42">
        <v>115</v>
      </c>
      <c r="B262" s="38" t="s">
        <v>125</v>
      </c>
      <c r="C262" s="44" t="s">
        <v>191</v>
      </c>
      <c r="D262" s="45" t="s">
        <v>44</v>
      </c>
      <c r="E262" s="15">
        <v>161766</v>
      </c>
      <c r="F262" s="15">
        <v>93580</v>
      </c>
      <c r="G262" s="12">
        <f t="shared" si="20"/>
        <v>-68186</v>
      </c>
      <c r="H262" s="40"/>
      <c r="I262" s="27"/>
      <c r="J262" s="2" t="s">
        <v>29</v>
      </c>
    </row>
    <row r="263" spans="1:10" ht="22.5" customHeight="1">
      <c r="A263" s="43"/>
      <c r="B263" s="39"/>
      <c r="C263" s="44"/>
      <c r="D263" s="46"/>
      <c r="E263" s="16">
        <f>E262</f>
        <v>161766</v>
      </c>
      <c r="F263" s="16">
        <f>F262</f>
        <v>93580</v>
      </c>
      <c r="G263" s="14">
        <f t="shared" si="20"/>
        <v>-68186</v>
      </c>
      <c r="H263" s="41"/>
      <c r="I263" s="17"/>
      <c r="J263" s="2" t="s">
        <v>30</v>
      </c>
    </row>
    <row r="264" spans="1:10" ht="15" customHeight="1">
      <c r="A264" s="42">
        <v>116</v>
      </c>
      <c r="B264" s="38" t="s">
        <v>125</v>
      </c>
      <c r="C264" s="44" t="s">
        <v>62</v>
      </c>
      <c r="D264" s="45" t="s">
        <v>53</v>
      </c>
      <c r="E264" s="15">
        <v>165801</v>
      </c>
      <c r="F264" s="15">
        <v>164714</v>
      </c>
      <c r="G264" s="12">
        <f t="shared" si="20"/>
        <v>-1087</v>
      </c>
      <c r="H264" s="40"/>
      <c r="I264" s="27"/>
      <c r="J264" s="2" t="s">
        <v>29</v>
      </c>
    </row>
    <row r="265" spans="1:10" ht="15" customHeight="1">
      <c r="A265" s="43"/>
      <c r="B265" s="39"/>
      <c r="C265" s="44"/>
      <c r="D265" s="46"/>
      <c r="E265" s="16">
        <f>E264-3928</f>
        <v>161873</v>
      </c>
      <c r="F265" s="16">
        <f>F264-2729-1482</f>
        <v>160503</v>
      </c>
      <c r="G265" s="14">
        <f t="shared" si="20"/>
        <v>-1370</v>
      </c>
      <c r="H265" s="41"/>
      <c r="I265" s="17"/>
      <c r="J265" s="2" t="s">
        <v>30</v>
      </c>
    </row>
    <row r="266" spans="1:10" ht="15" customHeight="1">
      <c r="A266" s="42">
        <v>117</v>
      </c>
      <c r="B266" s="38" t="s">
        <v>125</v>
      </c>
      <c r="C266" s="44" t="s">
        <v>64</v>
      </c>
      <c r="D266" s="45" t="s">
        <v>53</v>
      </c>
      <c r="E266" s="15">
        <v>187363</v>
      </c>
      <c r="F266" s="15">
        <v>185472</v>
      </c>
      <c r="G266" s="12">
        <f t="shared" si="20"/>
        <v>-1891</v>
      </c>
      <c r="H266" s="40"/>
      <c r="I266" s="27"/>
      <c r="J266" s="2" t="s">
        <v>29</v>
      </c>
    </row>
    <row r="267" spans="1:10" ht="15" customHeight="1">
      <c r="A267" s="43"/>
      <c r="B267" s="39"/>
      <c r="C267" s="44"/>
      <c r="D267" s="46"/>
      <c r="E267" s="16">
        <f>E266</f>
        <v>187363</v>
      </c>
      <c r="F267" s="16">
        <f>F266</f>
        <v>185472</v>
      </c>
      <c r="G267" s="14">
        <f t="shared" si="20"/>
        <v>-1891</v>
      </c>
      <c r="H267" s="41"/>
      <c r="I267" s="17"/>
      <c r="J267" s="2" t="s">
        <v>30</v>
      </c>
    </row>
    <row r="268" spans="1:10" ht="22.5" customHeight="1">
      <c r="A268" s="42">
        <v>118</v>
      </c>
      <c r="B268" s="38" t="s">
        <v>125</v>
      </c>
      <c r="C268" s="44" t="s">
        <v>115</v>
      </c>
      <c r="D268" s="45" t="s">
        <v>52</v>
      </c>
      <c r="E268" s="15">
        <v>3051424</v>
      </c>
      <c r="F268" s="15">
        <f>2502788+436266+392631+267042+112741</f>
        <v>3711468</v>
      </c>
      <c r="G268" s="12">
        <f t="shared" si="20"/>
        <v>660044</v>
      </c>
      <c r="H268" s="40"/>
      <c r="I268" s="27"/>
      <c r="J268" s="2" t="s">
        <v>29</v>
      </c>
    </row>
    <row r="269" spans="1:10" ht="22.5" customHeight="1">
      <c r="A269" s="43"/>
      <c r="B269" s="39"/>
      <c r="C269" s="44"/>
      <c r="D269" s="46"/>
      <c r="E269" s="16">
        <f>E268-5391</f>
        <v>3046033</v>
      </c>
      <c r="F269" s="16">
        <f>F268-6784-1183</f>
        <v>3703501</v>
      </c>
      <c r="G269" s="14">
        <f t="shared" si="20"/>
        <v>657468</v>
      </c>
      <c r="H269" s="41"/>
      <c r="I269" s="17"/>
      <c r="J269" s="2" t="s">
        <v>30</v>
      </c>
    </row>
    <row r="270" spans="1:10" ht="15" customHeight="1">
      <c r="A270" s="42">
        <v>119</v>
      </c>
      <c r="B270" s="38" t="s">
        <v>125</v>
      </c>
      <c r="C270" s="44" t="s">
        <v>126</v>
      </c>
      <c r="D270" s="45" t="s">
        <v>53</v>
      </c>
      <c r="E270" s="12">
        <v>4295</v>
      </c>
      <c r="F270" s="12">
        <v>4281</v>
      </c>
      <c r="G270" s="12">
        <f t="shared" si="20"/>
        <v>-14</v>
      </c>
      <c r="H270" s="40"/>
      <c r="I270" s="27"/>
      <c r="J270" s="2" t="s">
        <v>29</v>
      </c>
    </row>
    <row r="271" spans="1:10" ht="15" customHeight="1">
      <c r="A271" s="43"/>
      <c r="B271" s="39"/>
      <c r="C271" s="44"/>
      <c r="D271" s="46"/>
      <c r="E271" s="13">
        <f>E270</f>
        <v>4295</v>
      </c>
      <c r="F271" s="13">
        <f>F270</f>
        <v>4281</v>
      </c>
      <c r="G271" s="14">
        <f t="shared" si="20"/>
        <v>-14</v>
      </c>
      <c r="H271" s="41"/>
      <c r="I271" s="17"/>
      <c r="J271" s="2" t="s">
        <v>30</v>
      </c>
    </row>
    <row r="272" spans="1:10" ht="15" customHeight="1">
      <c r="A272" s="42">
        <v>120</v>
      </c>
      <c r="B272" s="38" t="s">
        <v>125</v>
      </c>
      <c r="C272" s="44" t="s">
        <v>117</v>
      </c>
      <c r="D272" s="45" t="s">
        <v>69</v>
      </c>
      <c r="E272" s="15">
        <v>3073</v>
      </c>
      <c r="F272" s="15">
        <v>4137</v>
      </c>
      <c r="G272" s="12">
        <f t="shared" si="20"/>
        <v>1064</v>
      </c>
      <c r="H272" s="40"/>
      <c r="I272" s="27"/>
      <c r="J272" s="2" t="s">
        <v>29</v>
      </c>
    </row>
    <row r="273" spans="1:10" ht="15" customHeight="1">
      <c r="A273" s="43"/>
      <c r="B273" s="39"/>
      <c r="C273" s="44"/>
      <c r="D273" s="46"/>
      <c r="E273" s="16">
        <f>E272</f>
        <v>3073</v>
      </c>
      <c r="F273" s="16">
        <f>F272</f>
        <v>4137</v>
      </c>
      <c r="G273" s="14">
        <f t="shared" si="20"/>
        <v>1064</v>
      </c>
      <c r="H273" s="41"/>
      <c r="I273" s="17"/>
      <c r="J273" s="2" t="s">
        <v>30</v>
      </c>
    </row>
    <row r="274" spans="1:10" ht="15" customHeight="1">
      <c r="A274" s="42">
        <v>121</v>
      </c>
      <c r="B274" s="38" t="s">
        <v>125</v>
      </c>
      <c r="C274" s="44" t="s">
        <v>118</v>
      </c>
      <c r="D274" s="45" t="s">
        <v>105</v>
      </c>
      <c r="E274" s="15">
        <v>1170</v>
      </c>
      <c r="F274" s="15">
        <v>805</v>
      </c>
      <c r="G274" s="12">
        <f t="shared" si="20"/>
        <v>-365</v>
      </c>
      <c r="H274" s="40"/>
      <c r="I274" s="27"/>
      <c r="J274" s="2" t="s">
        <v>29</v>
      </c>
    </row>
    <row r="275" spans="1:10" ht="15" customHeight="1">
      <c r="A275" s="43"/>
      <c r="B275" s="39"/>
      <c r="C275" s="44"/>
      <c r="D275" s="46"/>
      <c r="E275" s="16">
        <f>E274</f>
        <v>1170</v>
      </c>
      <c r="F275" s="16">
        <f>F274</f>
        <v>805</v>
      </c>
      <c r="G275" s="14">
        <f t="shared" si="20"/>
        <v>-365</v>
      </c>
      <c r="H275" s="41"/>
      <c r="I275" s="17"/>
      <c r="J275" s="2" t="s">
        <v>30</v>
      </c>
    </row>
    <row r="276" spans="1:10" ht="15" customHeight="1">
      <c r="A276" s="42">
        <v>122</v>
      </c>
      <c r="B276" s="38" t="s">
        <v>125</v>
      </c>
      <c r="C276" s="44" t="s">
        <v>127</v>
      </c>
      <c r="D276" s="45" t="s">
        <v>53</v>
      </c>
      <c r="E276" s="15">
        <v>15281</v>
      </c>
      <c r="F276" s="15">
        <v>15282</v>
      </c>
      <c r="G276" s="12">
        <f t="shared" si="20"/>
        <v>1</v>
      </c>
      <c r="H276" s="40"/>
      <c r="I276" s="27"/>
      <c r="J276" s="2" t="s">
        <v>29</v>
      </c>
    </row>
    <row r="277" spans="1:10" ht="15" customHeight="1">
      <c r="A277" s="43"/>
      <c r="B277" s="39"/>
      <c r="C277" s="44"/>
      <c r="D277" s="46"/>
      <c r="E277" s="16">
        <f>E276</f>
        <v>15281</v>
      </c>
      <c r="F277" s="16">
        <f>F276</f>
        <v>15282</v>
      </c>
      <c r="G277" s="14">
        <f t="shared" si="20"/>
        <v>1</v>
      </c>
      <c r="H277" s="41"/>
      <c r="I277" s="17"/>
      <c r="J277" s="2" t="s">
        <v>30</v>
      </c>
    </row>
    <row r="278" spans="1:10" ht="15" customHeight="1">
      <c r="A278" s="42">
        <v>123</v>
      </c>
      <c r="B278" s="38" t="s">
        <v>125</v>
      </c>
      <c r="C278" s="44" t="s">
        <v>119</v>
      </c>
      <c r="D278" s="45" t="s">
        <v>39</v>
      </c>
      <c r="E278" s="15">
        <v>99229</v>
      </c>
      <c r="F278" s="15">
        <v>154247</v>
      </c>
      <c r="G278" s="12">
        <f t="shared" si="20"/>
        <v>55018</v>
      </c>
      <c r="H278" s="40"/>
      <c r="I278" s="27"/>
      <c r="J278" s="2" t="s">
        <v>29</v>
      </c>
    </row>
    <row r="279" spans="1:10" ht="15" customHeight="1">
      <c r="A279" s="43"/>
      <c r="B279" s="39"/>
      <c r="C279" s="44"/>
      <c r="D279" s="46"/>
      <c r="E279" s="16">
        <f>E278-22368</f>
        <v>76861</v>
      </c>
      <c r="F279" s="16">
        <f>F278-31900</f>
        <v>122347</v>
      </c>
      <c r="G279" s="14">
        <f t="shared" si="20"/>
        <v>45486</v>
      </c>
      <c r="H279" s="41"/>
      <c r="I279" s="17"/>
      <c r="J279" s="2" t="s">
        <v>30</v>
      </c>
    </row>
    <row r="280" spans="1:10" ht="26.25" customHeight="1">
      <c r="A280" s="42">
        <v>124</v>
      </c>
      <c r="B280" s="38" t="s">
        <v>125</v>
      </c>
      <c r="C280" s="44" t="s">
        <v>120</v>
      </c>
      <c r="D280" s="45" t="s">
        <v>39</v>
      </c>
      <c r="E280" s="15">
        <v>84533</v>
      </c>
      <c r="F280" s="15">
        <v>74325</v>
      </c>
      <c r="G280" s="12">
        <f t="shared" si="20"/>
        <v>-10208</v>
      </c>
      <c r="H280" s="40"/>
      <c r="I280" s="27"/>
      <c r="J280" s="2" t="s">
        <v>29</v>
      </c>
    </row>
    <row r="281" spans="1:10" ht="26.25" customHeight="1">
      <c r="A281" s="43"/>
      <c r="B281" s="39"/>
      <c r="C281" s="44"/>
      <c r="D281" s="46"/>
      <c r="E281" s="16">
        <f>E280-20640</f>
        <v>63893</v>
      </c>
      <c r="F281" s="16">
        <f>F280-17520</f>
        <v>56805</v>
      </c>
      <c r="G281" s="14">
        <f t="shared" si="20"/>
        <v>-7088</v>
      </c>
      <c r="H281" s="41"/>
      <c r="I281" s="17"/>
      <c r="J281" s="2" t="s">
        <v>30</v>
      </c>
    </row>
    <row r="282" spans="1:10" ht="15" customHeight="1">
      <c r="A282" s="42">
        <v>125</v>
      </c>
      <c r="B282" s="38" t="s">
        <v>125</v>
      </c>
      <c r="C282" s="44" t="s">
        <v>121</v>
      </c>
      <c r="D282" s="45" t="s">
        <v>21</v>
      </c>
      <c r="E282" s="15">
        <v>1500</v>
      </c>
      <c r="F282" s="15">
        <v>2000</v>
      </c>
      <c r="G282" s="12">
        <f t="shared" si="20"/>
        <v>500</v>
      </c>
      <c r="H282" s="40"/>
      <c r="I282" s="27"/>
      <c r="J282" s="2" t="s">
        <v>29</v>
      </c>
    </row>
    <row r="283" spans="1:10" ht="15" customHeight="1">
      <c r="A283" s="43"/>
      <c r="B283" s="39"/>
      <c r="C283" s="44"/>
      <c r="D283" s="46"/>
      <c r="E283" s="16">
        <v>0</v>
      </c>
      <c r="F283" s="16">
        <f>F282-2000</f>
        <v>0</v>
      </c>
      <c r="G283" s="14">
        <f t="shared" si="20"/>
        <v>0</v>
      </c>
      <c r="H283" s="41"/>
      <c r="I283" s="17"/>
      <c r="J283" s="2" t="s">
        <v>30</v>
      </c>
    </row>
    <row r="284" spans="1:10" ht="15" customHeight="1">
      <c r="A284" s="42">
        <v>126</v>
      </c>
      <c r="B284" s="38" t="s">
        <v>125</v>
      </c>
      <c r="C284" s="44" t="s">
        <v>194</v>
      </c>
      <c r="D284" s="45" t="s">
        <v>39</v>
      </c>
      <c r="E284" s="15">
        <v>558</v>
      </c>
      <c r="F284" s="15">
        <v>1177</v>
      </c>
      <c r="G284" s="12">
        <f t="shared" ref="G284:G285" si="21">+F284-E284</f>
        <v>619</v>
      </c>
      <c r="H284" s="40"/>
      <c r="I284" s="27"/>
      <c r="J284" s="2" t="s">
        <v>29</v>
      </c>
    </row>
    <row r="285" spans="1:10" ht="15" customHeight="1">
      <c r="A285" s="43"/>
      <c r="B285" s="39"/>
      <c r="C285" s="44"/>
      <c r="D285" s="46"/>
      <c r="E285" s="16">
        <f>E284</f>
        <v>558</v>
      </c>
      <c r="F285" s="16">
        <f>F284</f>
        <v>1177</v>
      </c>
      <c r="G285" s="14">
        <f t="shared" si="21"/>
        <v>619</v>
      </c>
      <c r="H285" s="41"/>
      <c r="I285" s="17"/>
      <c r="J285" s="2" t="s">
        <v>30</v>
      </c>
    </row>
    <row r="286" spans="1:10" ht="15" customHeight="1">
      <c r="A286" s="42">
        <v>127</v>
      </c>
      <c r="B286" s="38" t="s">
        <v>125</v>
      </c>
      <c r="C286" s="72" t="s">
        <v>227</v>
      </c>
      <c r="D286" s="45" t="s">
        <v>53</v>
      </c>
      <c r="E286" s="15">
        <v>0</v>
      </c>
      <c r="F286" s="15">
        <v>20414</v>
      </c>
      <c r="G286" s="12">
        <f>+F286-E286</f>
        <v>20414</v>
      </c>
      <c r="H286" s="40"/>
      <c r="I286" s="27"/>
      <c r="J286" s="2" t="s">
        <v>29</v>
      </c>
    </row>
    <row r="287" spans="1:10" ht="15" customHeight="1">
      <c r="A287" s="43"/>
      <c r="B287" s="39"/>
      <c r="C287" s="63"/>
      <c r="D287" s="46"/>
      <c r="E287" s="16">
        <f>E286</f>
        <v>0</v>
      </c>
      <c r="F287" s="16">
        <f>F286</f>
        <v>20414</v>
      </c>
      <c r="G287" s="14">
        <f>+F287-E287</f>
        <v>20414</v>
      </c>
      <c r="H287" s="41"/>
      <c r="I287" s="17"/>
      <c r="J287" s="2" t="s">
        <v>30</v>
      </c>
    </row>
    <row r="288" spans="1:10" ht="22.5" customHeight="1">
      <c r="A288" s="42">
        <v>128</v>
      </c>
      <c r="B288" s="38" t="s">
        <v>125</v>
      </c>
      <c r="C288" s="47" t="s">
        <v>114</v>
      </c>
      <c r="D288" s="45" t="s">
        <v>44</v>
      </c>
      <c r="E288" s="15">
        <v>79</v>
      </c>
      <c r="F288" s="15">
        <v>0</v>
      </c>
      <c r="G288" s="12">
        <f>+F288-E288</f>
        <v>-79</v>
      </c>
      <c r="H288" s="40"/>
      <c r="I288" s="27"/>
      <c r="J288" s="2" t="s">
        <v>29</v>
      </c>
    </row>
    <row r="289" spans="1:11" ht="22.5" customHeight="1">
      <c r="A289" s="43"/>
      <c r="B289" s="39"/>
      <c r="C289" s="47"/>
      <c r="D289" s="46"/>
      <c r="E289" s="16">
        <f>E288</f>
        <v>79</v>
      </c>
      <c r="F289" s="16">
        <f>F288</f>
        <v>0</v>
      </c>
      <c r="G289" s="14">
        <f>+F289-E289</f>
        <v>-79</v>
      </c>
      <c r="H289" s="41"/>
      <c r="I289" s="17"/>
      <c r="J289" s="2" t="s">
        <v>30</v>
      </c>
    </row>
    <row r="290" spans="1:11" ht="15" customHeight="1">
      <c r="A290" s="49" t="s">
        <v>128</v>
      </c>
      <c r="B290" s="50"/>
      <c r="C290" s="50"/>
      <c r="D290" s="51"/>
      <c r="E290" s="15">
        <f>E234+E236+E238+E240+E242+E244+E246+E248+E250+E252+E256+E258+E260+E262+E264+E266+E288+E268+E270+E272+E274+E286+E276+E278+E280+E282+E284+E254</f>
        <v>14047035</v>
      </c>
      <c r="F290" s="15">
        <f t="shared" ref="F290:G290" si="22">F234+F236+F238+F240+F242+F244+F246+F248+F250+F252+F256+F258+F260+F262+F264+F266+F288+F268+F270+F272+F274+F286+F276+F278+F280+F282+F284+F254</f>
        <v>15030755</v>
      </c>
      <c r="G290" s="15">
        <f t="shared" si="22"/>
        <v>983720</v>
      </c>
      <c r="H290" s="40"/>
      <c r="I290" s="27"/>
    </row>
    <row r="291" spans="1:11" ht="15" customHeight="1">
      <c r="A291" s="52"/>
      <c r="B291" s="53"/>
      <c r="C291" s="54"/>
      <c r="D291" s="55"/>
      <c r="E291" s="16">
        <f>E235+E237+E239+E241+E243+E245+E247+E249+E251+E253+E257+E259+E261+E263+E265+E267+E289+E269+E271+E273+E275+E287+E277+E279+E281+E283+E285+E255</f>
        <v>12784020</v>
      </c>
      <c r="F291" s="16">
        <f>F235+F237+F239+F241+F243+F245+F247+F249+F251+F253+F257+F259+F261+F263+F265+F267+F289+F269+F271+F273+F275+F287+F277+F279+F281+F283+F285+F255</f>
        <v>13687659</v>
      </c>
      <c r="G291" s="14">
        <f>G235+G237+G239+G241+G243+G245+G247+G249+G251+G253+G257+G259+G261+G263+G265+G267+G289+G269+G271+G273+G275+G287+G277+G279+G281+G283+G285+G255</f>
        <v>903639</v>
      </c>
      <c r="H291" s="41"/>
      <c r="I291" s="17"/>
    </row>
    <row r="292" spans="1:11" ht="15" customHeight="1">
      <c r="A292" s="42">
        <v>129</v>
      </c>
      <c r="B292" s="56" t="s">
        <v>202</v>
      </c>
      <c r="C292" s="44" t="s">
        <v>129</v>
      </c>
      <c r="D292" s="45" t="s">
        <v>50</v>
      </c>
      <c r="E292" s="15">
        <v>1013</v>
      </c>
      <c r="F292" s="15">
        <v>1000</v>
      </c>
      <c r="G292" s="12">
        <f t="shared" ref="G292:G305" si="23">+F292-E292</f>
        <v>-13</v>
      </c>
      <c r="H292" s="40"/>
      <c r="I292" s="27"/>
      <c r="J292" s="2" t="s">
        <v>29</v>
      </c>
    </row>
    <row r="293" spans="1:11" ht="15" customHeight="1">
      <c r="A293" s="43"/>
      <c r="B293" s="57"/>
      <c r="C293" s="44"/>
      <c r="D293" s="46"/>
      <c r="E293" s="16">
        <f>E292</f>
        <v>1013</v>
      </c>
      <c r="F293" s="16">
        <f>F292</f>
        <v>1000</v>
      </c>
      <c r="G293" s="14">
        <f t="shared" si="23"/>
        <v>-13</v>
      </c>
      <c r="H293" s="41"/>
      <c r="I293" s="17"/>
      <c r="J293" s="2" t="s">
        <v>30</v>
      </c>
    </row>
    <row r="294" spans="1:11" ht="15" customHeight="1">
      <c r="A294" s="42">
        <v>130</v>
      </c>
      <c r="B294" s="56" t="s">
        <v>202</v>
      </c>
      <c r="C294" s="44" t="s">
        <v>130</v>
      </c>
      <c r="D294" s="45" t="s">
        <v>50</v>
      </c>
      <c r="E294" s="12">
        <f>490+30696+4466+232+3063+2221+10161+890+3154+4696</f>
        <v>60069</v>
      </c>
      <c r="F294" s="12">
        <f>482+28196+4789+239+3063+2221+9999+890+3122+4696</f>
        <v>57697</v>
      </c>
      <c r="G294" s="12">
        <f t="shared" si="23"/>
        <v>-2372</v>
      </c>
      <c r="H294" s="40" t="s">
        <v>33</v>
      </c>
      <c r="I294" s="27">
        <f>239+2221</f>
        <v>2460</v>
      </c>
      <c r="J294" s="2" t="s">
        <v>29</v>
      </c>
      <c r="K294" s="2" t="s">
        <v>34</v>
      </c>
    </row>
    <row r="295" spans="1:11" ht="15" customHeight="1">
      <c r="A295" s="43"/>
      <c r="B295" s="57"/>
      <c r="C295" s="44"/>
      <c r="D295" s="46"/>
      <c r="E295" s="13">
        <f>E294-194</f>
        <v>59875</v>
      </c>
      <c r="F295" s="13">
        <f>F294-189</f>
        <v>57508</v>
      </c>
      <c r="G295" s="14">
        <f t="shared" si="23"/>
        <v>-2367</v>
      </c>
      <c r="H295" s="41"/>
      <c r="I295" s="17">
        <f>I294</f>
        <v>2460</v>
      </c>
      <c r="J295" s="2" t="s">
        <v>30</v>
      </c>
      <c r="K295" s="2" t="s">
        <v>35</v>
      </c>
    </row>
    <row r="296" spans="1:11" ht="15" customHeight="1">
      <c r="A296" s="42">
        <v>131</v>
      </c>
      <c r="B296" s="56" t="s">
        <v>202</v>
      </c>
      <c r="C296" s="44" t="s">
        <v>131</v>
      </c>
      <c r="D296" s="45" t="s">
        <v>50</v>
      </c>
      <c r="E296" s="15">
        <v>4639</v>
      </c>
      <c r="F296" s="15">
        <v>4619</v>
      </c>
      <c r="G296" s="12">
        <f t="shared" si="23"/>
        <v>-20</v>
      </c>
      <c r="H296" s="40" t="s">
        <v>33</v>
      </c>
      <c r="I296" s="27">
        <v>474</v>
      </c>
      <c r="J296" s="2" t="s">
        <v>29</v>
      </c>
      <c r="K296" s="2" t="s">
        <v>34</v>
      </c>
    </row>
    <row r="297" spans="1:11" ht="15" customHeight="1">
      <c r="A297" s="43"/>
      <c r="B297" s="57"/>
      <c r="C297" s="44"/>
      <c r="D297" s="46"/>
      <c r="E297" s="16">
        <v>4639</v>
      </c>
      <c r="F297" s="16">
        <f>F296</f>
        <v>4619</v>
      </c>
      <c r="G297" s="14">
        <f t="shared" si="23"/>
        <v>-20</v>
      </c>
      <c r="H297" s="41"/>
      <c r="I297" s="17">
        <f>I296</f>
        <v>474</v>
      </c>
      <c r="J297" s="2" t="s">
        <v>30</v>
      </c>
      <c r="K297" s="2" t="s">
        <v>35</v>
      </c>
    </row>
    <row r="298" spans="1:11" ht="15" customHeight="1">
      <c r="A298" s="42">
        <v>132</v>
      </c>
      <c r="B298" s="56" t="s">
        <v>202</v>
      </c>
      <c r="C298" s="44" t="s">
        <v>132</v>
      </c>
      <c r="D298" s="45" t="s">
        <v>50</v>
      </c>
      <c r="E298" s="15">
        <f>1681+8940+5124+890</f>
        <v>16635</v>
      </c>
      <c r="F298" s="15">
        <f>1664+8549+5124+880</f>
        <v>16217</v>
      </c>
      <c r="G298" s="12">
        <f t="shared" si="23"/>
        <v>-418</v>
      </c>
      <c r="H298" s="40" t="s">
        <v>33</v>
      </c>
      <c r="I298" s="27">
        <v>5124</v>
      </c>
      <c r="J298" s="2" t="s">
        <v>29</v>
      </c>
      <c r="K298" s="2" t="s">
        <v>34</v>
      </c>
    </row>
    <row r="299" spans="1:11" ht="15" customHeight="1">
      <c r="A299" s="43"/>
      <c r="B299" s="57"/>
      <c r="C299" s="44"/>
      <c r="D299" s="46"/>
      <c r="E299" s="16">
        <f>E298-6803</f>
        <v>9832</v>
      </c>
      <c r="F299" s="16">
        <f>F298-6407</f>
        <v>9810</v>
      </c>
      <c r="G299" s="14">
        <f t="shared" si="23"/>
        <v>-22</v>
      </c>
      <c r="H299" s="41"/>
      <c r="I299" s="17">
        <f>I298</f>
        <v>5124</v>
      </c>
      <c r="J299" s="2" t="s">
        <v>30</v>
      </c>
      <c r="K299" s="2" t="s">
        <v>35</v>
      </c>
    </row>
    <row r="300" spans="1:11" ht="15" customHeight="1">
      <c r="A300" s="42">
        <v>133</v>
      </c>
      <c r="B300" s="56" t="s">
        <v>202</v>
      </c>
      <c r="C300" s="44" t="s">
        <v>133</v>
      </c>
      <c r="D300" s="45" t="s">
        <v>50</v>
      </c>
      <c r="E300" s="15">
        <v>26722</v>
      </c>
      <c r="F300" s="15">
        <v>26454</v>
      </c>
      <c r="G300" s="12">
        <f t="shared" si="23"/>
        <v>-268</v>
      </c>
      <c r="H300" s="40"/>
      <c r="I300" s="27"/>
      <c r="J300" s="2" t="s">
        <v>29</v>
      </c>
    </row>
    <row r="301" spans="1:11" ht="15" customHeight="1">
      <c r="A301" s="43"/>
      <c r="B301" s="57"/>
      <c r="C301" s="44"/>
      <c r="D301" s="46"/>
      <c r="E301" s="16">
        <f>E300</f>
        <v>26722</v>
      </c>
      <c r="F301" s="16">
        <f>F300</f>
        <v>26454</v>
      </c>
      <c r="G301" s="14">
        <f t="shared" si="23"/>
        <v>-268</v>
      </c>
      <c r="H301" s="41"/>
      <c r="I301" s="17"/>
      <c r="J301" s="2" t="s">
        <v>30</v>
      </c>
    </row>
    <row r="302" spans="1:11" ht="15" customHeight="1">
      <c r="A302" s="42">
        <v>134</v>
      </c>
      <c r="B302" s="56" t="s">
        <v>202</v>
      </c>
      <c r="C302" s="84" t="s">
        <v>134</v>
      </c>
      <c r="D302" s="45" t="s">
        <v>50</v>
      </c>
      <c r="E302" s="15">
        <f>10782+301767+190189</f>
        <v>502738</v>
      </c>
      <c r="F302" s="15">
        <f>29508+299230+193419</f>
        <v>522157</v>
      </c>
      <c r="G302" s="12">
        <f t="shared" si="23"/>
        <v>19419</v>
      </c>
      <c r="H302" s="40"/>
      <c r="I302" s="27"/>
      <c r="J302" s="2" t="s">
        <v>29</v>
      </c>
    </row>
    <row r="303" spans="1:11" ht="15" customHeight="1">
      <c r="A303" s="43"/>
      <c r="B303" s="57"/>
      <c r="C303" s="84"/>
      <c r="D303" s="46"/>
      <c r="E303" s="16">
        <f>E302-360</f>
        <v>502378</v>
      </c>
      <c r="F303" s="16">
        <f>F302-360</f>
        <v>521797</v>
      </c>
      <c r="G303" s="14">
        <f t="shared" si="23"/>
        <v>19419</v>
      </c>
      <c r="H303" s="41"/>
      <c r="I303" s="17"/>
      <c r="J303" s="2" t="s">
        <v>30</v>
      </c>
    </row>
    <row r="304" spans="1:11" ht="15" customHeight="1">
      <c r="A304" s="42">
        <v>135</v>
      </c>
      <c r="B304" s="56" t="s">
        <v>202</v>
      </c>
      <c r="C304" s="44" t="s">
        <v>135</v>
      </c>
      <c r="D304" s="45" t="s">
        <v>50</v>
      </c>
      <c r="E304" s="15">
        <v>45008</v>
      </c>
      <c r="F304" s="15">
        <v>46063</v>
      </c>
      <c r="G304" s="12">
        <f t="shared" si="23"/>
        <v>1055</v>
      </c>
      <c r="H304" s="40"/>
      <c r="I304" s="27"/>
      <c r="J304" s="2" t="s">
        <v>29</v>
      </c>
    </row>
    <row r="305" spans="1:10" ht="15" customHeight="1">
      <c r="A305" s="43"/>
      <c r="B305" s="57"/>
      <c r="C305" s="44"/>
      <c r="D305" s="46"/>
      <c r="E305" s="16">
        <f>E304</f>
        <v>45008</v>
      </c>
      <c r="F305" s="16">
        <f>F304</f>
        <v>46063</v>
      </c>
      <c r="G305" s="14">
        <f t="shared" si="23"/>
        <v>1055</v>
      </c>
      <c r="H305" s="41"/>
      <c r="I305" s="17"/>
      <c r="J305" s="2" t="s">
        <v>30</v>
      </c>
    </row>
    <row r="306" spans="1:10" ht="15" customHeight="1">
      <c r="A306" s="49" t="s">
        <v>136</v>
      </c>
      <c r="B306" s="50"/>
      <c r="C306" s="54"/>
      <c r="D306" s="51"/>
      <c r="E306" s="15">
        <f>E292+E294+E296+E298+E300+E302+E304</f>
        <v>656824</v>
      </c>
      <c r="F306" s="15">
        <f>F292+F294+F296+F298+F300+F302+F304</f>
        <v>674207</v>
      </c>
      <c r="G306" s="12">
        <f>+F306-E306</f>
        <v>17383</v>
      </c>
      <c r="H306" s="40"/>
      <c r="I306" s="27"/>
    </row>
    <row r="307" spans="1:10" ht="15" customHeight="1">
      <c r="A307" s="52"/>
      <c r="B307" s="53"/>
      <c r="C307" s="54"/>
      <c r="D307" s="55"/>
      <c r="E307" s="16">
        <f>E293+E295+E297+E299+E301+E303+E305</f>
        <v>649467</v>
      </c>
      <c r="F307" s="16">
        <f>F293+F295+F297+F299+F301+F303+F305</f>
        <v>667251</v>
      </c>
      <c r="G307" s="14">
        <f>+F307-E307</f>
        <v>17784</v>
      </c>
      <c r="H307" s="41"/>
      <c r="I307" s="17"/>
    </row>
    <row r="308" spans="1:10" ht="15" customHeight="1">
      <c r="A308" s="42">
        <v>136</v>
      </c>
      <c r="B308" s="56" t="s">
        <v>203</v>
      </c>
      <c r="C308" s="48" t="s">
        <v>137</v>
      </c>
      <c r="D308" s="45" t="s">
        <v>138</v>
      </c>
      <c r="E308" s="12">
        <v>6224</v>
      </c>
      <c r="F308" s="12">
        <v>6239</v>
      </c>
      <c r="G308" s="12">
        <f t="shared" ref="G308:G311" si="24">+F308-E308</f>
        <v>15</v>
      </c>
      <c r="H308" s="40"/>
      <c r="I308" s="27"/>
      <c r="J308" s="2" t="s">
        <v>29</v>
      </c>
    </row>
    <row r="309" spans="1:10" ht="15" customHeight="1">
      <c r="A309" s="43"/>
      <c r="B309" s="57"/>
      <c r="C309" s="48"/>
      <c r="D309" s="46"/>
      <c r="E309" s="13">
        <f>E308</f>
        <v>6224</v>
      </c>
      <c r="F309" s="13">
        <f>F308</f>
        <v>6239</v>
      </c>
      <c r="G309" s="14">
        <f t="shared" si="24"/>
        <v>15</v>
      </c>
      <c r="H309" s="41"/>
      <c r="I309" s="17"/>
      <c r="J309" s="2" t="s">
        <v>30</v>
      </c>
    </row>
    <row r="310" spans="1:10" ht="15" customHeight="1">
      <c r="A310" s="42">
        <v>137</v>
      </c>
      <c r="B310" s="56" t="s">
        <v>203</v>
      </c>
      <c r="C310" s="48" t="s">
        <v>139</v>
      </c>
      <c r="D310" s="45" t="s">
        <v>138</v>
      </c>
      <c r="E310" s="15">
        <f>1846+16535+4985</f>
        <v>23366</v>
      </c>
      <c r="F310" s="15">
        <f>1992+28535+5093</f>
        <v>35620</v>
      </c>
      <c r="G310" s="12">
        <f t="shared" si="24"/>
        <v>12254</v>
      </c>
      <c r="H310" s="40"/>
      <c r="I310" s="27"/>
      <c r="J310" s="2" t="s">
        <v>29</v>
      </c>
    </row>
    <row r="311" spans="1:10" ht="15" customHeight="1">
      <c r="A311" s="43"/>
      <c r="B311" s="57"/>
      <c r="C311" s="48"/>
      <c r="D311" s="46"/>
      <c r="E311" s="16">
        <f>E310-9000-300</f>
        <v>14066</v>
      </c>
      <c r="F311" s="16">
        <f>F310-21300</f>
        <v>14320</v>
      </c>
      <c r="G311" s="14">
        <f t="shared" si="24"/>
        <v>254</v>
      </c>
      <c r="H311" s="41"/>
      <c r="I311" s="17"/>
      <c r="J311" s="2" t="s">
        <v>30</v>
      </c>
    </row>
    <row r="312" spans="1:10" ht="15" customHeight="1">
      <c r="A312" s="49" t="s">
        <v>140</v>
      </c>
      <c r="B312" s="50"/>
      <c r="C312" s="54"/>
      <c r="D312" s="51"/>
      <c r="E312" s="15">
        <f>E308+E310</f>
        <v>29590</v>
      </c>
      <c r="F312" s="15">
        <f>F308+F310</f>
        <v>41859</v>
      </c>
      <c r="G312" s="12">
        <f>+F312-E312</f>
        <v>12269</v>
      </c>
      <c r="H312" s="40"/>
      <c r="I312" s="27"/>
    </row>
    <row r="313" spans="1:10" ht="15" customHeight="1">
      <c r="A313" s="52"/>
      <c r="B313" s="53"/>
      <c r="C313" s="54"/>
      <c r="D313" s="55"/>
      <c r="E313" s="16">
        <f t="shared" ref="E313" si="25">E309+E311</f>
        <v>20290</v>
      </c>
      <c r="F313" s="16">
        <f t="shared" ref="F313" si="26">F309+F311</f>
        <v>20559</v>
      </c>
      <c r="G313" s="14">
        <f>+F313-E313</f>
        <v>269</v>
      </c>
      <c r="H313" s="41"/>
      <c r="I313" s="17"/>
    </row>
    <row r="314" spans="1:10" ht="15" customHeight="1">
      <c r="A314" s="42">
        <v>138</v>
      </c>
      <c r="B314" s="56" t="s">
        <v>204</v>
      </c>
      <c r="C314" s="44" t="s">
        <v>141</v>
      </c>
      <c r="D314" s="45" t="s">
        <v>142</v>
      </c>
      <c r="E314" s="15">
        <f>447699+35765</f>
        <v>483464</v>
      </c>
      <c r="F314" s="15">
        <f>461927+40992</f>
        <v>502919</v>
      </c>
      <c r="G314" s="12">
        <f t="shared" ref="G314:G369" si="27">+F314-E314</f>
        <v>19455</v>
      </c>
      <c r="H314" s="40"/>
      <c r="I314" s="27"/>
      <c r="J314" s="2" t="s">
        <v>29</v>
      </c>
    </row>
    <row r="315" spans="1:10" ht="15" customHeight="1">
      <c r="A315" s="43"/>
      <c r="B315" s="57"/>
      <c r="C315" s="44"/>
      <c r="D315" s="46"/>
      <c r="E315" s="16">
        <f>E314-36390</f>
        <v>447074</v>
      </c>
      <c r="F315" s="16">
        <f>F314-16095-13889-6151</f>
        <v>466784</v>
      </c>
      <c r="G315" s="14">
        <f t="shared" si="27"/>
        <v>19710</v>
      </c>
      <c r="H315" s="41"/>
      <c r="I315" s="17"/>
      <c r="J315" s="2" t="s">
        <v>30</v>
      </c>
    </row>
    <row r="316" spans="1:10" ht="15" customHeight="1">
      <c r="A316" s="42">
        <v>139</v>
      </c>
      <c r="B316" s="56" t="s">
        <v>204</v>
      </c>
      <c r="C316" s="44" t="s">
        <v>143</v>
      </c>
      <c r="D316" s="45" t="s">
        <v>142</v>
      </c>
      <c r="E316" s="15">
        <f>624982+28420</f>
        <v>653402</v>
      </c>
      <c r="F316" s="15">
        <f>681060+110+1973+28335</f>
        <v>711478</v>
      </c>
      <c r="G316" s="12">
        <f t="shared" si="27"/>
        <v>58076</v>
      </c>
      <c r="H316" s="40"/>
      <c r="I316" s="27"/>
      <c r="J316" s="2" t="s">
        <v>29</v>
      </c>
    </row>
    <row r="317" spans="1:10" ht="15" customHeight="1">
      <c r="A317" s="43"/>
      <c r="B317" s="57"/>
      <c r="C317" s="44"/>
      <c r="D317" s="46"/>
      <c r="E317" s="16">
        <f>E316-11819</f>
        <v>641583</v>
      </c>
      <c r="F317" s="16">
        <f>F316-2644-9184</f>
        <v>699650</v>
      </c>
      <c r="G317" s="14">
        <f t="shared" si="27"/>
        <v>58067</v>
      </c>
      <c r="H317" s="41"/>
      <c r="I317" s="17"/>
      <c r="J317" s="2" t="s">
        <v>30</v>
      </c>
    </row>
    <row r="318" spans="1:10" ht="15" customHeight="1">
      <c r="A318" s="42">
        <v>140</v>
      </c>
      <c r="B318" s="56" t="s">
        <v>204</v>
      </c>
      <c r="C318" s="44" t="s">
        <v>144</v>
      </c>
      <c r="D318" s="45" t="s">
        <v>142</v>
      </c>
      <c r="E318" s="15">
        <v>190674</v>
      </c>
      <c r="F318" s="15">
        <v>187741</v>
      </c>
      <c r="G318" s="12">
        <f t="shared" si="27"/>
        <v>-2933</v>
      </c>
      <c r="H318" s="40"/>
      <c r="I318" s="27"/>
      <c r="J318" s="2" t="s">
        <v>29</v>
      </c>
    </row>
    <row r="319" spans="1:10" ht="15" customHeight="1">
      <c r="A319" s="43"/>
      <c r="B319" s="57"/>
      <c r="C319" s="44"/>
      <c r="D319" s="46"/>
      <c r="E319" s="16">
        <v>190300</v>
      </c>
      <c r="F319" s="16">
        <f>F318-1720</f>
        <v>186021</v>
      </c>
      <c r="G319" s="14">
        <f t="shared" si="27"/>
        <v>-4279</v>
      </c>
      <c r="H319" s="41"/>
      <c r="I319" s="17"/>
      <c r="J319" s="2" t="s">
        <v>30</v>
      </c>
    </row>
    <row r="320" spans="1:10" ht="15" customHeight="1">
      <c r="A320" s="42">
        <v>141</v>
      </c>
      <c r="B320" s="56" t="s">
        <v>204</v>
      </c>
      <c r="C320" s="44" t="s">
        <v>145</v>
      </c>
      <c r="D320" s="45" t="s">
        <v>142</v>
      </c>
      <c r="E320" s="15">
        <v>226706</v>
      </c>
      <c r="F320" s="15">
        <v>226683</v>
      </c>
      <c r="G320" s="12">
        <f t="shared" si="27"/>
        <v>-23</v>
      </c>
      <c r="H320" s="40"/>
      <c r="I320" s="27"/>
      <c r="J320" s="2" t="s">
        <v>29</v>
      </c>
    </row>
    <row r="321" spans="1:11" ht="15" customHeight="1">
      <c r="A321" s="43"/>
      <c r="B321" s="57"/>
      <c r="C321" s="44"/>
      <c r="D321" s="46"/>
      <c r="E321" s="16">
        <f>E320</f>
        <v>226706</v>
      </c>
      <c r="F321" s="16">
        <f>F320</f>
        <v>226683</v>
      </c>
      <c r="G321" s="14">
        <f t="shared" si="27"/>
        <v>-23</v>
      </c>
      <c r="H321" s="41"/>
      <c r="I321" s="17"/>
      <c r="J321" s="2" t="s">
        <v>30</v>
      </c>
    </row>
    <row r="322" spans="1:11" ht="15" customHeight="1">
      <c r="A322" s="42">
        <v>142</v>
      </c>
      <c r="B322" s="56" t="s">
        <v>204</v>
      </c>
      <c r="C322" s="44" t="s">
        <v>146</v>
      </c>
      <c r="D322" s="45" t="s">
        <v>142</v>
      </c>
      <c r="E322" s="15">
        <v>262906</v>
      </c>
      <c r="F322" s="15">
        <v>273939</v>
      </c>
      <c r="G322" s="12">
        <f t="shared" si="27"/>
        <v>11033</v>
      </c>
      <c r="H322" s="40"/>
      <c r="I322" s="27"/>
      <c r="J322" s="2" t="s">
        <v>29</v>
      </c>
    </row>
    <row r="323" spans="1:11" ht="15" customHeight="1">
      <c r="A323" s="43"/>
      <c r="B323" s="57"/>
      <c r="C323" s="44"/>
      <c r="D323" s="46"/>
      <c r="E323" s="16">
        <f>E322</f>
        <v>262906</v>
      </c>
      <c r="F323" s="16">
        <f>F322</f>
        <v>273939</v>
      </c>
      <c r="G323" s="14">
        <f t="shared" si="27"/>
        <v>11033</v>
      </c>
      <c r="H323" s="41"/>
      <c r="I323" s="17"/>
      <c r="J323" s="2" t="s">
        <v>30</v>
      </c>
    </row>
    <row r="324" spans="1:11" ht="15" customHeight="1">
      <c r="A324" s="42">
        <v>143</v>
      </c>
      <c r="B324" s="56" t="s">
        <v>204</v>
      </c>
      <c r="C324" s="44" t="s">
        <v>147</v>
      </c>
      <c r="D324" s="45" t="s">
        <v>142</v>
      </c>
      <c r="E324" s="15">
        <v>30208</v>
      </c>
      <c r="F324" s="15">
        <v>32472</v>
      </c>
      <c r="G324" s="12">
        <f t="shared" si="27"/>
        <v>2264</v>
      </c>
      <c r="H324" s="40"/>
      <c r="I324" s="27"/>
      <c r="J324" s="2" t="s">
        <v>29</v>
      </c>
    </row>
    <row r="325" spans="1:11" ht="15" customHeight="1">
      <c r="A325" s="43"/>
      <c r="B325" s="57"/>
      <c r="C325" s="44"/>
      <c r="D325" s="46"/>
      <c r="E325" s="16">
        <f>E324-1334</f>
        <v>28874</v>
      </c>
      <c r="F325" s="16">
        <f>F324-1313</f>
        <v>31159</v>
      </c>
      <c r="G325" s="14">
        <f t="shared" si="27"/>
        <v>2285</v>
      </c>
      <c r="H325" s="41"/>
      <c r="I325" s="17"/>
      <c r="J325" s="2" t="s">
        <v>30</v>
      </c>
    </row>
    <row r="326" spans="1:11" ht="15" customHeight="1">
      <c r="A326" s="49" t="s">
        <v>148</v>
      </c>
      <c r="B326" s="50"/>
      <c r="C326" s="50"/>
      <c r="D326" s="51"/>
      <c r="E326" s="15">
        <f t="shared" ref="E326" si="28">E314+E316+E318+E320+E322+E324</f>
        <v>1847360</v>
      </c>
      <c r="F326" s="15">
        <f t="shared" ref="F326:F327" si="29">F314+F316+F318+F320+F322+F324</f>
        <v>1935232</v>
      </c>
      <c r="G326" s="12">
        <f t="shared" si="27"/>
        <v>87872</v>
      </c>
      <c r="H326" s="40"/>
      <c r="I326" s="27"/>
    </row>
    <row r="327" spans="1:11" ht="15" customHeight="1">
      <c r="A327" s="52"/>
      <c r="B327" s="53"/>
      <c r="C327" s="53"/>
      <c r="D327" s="55"/>
      <c r="E327" s="16">
        <f t="shared" ref="E327" si="30">E315+E317+E319+E321+E323+E325</f>
        <v>1797443</v>
      </c>
      <c r="F327" s="16">
        <f t="shared" si="29"/>
        <v>1884236</v>
      </c>
      <c r="G327" s="14">
        <f t="shared" si="27"/>
        <v>86793</v>
      </c>
      <c r="H327" s="41"/>
      <c r="I327" s="17"/>
    </row>
    <row r="328" spans="1:11" ht="15" customHeight="1">
      <c r="A328" s="42">
        <v>144</v>
      </c>
      <c r="B328" s="56" t="s">
        <v>205</v>
      </c>
      <c r="C328" s="44" t="s">
        <v>149</v>
      </c>
      <c r="D328" s="45" t="s">
        <v>69</v>
      </c>
      <c r="E328" s="15">
        <f>25556+325</f>
        <v>25881</v>
      </c>
      <c r="F328" s="15">
        <f>25657+384</f>
        <v>26041</v>
      </c>
      <c r="G328" s="12">
        <f t="shared" si="27"/>
        <v>160</v>
      </c>
      <c r="H328" s="26"/>
      <c r="I328" s="27"/>
      <c r="J328" s="2" t="s">
        <v>29</v>
      </c>
    </row>
    <row r="329" spans="1:11" ht="15" customHeight="1">
      <c r="A329" s="43"/>
      <c r="B329" s="57"/>
      <c r="C329" s="44"/>
      <c r="D329" s="46"/>
      <c r="E329" s="16">
        <f>E328</f>
        <v>25881</v>
      </c>
      <c r="F329" s="16">
        <f>F328</f>
        <v>26041</v>
      </c>
      <c r="G329" s="14">
        <f t="shared" si="27"/>
        <v>160</v>
      </c>
      <c r="H329" s="26"/>
      <c r="I329" s="17"/>
      <c r="J329" s="2" t="s">
        <v>30</v>
      </c>
    </row>
    <row r="330" spans="1:11" ht="15" customHeight="1">
      <c r="A330" s="42">
        <v>145</v>
      </c>
      <c r="B330" s="56" t="s">
        <v>205</v>
      </c>
      <c r="C330" s="44" t="s">
        <v>150</v>
      </c>
      <c r="D330" s="45" t="s">
        <v>69</v>
      </c>
      <c r="E330" s="15">
        <f>108586+12019</f>
        <v>120605</v>
      </c>
      <c r="F330" s="15">
        <f>136337+12194</f>
        <v>148531</v>
      </c>
      <c r="G330" s="12">
        <f t="shared" si="27"/>
        <v>27926</v>
      </c>
      <c r="H330" s="40"/>
      <c r="I330" s="27"/>
      <c r="J330" s="2" t="s">
        <v>29</v>
      </c>
    </row>
    <row r="331" spans="1:11" ht="15" customHeight="1">
      <c r="A331" s="43"/>
      <c r="B331" s="57"/>
      <c r="C331" s="44"/>
      <c r="D331" s="46"/>
      <c r="E331" s="16">
        <f>E330</f>
        <v>120605</v>
      </c>
      <c r="F331" s="16">
        <f>F330-598</f>
        <v>147933</v>
      </c>
      <c r="G331" s="14">
        <f t="shared" si="27"/>
        <v>27328</v>
      </c>
      <c r="H331" s="41"/>
      <c r="I331" s="17"/>
      <c r="J331" s="2" t="s">
        <v>30</v>
      </c>
    </row>
    <row r="332" spans="1:11" ht="15" customHeight="1">
      <c r="A332" s="42">
        <v>146</v>
      </c>
      <c r="B332" s="56" t="s">
        <v>205</v>
      </c>
      <c r="C332" s="44" t="s">
        <v>151</v>
      </c>
      <c r="D332" s="45" t="s">
        <v>25</v>
      </c>
      <c r="E332" s="15">
        <f>95179+994+7554+7528</f>
        <v>111255</v>
      </c>
      <c r="F332" s="15">
        <f>95417+931+7085+7656</f>
        <v>111089</v>
      </c>
      <c r="G332" s="15">
        <f t="shared" si="27"/>
        <v>-166</v>
      </c>
      <c r="H332" s="40"/>
      <c r="I332" s="27"/>
      <c r="J332" s="2" t="s">
        <v>29</v>
      </c>
    </row>
    <row r="333" spans="1:11" ht="15" customHeight="1">
      <c r="A333" s="43"/>
      <c r="B333" s="57"/>
      <c r="C333" s="44"/>
      <c r="D333" s="46"/>
      <c r="E333" s="16">
        <f>E332</f>
        <v>111255</v>
      </c>
      <c r="F333" s="16">
        <f>F332</f>
        <v>111089</v>
      </c>
      <c r="G333" s="14">
        <f t="shared" si="27"/>
        <v>-166</v>
      </c>
      <c r="H333" s="41"/>
      <c r="I333" s="17"/>
      <c r="J333" s="2" t="s">
        <v>30</v>
      </c>
    </row>
    <row r="334" spans="1:11" ht="15" customHeight="1">
      <c r="A334" s="42">
        <v>147</v>
      </c>
      <c r="B334" s="56" t="s">
        <v>205</v>
      </c>
      <c r="C334" s="44" t="s">
        <v>152</v>
      </c>
      <c r="D334" s="45" t="s">
        <v>69</v>
      </c>
      <c r="E334" s="15">
        <f>8518+1030</f>
        <v>9548</v>
      </c>
      <c r="F334" s="15">
        <f>15429+1030+1000</f>
        <v>17459</v>
      </c>
      <c r="G334" s="15">
        <f t="shared" si="27"/>
        <v>7911</v>
      </c>
      <c r="H334" s="40" t="s">
        <v>33</v>
      </c>
      <c r="I334" s="27">
        <v>1030</v>
      </c>
      <c r="J334" s="2" t="s">
        <v>29</v>
      </c>
      <c r="K334" s="2" t="s">
        <v>34</v>
      </c>
    </row>
    <row r="335" spans="1:11" ht="15" customHeight="1">
      <c r="A335" s="43"/>
      <c r="B335" s="57"/>
      <c r="C335" s="44"/>
      <c r="D335" s="46"/>
      <c r="E335" s="16">
        <f>E334-741</f>
        <v>8807</v>
      </c>
      <c r="F335" s="16">
        <f>F334-551-1000</f>
        <v>15908</v>
      </c>
      <c r="G335" s="14">
        <f t="shared" si="27"/>
        <v>7101</v>
      </c>
      <c r="H335" s="41"/>
      <c r="I335" s="17">
        <f>I334</f>
        <v>1030</v>
      </c>
      <c r="J335" s="2" t="s">
        <v>30</v>
      </c>
      <c r="K335" s="2" t="s">
        <v>35</v>
      </c>
    </row>
    <row r="336" spans="1:11" ht="22.5" customHeight="1">
      <c r="A336" s="42">
        <v>148</v>
      </c>
      <c r="B336" s="56" t="s">
        <v>205</v>
      </c>
      <c r="C336" s="44" t="s">
        <v>192</v>
      </c>
      <c r="D336" s="45" t="s">
        <v>69</v>
      </c>
      <c r="E336" s="15">
        <v>37232</v>
      </c>
      <c r="F336" s="15">
        <v>18364</v>
      </c>
      <c r="G336" s="15">
        <f t="shared" si="27"/>
        <v>-18868</v>
      </c>
      <c r="H336" s="40"/>
      <c r="I336" s="33"/>
      <c r="J336" s="2" t="s">
        <v>29</v>
      </c>
    </row>
    <row r="337" spans="1:10" ht="22.5" customHeight="1">
      <c r="A337" s="43"/>
      <c r="B337" s="57"/>
      <c r="C337" s="44"/>
      <c r="D337" s="46"/>
      <c r="E337" s="16">
        <f>E336-18616</f>
        <v>18616</v>
      </c>
      <c r="F337" s="16">
        <f>F336-9182</f>
        <v>9182</v>
      </c>
      <c r="G337" s="14">
        <f t="shared" si="27"/>
        <v>-9434</v>
      </c>
      <c r="H337" s="41"/>
      <c r="I337" s="17"/>
      <c r="J337" s="2" t="s">
        <v>30</v>
      </c>
    </row>
    <row r="338" spans="1:10" ht="22.5" customHeight="1">
      <c r="A338" s="42">
        <v>149</v>
      </c>
      <c r="B338" s="56" t="s">
        <v>205</v>
      </c>
      <c r="C338" s="84" t="s">
        <v>153</v>
      </c>
      <c r="D338" s="45" t="s">
        <v>69</v>
      </c>
      <c r="E338" s="15">
        <v>84</v>
      </c>
      <c r="F338" s="15">
        <v>84</v>
      </c>
      <c r="G338" s="12">
        <f t="shared" si="27"/>
        <v>0</v>
      </c>
      <c r="H338" s="40"/>
      <c r="I338" s="27"/>
      <c r="J338" s="2" t="s">
        <v>29</v>
      </c>
    </row>
    <row r="339" spans="1:10" ht="22.5" customHeight="1">
      <c r="A339" s="43"/>
      <c r="B339" s="57"/>
      <c r="C339" s="84"/>
      <c r="D339" s="46"/>
      <c r="E339" s="16">
        <f>E338</f>
        <v>84</v>
      </c>
      <c r="F339" s="16">
        <f>F338</f>
        <v>84</v>
      </c>
      <c r="G339" s="14">
        <f t="shared" si="27"/>
        <v>0</v>
      </c>
      <c r="H339" s="41"/>
      <c r="I339" s="17"/>
      <c r="J339" s="2" t="s">
        <v>30</v>
      </c>
    </row>
    <row r="340" spans="1:10" ht="15" customHeight="1">
      <c r="A340" s="42">
        <v>150</v>
      </c>
      <c r="B340" s="56" t="s">
        <v>205</v>
      </c>
      <c r="C340" s="44" t="s">
        <v>154</v>
      </c>
      <c r="D340" s="45" t="s">
        <v>69</v>
      </c>
      <c r="E340" s="15">
        <v>2126</v>
      </c>
      <c r="F340" s="15">
        <v>1647</v>
      </c>
      <c r="G340" s="12">
        <f t="shared" si="27"/>
        <v>-479</v>
      </c>
      <c r="H340" s="40"/>
      <c r="I340" s="27"/>
      <c r="J340" s="2" t="s">
        <v>29</v>
      </c>
    </row>
    <row r="341" spans="1:10" ht="15" customHeight="1">
      <c r="A341" s="43"/>
      <c r="B341" s="57"/>
      <c r="C341" s="44"/>
      <c r="D341" s="46"/>
      <c r="E341" s="16">
        <f>E340</f>
        <v>2126</v>
      </c>
      <c r="F341" s="16">
        <f>F340</f>
        <v>1647</v>
      </c>
      <c r="G341" s="14">
        <f t="shared" si="27"/>
        <v>-479</v>
      </c>
      <c r="H341" s="41"/>
      <c r="I341" s="17"/>
      <c r="J341" s="2" t="s">
        <v>30</v>
      </c>
    </row>
    <row r="342" spans="1:10" ht="15" customHeight="1">
      <c r="A342" s="42">
        <v>151</v>
      </c>
      <c r="B342" s="56" t="s">
        <v>205</v>
      </c>
      <c r="C342" s="44" t="s">
        <v>61</v>
      </c>
      <c r="D342" s="45" t="s">
        <v>69</v>
      </c>
      <c r="E342" s="15">
        <v>701</v>
      </c>
      <c r="F342" s="15">
        <v>701</v>
      </c>
      <c r="G342" s="12">
        <f t="shared" si="27"/>
        <v>0</v>
      </c>
      <c r="H342" s="40"/>
      <c r="I342" s="27"/>
      <c r="J342" s="2" t="s">
        <v>29</v>
      </c>
    </row>
    <row r="343" spans="1:10" ht="15" customHeight="1">
      <c r="A343" s="43"/>
      <c r="B343" s="57"/>
      <c r="C343" s="44"/>
      <c r="D343" s="46"/>
      <c r="E343" s="16">
        <f>E342</f>
        <v>701</v>
      </c>
      <c r="F343" s="16">
        <f>F342</f>
        <v>701</v>
      </c>
      <c r="G343" s="14">
        <f t="shared" si="27"/>
        <v>0</v>
      </c>
      <c r="H343" s="41"/>
      <c r="I343" s="17"/>
      <c r="J343" s="2" t="s">
        <v>30</v>
      </c>
    </row>
    <row r="344" spans="1:10" ht="22.5" customHeight="1">
      <c r="A344" s="42">
        <v>152</v>
      </c>
      <c r="B344" s="56" t="s">
        <v>205</v>
      </c>
      <c r="C344" s="44" t="s">
        <v>155</v>
      </c>
      <c r="D344" s="45" t="s">
        <v>236</v>
      </c>
      <c r="E344" s="15">
        <f>19507+6532+34</f>
        <v>26073</v>
      </c>
      <c r="F344" s="15">
        <f>19663+6942+34</f>
        <v>26639</v>
      </c>
      <c r="G344" s="12">
        <f t="shared" si="27"/>
        <v>566</v>
      </c>
      <c r="H344" s="40"/>
      <c r="I344" s="27"/>
      <c r="J344" s="2" t="s">
        <v>29</v>
      </c>
    </row>
    <row r="345" spans="1:10" ht="22.5" customHeight="1">
      <c r="A345" s="43"/>
      <c r="B345" s="57"/>
      <c r="C345" s="44"/>
      <c r="D345" s="46"/>
      <c r="E345" s="16">
        <f>E344</f>
        <v>26073</v>
      </c>
      <c r="F345" s="16">
        <f>F344</f>
        <v>26639</v>
      </c>
      <c r="G345" s="14">
        <f t="shared" si="27"/>
        <v>566</v>
      </c>
      <c r="H345" s="41"/>
      <c r="I345" s="17"/>
      <c r="J345" s="2" t="s">
        <v>30</v>
      </c>
    </row>
    <row r="346" spans="1:10" ht="15" customHeight="1">
      <c r="A346" s="42">
        <v>153</v>
      </c>
      <c r="B346" s="56" t="s">
        <v>205</v>
      </c>
      <c r="C346" s="44" t="s">
        <v>156</v>
      </c>
      <c r="D346" s="45" t="s">
        <v>69</v>
      </c>
      <c r="E346" s="15">
        <v>6246</v>
      </c>
      <c r="F346" s="15">
        <v>7361</v>
      </c>
      <c r="G346" s="12">
        <f t="shared" si="27"/>
        <v>1115</v>
      </c>
      <c r="H346" s="40"/>
      <c r="I346" s="27"/>
      <c r="J346" s="2" t="s">
        <v>29</v>
      </c>
    </row>
    <row r="347" spans="1:10" ht="15" customHeight="1">
      <c r="A347" s="43"/>
      <c r="B347" s="57"/>
      <c r="C347" s="44"/>
      <c r="D347" s="46"/>
      <c r="E347" s="16">
        <f>E346</f>
        <v>6246</v>
      </c>
      <c r="F347" s="16">
        <f>F346</f>
        <v>7361</v>
      </c>
      <c r="G347" s="14">
        <f t="shared" si="27"/>
        <v>1115</v>
      </c>
      <c r="H347" s="41"/>
      <c r="I347" s="17"/>
      <c r="J347" s="2" t="s">
        <v>30</v>
      </c>
    </row>
    <row r="348" spans="1:10" ht="15" customHeight="1">
      <c r="A348" s="42">
        <v>154</v>
      </c>
      <c r="B348" s="56" t="s">
        <v>205</v>
      </c>
      <c r="C348" s="44" t="s">
        <v>157</v>
      </c>
      <c r="D348" s="45" t="s">
        <v>69</v>
      </c>
      <c r="E348" s="15">
        <v>9961</v>
      </c>
      <c r="F348" s="15">
        <v>6332</v>
      </c>
      <c r="G348" s="12">
        <f t="shared" si="27"/>
        <v>-3629</v>
      </c>
      <c r="H348" s="40"/>
      <c r="I348" s="27"/>
      <c r="J348" s="2" t="s">
        <v>29</v>
      </c>
    </row>
    <row r="349" spans="1:10" ht="15" customHeight="1">
      <c r="A349" s="43"/>
      <c r="B349" s="57"/>
      <c r="C349" s="44"/>
      <c r="D349" s="46"/>
      <c r="E349" s="16">
        <f>E348</f>
        <v>9961</v>
      </c>
      <c r="F349" s="16">
        <f>F348</f>
        <v>6332</v>
      </c>
      <c r="G349" s="14">
        <f t="shared" si="27"/>
        <v>-3629</v>
      </c>
      <c r="H349" s="41"/>
      <c r="I349" s="17"/>
      <c r="J349" s="2" t="s">
        <v>30</v>
      </c>
    </row>
    <row r="350" spans="1:10" ht="15" customHeight="1">
      <c r="A350" s="49" t="s">
        <v>158</v>
      </c>
      <c r="B350" s="50"/>
      <c r="C350" s="50"/>
      <c r="D350" s="51"/>
      <c r="E350" s="15">
        <f>E328+E330+E332+E334+E336+E338+E340+E342+E344+E346+E348</f>
        <v>349712</v>
      </c>
      <c r="F350" s="15">
        <f>F328+F330+F332+F334+F336+F338+F340+F342+F344+F346+F348</f>
        <v>364248</v>
      </c>
      <c r="G350" s="12">
        <f>+F350-E350</f>
        <v>14536</v>
      </c>
      <c r="H350" s="40"/>
      <c r="I350" s="27"/>
    </row>
    <row r="351" spans="1:10" ht="15" customHeight="1">
      <c r="A351" s="52"/>
      <c r="B351" s="53"/>
      <c r="C351" s="53"/>
      <c r="D351" s="55"/>
      <c r="E351" s="16">
        <f>E329+E331+E333+E335+E337+E339+E341+E343+E345+E347+E349</f>
        <v>330355</v>
      </c>
      <c r="F351" s="16">
        <f>F329+F331+F333+F335+F337+F339+F341+F343+F345+F347+F349</f>
        <v>352917</v>
      </c>
      <c r="G351" s="14">
        <f t="shared" si="27"/>
        <v>22562</v>
      </c>
      <c r="H351" s="41"/>
      <c r="I351" s="17"/>
    </row>
    <row r="352" spans="1:10" ht="15" customHeight="1">
      <c r="A352" s="42">
        <v>155</v>
      </c>
      <c r="B352" s="56" t="s">
        <v>206</v>
      </c>
      <c r="C352" s="44" t="s">
        <v>160</v>
      </c>
      <c r="D352" s="45" t="s">
        <v>105</v>
      </c>
      <c r="E352" s="15">
        <v>444271</v>
      </c>
      <c r="F352" s="15">
        <v>601108</v>
      </c>
      <c r="G352" s="12">
        <f t="shared" si="27"/>
        <v>156837</v>
      </c>
      <c r="H352" s="40"/>
      <c r="I352" s="27"/>
      <c r="J352" s="2" t="s">
        <v>29</v>
      </c>
    </row>
    <row r="353" spans="1:10" ht="15" customHeight="1">
      <c r="A353" s="43"/>
      <c r="B353" s="57"/>
      <c r="C353" s="44"/>
      <c r="D353" s="46"/>
      <c r="E353" s="16">
        <v>169000</v>
      </c>
      <c r="F353" s="16">
        <v>202000</v>
      </c>
      <c r="G353" s="14">
        <f t="shared" si="27"/>
        <v>33000</v>
      </c>
      <c r="H353" s="41"/>
      <c r="I353" s="17"/>
      <c r="J353" s="2" t="s">
        <v>30</v>
      </c>
    </row>
    <row r="354" spans="1:10" ht="15" customHeight="1">
      <c r="A354" s="42">
        <v>156</v>
      </c>
      <c r="B354" s="56" t="s">
        <v>206</v>
      </c>
      <c r="C354" s="44" t="s">
        <v>161</v>
      </c>
      <c r="D354" s="45" t="s">
        <v>105</v>
      </c>
      <c r="E354" s="15">
        <v>904721</v>
      </c>
      <c r="F354" s="15">
        <v>911835</v>
      </c>
      <c r="G354" s="12">
        <f t="shared" si="27"/>
        <v>7114</v>
      </c>
      <c r="H354" s="40"/>
      <c r="I354" s="27"/>
      <c r="J354" s="2" t="s">
        <v>29</v>
      </c>
    </row>
    <row r="355" spans="1:10" ht="15" customHeight="1">
      <c r="A355" s="43"/>
      <c r="B355" s="57"/>
      <c r="C355" s="44"/>
      <c r="D355" s="46"/>
      <c r="E355" s="16">
        <v>904721</v>
      </c>
      <c r="F355" s="16">
        <v>911835</v>
      </c>
      <c r="G355" s="14">
        <f t="shared" si="27"/>
        <v>7114</v>
      </c>
      <c r="H355" s="41"/>
      <c r="I355" s="17"/>
      <c r="J355" s="2" t="s">
        <v>30</v>
      </c>
    </row>
    <row r="356" spans="1:10" ht="15" customHeight="1">
      <c r="A356" s="42">
        <v>157</v>
      </c>
      <c r="B356" s="56" t="s">
        <v>206</v>
      </c>
      <c r="C356" s="44" t="s">
        <v>162</v>
      </c>
      <c r="D356" s="45" t="s">
        <v>105</v>
      </c>
      <c r="E356" s="15">
        <v>4424419</v>
      </c>
      <c r="F356" s="15">
        <v>4469801</v>
      </c>
      <c r="G356" s="12">
        <f t="shared" si="27"/>
        <v>45382</v>
      </c>
      <c r="H356" s="40"/>
      <c r="I356" s="27"/>
      <c r="J356" s="2" t="s">
        <v>29</v>
      </c>
    </row>
    <row r="357" spans="1:10" ht="15" customHeight="1">
      <c r="A357" s="43"/>
      <c r="B357" s="57"/>
      <c r="C357" s="44"/>
      <c r="D357" s="46"/>
      <c r="E357" s="16">
        <v>2510594</v>
      </c>
      <c r="F357" s="16">
        <v>3220754</v>
      </c>
      <c r="G357" s="14">
        <f t="shared" si="27"/>
        <v>710160</v>
      </c>
      <c r="H357" s="41"/>
      <c r="I357" s="17"/>
      <c r="J357" s="2" t="s">
        <v>30</v>
      </c>
    </row>
    <row r="358" spans="1:10" ht="15" customHeight="1">
      <c r="A358" s="42">
        <v>158</v>
      </c>
      <c r="B358" s="56" t="s">
        <v>206</v>
      </c>
      <c r="C358" s="44" t="s">
        <v>163</v>
      </c>
      <c r="D358" s="45" t="s">
        <v>105</v>
      </c>
      <c r="E358" s="15">
        <v>2256232</v>
      </c>
      <c r="F358" s="15">
        <v>4310893</v>
      </c>
      <c r="G358" s="12">
        <f t="shared" si="27"/>
        <v>2054661</v>
      </c>
      <c r="H358" s="40"/>
      <c r="I358" s="27"/>
      <c r="J358" s="2" t="s">
        <v>29</v>
      </c>
    </row>
    <row r="359" spans="1:10" ht="15" customHeight="1">
      <c r="A359" s="43"/>
      <c r="B359" s="57"/>
      <c r="C359" s="44"/>
      <c r="D359" s="46"/>
      <c r="E359" s="16">
        <v>936869</v>
      </c>
      <c r="F359" s="16">
        <v>2877379</v>
      </c>
      <c r="G359" s="14">
        <f t="shared" si="27"/>
        <v>1940510</v>
      </c>
      <c r="H359" s="41"/>
      <c r="I359" s="17"/>
      <c r="J359" s="2" t="s">
        <v>30</v>
      </c>
    </row>
    <row r="360" spans="1:10" ht="15" customHeight="1">
      <c r="A360" s="42">
        <v>159</v>
      </c>
      <c r="B360" s="56" t="s">
        <v>206</v>
      </c>
      <c r="C360" s="44" t="s">
        <v>164</v>
      </c>
      <c r="D360" s="45" t="s">
        <v>105</v>
      </c>
      <c r="E360" s="15">
        <v>5550895</v>
      </c>
      <c r="F360" s="15">
        <v>8657117</v>
      </c>
      <c r="G360" s="12">
        <f t="shared" si="27"/>
        <v>3106222</v>
      </c>
      <c r="H360" s="40"/>
      <c r="I360" s="27"/>
      <c r="J360" s="2" t="s">
        <v>29</v>
      </c>
    </row>
    <row r="361" spans="1:10" ht="15" customHeight="1">
      <c r="A361" s="43"/>
      <c r="B361" s="57"/>
      <c r="C361" s="44"/>
      <c r="D361" s="46"/>
      <c r="E361" s="16">
        <v>2039749</v>
      </c>
      <c r="F361" s="16">
        <v>3048021</v>
      </c>
      <c r="G361" s="14">
        <f t="shared" si="27"/>
        <v>1008272</v>
      </c>
      <c r="H361" s="41"/>
      <c r="I361" s="17"/>
      <c r="J361" s="2" t="s">
        <v>30</v>
      </c>
    </row>
    <row r="362" spans="1:10" ht="15" customHeight="1">
      <c r="A362" s="42">
        <v>160</v>
      </c>
      <c r="B362" s="56" t="s">
        <v>206</v>
      </c>
      <c r="C362" s="44" t="s">
        <v>72</v>
      </c>
      <c r="D362" s="45" t="s">
        <v>48</v>
      </c>
      <c r="E362" s="15">
        <v>575674</v>
      </c>
      <c r="F362" s="15">
        <v>320469</v>
      </c>
      <c r="G362" s="12">
        <f t="shared" si="27"/>
        <v>-255205</v>
      </c>
      <c r="H362" s="40"/>
      <c r="I362" s="27"/>
      <c r="J362" s="2" t="s">
        <v>29</v>
      </c>
    </row>
    <row r="363" spans="1:10" ht="15" customHeight="1">
      <c r="A363" s="43"/>
      <c r="B363" s="57"/>
      <c r="C363" s="44"/>
      <c r="D363" s="46"/>
      <c r="E363" s="16">
        <v>225000</v>
      </c>
      <c r="F363" s="16">
        <v>39775</v>
      </c>
      <c r="G363" s="14">
        <f t="shared" si="27"/>
        <v>-185225</v>
      </c>
      <c r="H363" s="41"/>
      <c r="I363" s="17"/>
      <c r="J363" s="2" t="s">
        <v>30</v>
      </c>
    </row>
    <row r="364" spans="1:10" ht="15" customHeight="1">
      <c r="A364" s="42">
        <v>161</v>
      </c>
      <c r="B364" s="56" t="s">
        <v>206</v>
      </c>
      <c r="C364" s="44" t="s">
        <v>166</v>
      </c>
      <c r="D364" s="45" t="s">
        <v>105</v>
      </c>
      <c r="E364" s="15">
        <f>5070029+535814+420039+457868</f>
        <v>6483750</v>
      </c>
      <c r="F364" s="15">
        <f>5949191+325747+500000+316443</f>
        <v>7091381</v>
      </c>
      <c r="G364" s="12">
        <f t="shared" si="27"/>
        <v>607631</v>
      </c>
      <c r="H364" s="40"/>
      <c r="I364" s="27"/>
      <c r="J364" s="2" t="s">
        <v>29</v>
      </c>
    </row>
    <row r="365" spans="1:10" ht="15" customHeight="1">
      <c r="A365" s="43"/>
      <c r="B365" s="57"/>
      <c r="C365" s="44"/>
      <c r="D365" s="46"/>
      <c r="E365" s="16">
        <f>3841024+535814+420039+457868</f>
        <v>5254745</v>
      </c>
      <c r="F365" s="16">
        <f>4452587+325747+500000+316443</f>
        <v>5594777</v>
      </c>
      <c r="G365" s="14">
        <f t="shared" si="27"/>
        <v>340032</v>
      </c>
      <c r="H365" s="41"/>
      <c r="I365" s="17"/>
      <c r="J365" s="2" t="s">
        <v>30</v>
      </c>
    </row>
    <row r="366" spans="1:10" ht="15" customHeight="1">
      <c r="A366" s="42">
        <v>162</v>
      </c>
      <c r="B366" s="56" t="s">
        <v>206</v>
      </c>
      <c r="C366" s="44" t="s">
        <v>167</v>
      </c>
      <c r="D366" s="45" t="s">
        <v>53</v>
      </c>
      <c r="E366" s="12">
        <v>10000</v>
      </c>
      <c r="F366" s="12">
        <v>10000</v>
      </c>
      <c r="G366" s="12">
        <f t="shared" si="27"/>
        <v>0</v>
      </c>
      <c r="H366" s="40"/>
      <c r="I366" s="27"/>
      <c r="J366" s="2" t="s">
        <v>29</v>
      </c>
    </row>
    <row r="367" spans="1:10" ht="15" customHeight="1">
      <c r="A367" s="43"/>
      <c r="B367" s="57"/>
      <c r="C367" s="44"/>
      <c r="D367" s="46"/>
      <c r="E367" s="13">
        <v>10000</v>
      </c>
      <c r="F367" s="13">
        <v>10000</v>
      </c>
      <c r="G367" s="14">
        <f t="shared" si="27"/>
        <v>0</v>
      </c>
      <c r="H367" s="41"/>
      <c r="I367" s="17"/>
      <c r="J367" s="2" t="s">
        <v>30</v>
      </c>
    </row>
    <row r="368" spans="1:10" ht="15" customHeight="1">
      <c r="A368" s="42">
        <v>163</v>
      </c>
      <c r="B368" s="56" t="s">
        <v>206</v>
      </c>
      <c r="C368" s="44" t="s">
        <v>168</v>
      </c>
      <c r="D368" s="45" t="s">
        <v>53</v>
      </c>
      <c r="E368" s="15">
        <v>1520</v>
      </c>
      <c r="F368" s="15">
        <v>1520</v>
      </c>
      <c r="G368" s="12">
        <f t="shared" si="27"/>
        <v>0</v>
      </c>
      <c r="H368" s="40"/>
      <c r="I368" s="27"/>
      <c r="J368" s="2" t="s">
        <v>29</v>
      </c>
    </row>
    <row r="369" spans="1:10" ht="15" customHeight="1">
      <c r="A369" s="43"/>
      <c r="B369" s="57"/>
      <c r="C369" s="44"/>
      <c r="D369" s="46"/>
      <c r="E369" s="16">
        <v>1520</v>
      </c>
      <c r="F369" s="16">
        <v>1520</v>
      </c>
      <c r="G369" s="14">
        <f t="shared" si="27"/>
        <v>0</v>
      </c>
      <c r="H369" s="41"/>
      <c r="I369" s="17"/>
      <c r="J369" s="2" t="s">
        <v>30</v>
      </c>
    </row>
    <row r="370" spans="1:10" ht="15" customHeight="1">
      <c r="A370" s="42">
        <v>164</v>
      </c>
      <c r="B370" s="56" t="s">
        <v>206</v>
      </c>
      <c r="C370" s="44" t="s">
        <v>169</v>
      </c>
      <c r="D370" s="45" t="s">
        <v>105</v>
      </c>
      <c r="E370" s="15">
        <v>18232</v>
      </c>
      <c r="F370" s="15">
        <v>15299</v>
      </c>
      <c r="G370" s="12">
        <f t="shared" ref="G370:G403" si="31">+F370-E370</f>
        <v>-2933</v>
      </c>
      <c r="H370" s="40"/>
      <c r="I370" s="27"/>
      <c r="J370" s="2" t="s">
        <v>29</v>
      </c>
    </row>
    <row r="371" spans="1:10" ht="15" customHeight="1">
      <c r="A371" s="43"/>
      <c r="B371" s="57"/>
      <c r="C371" s="44"/>
      <c r="D371" s="46"/>
      <c r="E371" s="16">
        <v>9116</v>
      </c>
      <c r="F371" s="16">
        <v>7650</v>
      </c>
      <c r="G371" s="14">
        <f t="shared" si="31"/>
        <v>-1466</v>
      </c>
      <c r="H371" s="41"/>
      <c r="I371" s="17"/>
      <c r="J371" s="2" t="s">
        <v>30</v>
      </c>
    </row>
    <row r="372" spans="1:10" ht="22.5" customHeight="1">
      <c r="A372" s="42">
        <v>165</v>
      </c>
      <c r="B372" s="56" t="s">
        <v>206</v>
      </c>
      <c r="C372" s="44" t="s">
        <v>170</v>
      </c>
      <c r="D372" s="45" t="s">
        <v>52</v>
      </c>
      <c r="E372" s="15">
        <f>252069+16057+3214+40039+12433</f>
        <v>323812</v>
      </c>
      <c r="F372" s="15">
        <f>249520+510+3144+40039+21965</f>
        <v>315178</v>
      </c>
      <c r="G372" s="12">
        <f t="shared" si="31"/>
        <v>-8634</v>
      </c>
      <c r="H372" s="40"/>
      <c r="I372" s="27"/>
      <c r="J372" s="2" t="s">
        <v>29</v>
      </c>
    </row>
    <row r="373" spans="1:10" ht="22.5" customHeight="1">
      <c r="A373" s="43"/>
      <c r="B373" s="57"/>
      <c r="C373" s="44"/>
      <c r="D373" s="46"/>
      <c r="E373" s="16">
        <f>252069+16057+3214+40039+12433</f>
        <v>323812</v>
      </c>
      <c r="F373" s="16">
        <f>249520+510+3144+40039+21965</f>
        <v>315178</v>
      </c>
      <c r="G373" s="14">
        <f t="shared" si="31"/>
        <v>-8634</v>
      </c>
      <c r="H373" s="41"/>
      <c r="I373" s="17"/>
      <c r="J373" s="2" t="s">
        <v>30</v>
      </c>
    </row>
    <row r="374" spans="1:10" ht="22.5" customHeight="1">
      <c r="A374" s="42">
        <v>166</v>
      </c>
      <c r="B374" s="56" t="s">
        <v>206</v>
      </c>
      <c r="C374" s="44" t="s">
        <v>78</v>
      </c>
      <c r="D374" s="45" t="s">
        <v>44</v>
      </c>
      <c r="E374" s="15">
        <v>123137</v>
      </c>
      <c r="F374" s="15">
        <v>44844</v>
      </c>
      <c r="G374" s="12">
        <f t="shared" si="31"/>
        <v>-78293</v>
      </c>
      <c r="H374" s="40"/>
      <c r="I374" s="27"/>
      <c r="J374" s="2" t="s">
        <v>29</v>
      </c>
    </row>
    <row r="375" spans="1:10" ht="22.5" customHeight="1">
      <c r="A375" s="43"/>
      <c r="B375" s="57"/>
      <c r="C375" s="44"/>
      <c r="D375" s="46"/>
      <c r="E375" s="16">
        <v>123137</v>
      </c>
      <c r="F375" s="16">
        <v>44844</v>
      </c>
      <c r="G375" s="14">
        <f t="shared" si="31"/>
        <v>-78293</v>
      </c>
      <c r="H375" s="41"/>
      <c r="I375" s="17"/>
      <c r="J375" s="2" t="s">
        <v>30</v>
      </c>
    </row>
    <row r="376" spans="1:10" ht="22.5" customHeight="1">
      <c r="A376" s="42">
        <v>167</v>
      </c>
      <c r="B376" s="56" t="s">
        <v>206</v>
      </c>
      <c r="C376" s="44" t="s">
        <v>171</v>
      </c>
      <c r="D376" s="45" t="s">
        <v>44</v>
      </c>
      <c r="E376" s="15">
        <v>2420969</v>
      </c>
      <c r="F376" s="15">
        <v>2458073</v>
      </c>
      <c r="G376" s="12">
        <f>+F376-E376</f>
        <v>37104</v>
      </c>
      <c r="H376" s="40"/>
      <c r="I376" s="27"/>
      <c r="J376" s="2" t="s">
        <v>29</v>
      </c>
    </row>
    <row r="377" spans="1:10" ht="22.5" customHeight="1">
      <c r="A377" s="43"/>
      <c r="B377" s="57"/>
      <c r="C377" s="44"/>
      <c r="D377" s="46"/>
      <c r="E377" s="16">
        <v>2420969</v>
      </c>
      <c r="F377" s="16">
        <v>2458073</v>
      </c>
      <c r="G377" s="14">
        <f t="shared" si="31"/>
        <v>37104</v>
      </c>
      <c r="H377" s="41"/>
      <c r="I377" s="17"/>
      <c r="J377" s="2" t="s">
        <v>30</v>
      </c>
    </row>
    <row r="378" spans="1:10" ht="15" customHeight="1">
      <c r="A378" s="42">
        <v>168</v>
      </c>
      <c r="B378" s="56" t="s">
        <v>206</v>
      </c>
      <c r="C378" s="44" t="s">
        <v>172</v>
      </c>
      <c r="D378" s="45" t="s">
        <v>50</v>
      </c>
      <c r="E378" s="12">
        <f>20959+478</f>
        <v>21437</v>
      </c>
      <c r="F378" s="12">
        <f>40364+562</f>
        <v>40926</v>
      </c>
      <c r="G378" s="12">
        <f t="shared" si="31"/>
        <v>19489</v>
      </c>
      <c r="H378" s="40"/>
      <c r="I378" s="27"/>
      <c r="J378" s="2" t="s">
        <v>29</v>
      </c>
    </row>
    <row r="379" spans="1:10" ht="15" customHeight="1">
      <c r="A379" s="43"/>
      <c r="B379" s="57"/>
      <c r="C379" s="44"/>
      <c r="D379" s="46"/>
      <c r="E379" s="16">
        <f>20945+478</f>
        <v>21423</v>
      </c>
      <c r="F379" s="16">
        <f>40323+562</f>
        <v>40885</v>
      </c>
      <c r="G379" s="14">
        <f t="shared" si="31"/>
        <v>19462</v>
      </c>
      <c r="H379" s="41"/>
      <c r="I379" s="17"/>
      <c r="J379" s="2" t="s">
        <v>30</v>
      </c>
    </row>
    <row r="380" spans="1:10" ht="15" customHeight="1">
      <c r="A380" s="42">
        <v>169</v>
      </c>
      <c r="B380" s="56" t="s">
        <v>206</v>
      </c>
      <c r="C380" s="44" t="s">
        <v>173</v>
      </c>
      <c r="D380" s="45" t="s">
        <v>50</v>
      </c>
      <c r="E380" s="15">
        <v>23016</v>
      </c>
      <c r="F380" s="15">
        <v>22727</v>
      </c>
      <c r="G380" s="12">
        <f t="shared" si="31"/>
        <v>-289</v>
      </c>
      <c r="H380" s="40"/>
      <c r="I380" s="27"/>
      <c r="J380" s="2" t="s">
        <v>29</v>
      </c>
    </row>
    <row r="381" spans="1:10" ht="15" customHeight="1">
      <c r="A381" s="43"/>
      <c r="B381" s="57"/>
      <c r="C381" s="44"/>
      <c r="D381" s="46"/>
      <c r="E381" s="16">
        <v>23016</v>
      </c>
      <c r="F381" s="16">
        <v>22727</v>
      </c>
      <c r="G381" s="14">
        <f t="shared" si="31"/>
        <v>-289</v>
      </c>
      <c r="H381" s="41"/>
      <c r="I381" s="17"/>
      <c r="J381" s="2" t="s">
        <v>30</v>
      </c>
    </row>
    <row r="382" spans="1:10" ht="15" customHeight="1">
      <c r="A382" s="42">
        <v>170</v>
      </c>
      <c r="B382" s="56" t="s">
        <v>206</v>
      </c>
      <c r="C382" s="44" t="s">
        <v>174</v>
      </c>
      <c r="D382" s="45" t="s">
        <v>142</v>
      </c>
      <c r="E382" s="15">
        <v>700886</v>
      </c>
      <c r="F382" s="15">
        <v>795194</v>
      </c>
      <c r="G382" s="12">
        <f t="shared" si="31"/>
        <v>94308</v>
      </c>
      <c r="H382" s="40"/>
      <c r="I382" s="27"/>
      <c r="J382" s="2" t="s">
        <v>29</v>
      </c>
    </row>
    <row r="383" spans="1:10" ht="15" customHeight="1">
      <c r="A383" s="43"/>
      <c r="B383" s="57"/>
      <c r="C383" s="44"/>
      <c r="D383" s="46"/>
      <c r="E383" s="16">
        <v>0</v>
      </c>
      <c r="F383" s="16">
        <v>0</v>
      </c>
      <c r="G383" s="14">
        <f t="shared" si="31"/>
        <v>0</v>
      </c>
      <c r="H383" s="41"/>
      <c r="I383" s="17"/>
      <c r="J383" s="2" t="s">
        <v>30</v>
      </c>
    </row>
    <row r="384" spans="1:10" ht="15" customHeight="1">
      <c r="A384" s="42">
        <v>171</v>
      </c>
      <c r="B384" s="56" t="s">
        <v>206</v>
      </c>
      <c r="C384" s="44" t="s">
        <v>257</v>
      </c>
      <c r="D384" s="45" t="s">
        <v>226</v>
      </c>
      <c r="E384" s="15">
        <f>35975+49471+35879</f>
        <v>121325</v>
      </c>
      <c r="F384" s="15">
        <f>29647+26577</f>
        <v>56224</v>
      </c>
      <c r="G384" s="12">
        <f t="shared" si="31"/>
        <v>-65101</v>
      </c>
      <c r="H384" s="40"/>
      <c r="I384" s="27"/>
      <c r="J384" s="2" t="s">
        <v>29</v>
      </c>
    </row>
    <row r="385" spans="1:10" ht="15" customHeight="1">
      <c r="A385" s="43"/>
      <c r="B385" s="57"/>
      <c r="C385" s="44"/>
      <c r="D385" s="46"/>
      <c r="E385" s="16">
        <f>31975+49471+35879</f>
        <v>117325</v>
      </c>
      <c r="F385" s="16">
        <f>29647+26577</f>
        <v>56224</v>
      </c>
      <c r="G385" s="14">
        <f t="shared" si="31"/>
        <v>-61101</v>
      </c>
      <c r="H385" s="41"/>
      <c r="I385" s="17"/>
      <c r="J385" s="2" t="s">
        <v>30</v>
      </c>
    </row>
    <row r="386" spans="1:10" ht="15" customHeight="1">
      <c r="A386" s="42">
        <v>172</v>
      </c>
      <c r="B386" s="56" t="s">
        <v>206</v>
      </c>
      <c r="C386" s="44" t="s">
        <v>258</v>
      </c>
      <c r="D386" s="45" t="s">
        <v>175</v>
      </c>
      <c r="E386" s="15">
        <f>113129+520643+15895</f>
        <v>649667</v>
      </c>
      <c r="F386" s="15">
        <f>64383+881820+15895</f>
        <v>962098</v>
      </c>
      <c r="G386" s="12">
        <f t="shared" si="31"/>
        <v>312431</v>
      </c>
      <c r="H386" s="40"/>
      <c r="I386" s="27"/>
      <c r="J386" s="2" t="s">
        <v>29</v>
      </c>
    </row>
    <row r="387" spans="1:10" ht="15" customHeight="1">
      <c r="A387" s="43"/>
      <c r="B387" s="57"/>
      <c r="C387" s="44"/>
      <c r="D387" s="46"/>
      <c r="E387" s="16">
        <f>113129+520643+15895</f>
        <v>649667</v>
      </c>
      <c r="F387" s="16">
        <f>59383+723820+15895</f>
        <v>799098</v>
      </c>
      <c r="G387" s="14">
        <f t="shared" si="31"/>
        <v>149431</v>
      </c>
      <c r="H387" s="41"/>
      <c r="I387" s="17"/>
      <c r="J387" s="2" t="s">
        <v>30</v>
      </c>
    </row>
    <row r="388" spans="1:10" ht="22.5" customHeight="1">
      <c r="A388" s="42">
        <v>173</v>
      </c>
      <c r="B388" s="56" t="s">
        <v>206</v>
      </c>
      <c r="C388" s="44" t="s">
        <v>176</v>
      </c>
      <c r="D388" s="45" t="s">
        <v>259</v>
      </c>
      <c r="E388" s="15">
        <v>150174</v>
      </c>
      <c r="F388" s="15">
        <v>192161</v>
      </c>
      <c r="G388" s="12">
        <f t="shared" si="31"/>
        <v>41987</v>
      </c>
      <c r="H388" s="40"/>
      <c r="I388" s="27"/>
      <c r="J388" s="2" t="s">
        <v>29</v>
      </c>
    </row>
    <row r="389" spans="1:10" ht="22.5" customHeight="1">
      <c r="A389" s="43"/>
      <c r="B389" s="57"/>
      <c r="C389" s="44"/>
      <c r="D389" s="46"/>
      <c r="E389" s="16">
        <v>150174</v>
      </c>
      <c r="F389" s="16">
        <v>192161</v>
      </c>
      <c r="G389" s="14">
        <f t="shared" si="31"/>
        <v>41987</v>
      </c>
      <c r="H389" s="41"/>
      <c r="I389" s="17"/>
      <c r="J389" s="2" t="s">
        <v>30</v>
      </c>
    </row>
    <row r="390" spans="1:10" ht="15" customHeight="1">
      <c r="A390" s="42">
        <v>174</v>
      </c>
      <c r="B390" s="56" t="s">
        <v>206</v>
      </c>
      <c r="C390" s="44" t="s">
        <v>177</v>
      </c>
      <c r="D390" s="45" t="s">
        <v>50</v>
      </c>
      <c r="E390" s="15">
        <f>6143+36276</f>
        <v>42419</v>
      </c>
      <c r="F390" s="15">
        <f>1324+4861+130</f>
        <v>6315</v>
      </c>
      <c r="G390" s="12">
        <f t="shared" si="31"/>
        <v>-36104</v>
      </c>
      <c r="H390" s="40"/>
      <c r="I390" s="27"/>
      <c r="J390" s="2" t="s">
        <v>29</v>
      </c>
    </row>
    <row r="391" spans="1:10" ht="15" customHeight="1">
      <c r="A391" s="43"/>
      <c r="B391" s="57"/>
      <c r="C391" s="44"/>
      <c r="D391" s="46"/>
      <c r="E391" s="16">
        <f>6143+36276</f>
        <v>42419</v>
      </c>
      <c r="F391" s="16">
        <f>1324+4861+130</f>
        <v>6315</v>
      </c>
      <c r="G391" s="14">
        <f t="shared" si="31"/>
        <v>-36104</v>
      </c>
      <c r="H391" s="41"/>
      <c r="I391" s="17"/>
      <c r="J391" s="2" t="s">
        <v>30</v>
      </c>
    </row>
    <row r="392" spans="1:10" ht="15" customHeight="1">
      <c r="A392" s="42">
        <v>175</v>
      </c>
      <c r="B392" s="56" t="s">
        <v>206</v>
      </c>
      <c r="C392" s="84" t="s">
        <v>179</v>
      </c>
      <c r="D392" s="45" t="s">
        <v>200</v>
      </c>
      <c r="E392" s="15">
        <f>59000</f>
        <v>59000</v>
      </c>
      <c r="F392" s="15">
        <v>59000</v>
      </c>
      <c r="G392" s="12">
        <f t="shared" si="31"/>
        <v>0</v>
      </c>
      <c r="H392" s="40"/>
      <c r="I392" s="27"/>
      <c r="J392" s="2" t="s">
        <v>29</v>
      </c>
    </row>
    <row r="393" spans="1:10" ht="15" customHeight="1">
      <c r="A393" s="43"/>
      <c r="B393" s="57"/>
      <c r="C393" s="84"/>
      <c r="D393" s="46"/>
      <c r="E393" s="16">
        <v>59000</v>
      </c>
      <c r="F393" s="16">
        <v>59000</v>
      </c>
      <c r="G393" s="14">
        <f t="shared" si="31"/>
        <v>0</v>
      </c>
      <c r="H393" s="41"/>
      <c r="I393" s="17"/>
      <c r="J393" s="2" t="s">
        <v>30</v>
      </c>
    </row>
    <row r="394" spans="1:10" ht="15" customHeight="1">
      <c r="A394" s="42">
        <v>176</v>
      </c>
      <c r="B394" s="56" t="s">
        <v>206</v>
      </c>
      <c r="C394" s="44" t="s">
        <v>180</v>
      </c>
      <c r="D394" s="45" t="s">
        <v>105</v>
      </c>
      <c r="E394" s="12">
        <v>19782</v>
      </c>
      <c r="F394" s="12">
        <v>7170</v>
      </c>
      <c r="G394" s="12">
        <f t="shared" si="31"/>
        <v>-12612</v>
      </c>
      <c r="H394" s="40"/>
      <c r="I394" s="27"/>
      <c r="J394" s="2" t="s">
        <v>29</v>
      </c>
    </row>
    <row r="395" spans="1:10" ht="15" customHeight="1">
      <c r="A395" s="43"/>
      <c r="B395" s="57"/>
      <c r="C395" s="44"/>
      <c r="D395" s="46"/>
      <c r="E395" s="16">
        <v>19782</v>
      </c>
      <c r="F395" s="16">
        <v>7170</v>
      </c>
      <c r="G395" s="14">
        <f t="shared" si="31"/>
        <v>-12612</v>
      </c>
      <c r="H395" s="41"/>
      <c r="I395" s="17"/>
      <c r="J395" s="2" t="s">
        <v>30</v>
      </c>
    </row>
    <row r="396" spans="1:10" ht="22.5" customHeight="1">
      <c r="A396" s="42">
        <v>177</v>
      </c>
      <c r="B396" s="56" t="s">
        <v>206</v>
      </c>
      <c r="C396" s="44" t="s">
        <v>247</v>
      </c>
      <c r="D396" s="45" t="s">
        <v>44</v>
      </c>
      <c r="E396" s="12">
        <v>59028</v>
      </c>
      <c r="F396" s="12">
        <v>59028</v>
      </c>
      <c r="G396" s="12">
        <f t="shared" si="31"/>
        <v>0</v>
      </c>
      <c r="H396" s="40"/>
      <c r="I396" s="27"/>
      <c r="J396" s="2" t="s">
        <v>29</v>
      </c>
    </row>
    <row r="397" spans="1:10" ht="22.5" customHeight="1">
      <c r="A397" s="43"/>
      <c r="B397" s="57"/>
      <c r="C397" s="44"/>
      <c r="D397" s="46"/>
      <c r="E397" s="13">
        <v>59028</v>
      </c>
      <c r="F397" s="13">
        <v>59028</v>
      </c>
      <c r="G397" s="14">
        <f t="shared" si="31"/>
        <v>0</v>
      </c>
      <c r="H397" s="41"/>
      <c r="I397" s="17"/>
      <c r="J397" s="2" t="s">
        <v>30</v>
      </c>
    </row>
    <row r="398" spans="1:10" ht="22.5" customHeight="1">
      <c r="A398" s="42">
        <v>178</v>
      </c>
      <c r="B398" s="56" t="s">
        <v>206</v>
      </c>
      <c r="C398" s="44" t="s">
        <v>248</v>
      </c>
      <c r="D398" s="45" t="s">
        <v>44</v>
      </c>
      <c r="E398" s="15">
        <v>31812</v>
      </c>
      <c r="F398" s="15">
        <v>69300</v>
      </c>
      <c r="G398" s="12">
        <f t="shared" si="31"/>
        <v>37488</v>
      </c>
      <c r="H398" s="40"/>
      <c r="I398" s="27"/>
      <c r="J398" s="2" t="s">
        <v>29</v>
      </c>
    </row>
    <row r="399" spans="1:10" ht="22.5" customHeight="1">
      <c r="A399" s="43"/>
      <c r="B399" s="57"/>
      <c r="C399" s="44"/>
      <c r="D399" s="46"/>
      <c r="E399" s="16">
        <v>31812</v>
      </c>
      <c r="F399" s="16">
        <v>69300</v>
      </c>
      <c r="G399" s="14">
        <f t="shared" si="31"/>
        <v>37488</v>
      </c>
      <c r="H399" s="41"/>
      <c r="I399" s="17"/>
      <c r="J399" s="2" t="s">
        <v>30</v>
      </c>
    </row>
    <row r="400" spans="1:10" ht="15" customHeight="1">
      <c r="A400" s="42">
        <v>179</v>
      </c>
      <c r="B400" s="56" t="s">
        <v>206</v>
      </c>
      <c r="C400" s="44" t="s">
        <v>181</v>
      </c>
      <c r="D400" s="45" t="s">
        <v>54</v>
      </c>
      <c r="E400" s="15">
        <v>609169</v>
      </c>
      <c r="F400" s="15">
        <v>1008691</v>
      </c>
      <c r="G400" s="12">
        <f>+F400-E400</f>
        <v>399522</v>
      </c>
      <c r="H400" s="40"/>
      <c r="I400" s="27"/>
      <c r="J400" s="2" t="s">
        <v>29</v>
      </c>
    </row>
    <row r="401" spans="1:10" ht="15" customHeight="1">
      <c r="A401" s="43"/>
      <c r="B401" s="57"/>
      <c r="C401" s="44"/>
      <c r="D401" s="46"/>
      <c r="E401" s="16">
        <v>160169</v>
      </c>
      <c r="F401" s="16">
        <v>363691</v>
      </c>
      <c r="G401" s="14">
        <f>+F401-E401</f>
        <v>203522</v>
      </c>
      <c r="H401" s="41"/>
      <c r="I401" s="17"/>
      <c r="J401" s="2" t="s">
        <v>30</v>
      </c>
    </row>
    <row r="402" spans="1:10" ht="15" customHeight="1">
      <c r="A402" s="42">
        <v>180</v>
      </c>
      <c r="B402" s="56" t="s">
        <v>206</v>
      </c>
      <c r="C402" s="44" t="s">
        <v>182</v>
      </c>
      <c r="D402" s="45" t="s">
        <v>105</v>
      </c>
      <c r="E402" s="15">
        <v>193185</v>
      </c>
      <c r="F402" s="15">
        <v>119956</v>
      </c>
      <c r="G402" s="12">
        <f t="shared" si="31"/>
        <v>-73229</v>
      </c>
      <c r="H402" s="40"/>
      <c r="I402" s="27"/>
      <c r="J402" s="2" t="s">
        <v>29</v>
      </c>
    </row>
    <row r="403" spans="1:10" ht="15" customHeight="1">
      <c r="A403" s="43"/>
      <c r="B403" s="57"/>
      <c r="C403" s="44"/>
      <c r="D403" s="46"/>
      <c r="E403" s="16">
        <v>192348</v>
      </c>
      <c r="F403" s="16">
        <v>119056</v>
      </c>
      <c r="G403" s="14">
        <f t="shared" si="31"/>
        <v>-73292</v>
      </c>
      <c r="H403" s="41"/>
      <c r="I403" s="17"/>
      <c r="J403" s="2" t="s">
        <v>30</v>
      </c>
    </row>
    <row r="404" spans="1:10" ht="15" customHeight="1">
      <c r="A404" s="42">
        <v>181</v>
      </c>
      <c r="B404" s="56" t="s">
        <v>206</v>
      </c>
      <c r="C404" s="44" t="s">
        <v>193</v>
      </c>
      <c r="D404" s="45" t="s">
        <v>53</v>
      </c>
      <c r="E404" s="15">
        <v>25155</v>
      </c>
      <c r="F404" s="15">
        <v>41827</v>
      </c>
      <c r="G404" s="12">
        <f t="shared" ref="G404:G405" si="32">+F404-E404</f>
        <v>16672</v>
      </c>
      <c r="H404" s="40"/>
      <c r="I404" s="27"/>
      <c r="J404" s="2" t="s">
        <v>29</v>
      </c>
    </row>
    <row r="405" spans="1:10" ht="15" customHeight="1">
      <c r="A405" s="43"/>
      <c r="B405" s="57"/>
      <c r="C405" s="44"/>
      <c r="D405" s="46"/>
      <c r="E405" s="16">
        <v>7155</v>
      </c>
      <c r="F405" s="16">
        <v>41827</v>
      </c>
      <c r="G405" s="14">
        <f t="shared" si="32"/>
        <v>34672</v>
      </c>
      <c r="H405" s="41"/>
      <c r="I405" s="17"/>
      <c r="J405" s="2" t="s">
        <v>30</v>
      </c>
    </row>
    <row r="406" spans="1:10" ht="26.25" customHeight="1">
      <c r="A406" s="42">
        <v>182</v>
      </c>
      <c r="B406" s="56" t="s">
        <v>206</v>
      </c>
      <c r="C406" s="44" t="s">
        <v>198</v>
      </c>
      <c r="D406" s="45" t="s">
        <v>260</v>
      </c>
      <c r="E406" s="15">
        <v>81998</v>
      </c>
      <c r="F406" s="15">
        <v>193078</v>
      </c>
      <c r="G406" s="12">
        <f t="shared" ref="G406:G407" si="33">+F406-E406</f>
        <v>111080</v>
      </c>
      <c r="H406" s="40"/>
      <c r="I406" s="27"/>
      <c r="J406" s="2" t="s">
        <v>29</v>
      </c>
    </row>
    <row r="407" spans="1:10" ht="26.25" customHeight="1">
      <c r="A407" s="43"/>
      <c r="B407" s="57"/>
      <c r="C407" s="44"/>
      <c r="D407" s="46"/>
      <c r="E407" s="16">
        <v>0</v>
      </c>
      <c r="F407" s="16">
        <v>0</v>
      </c>
      <c r="G407" s="14">
        <f t="shared" si="33"/>
        <v>0</v>
      </c>
      <c r="H407" s="41"/>
      <c r="I407" s="17"/>
      <c r="J407" s="2" t="s">
        <v>30</v>
      </c>
    </row>
    <row r="408" spans="1:10" ht="15" customHeight="1">
      <c r="A408" s="42">
        <v>183</v>
      </c>
      <c r="B408" s="56" t="s">
        <v>206</v>
      </c>
      <c r="C408" s="44" t="s">
        <v>207</v>
      </c>
      <c r="D408" s="45" t="s">
        <v>105</v>
      </c>
      <c r="E408" s="15">
        <v>0</v>
      </c>
      <c r="F408" s="15">
        <v>4342</v>
      </c>
      <c r="G408" s="12">
        <f t="shared" ref="G408:G409" si="34">+F408-E408</f>
        <v>4342</v>
      </c>
      <c r="H408" s="40"/>
      <c r="I408" s="27"/>
      <c r="J408" s="2" t="s">
        <v>29</v>
      </c>
    </row>
    <row r="409" spans="1:10" ht="15" customHeight="1">
      <c r="A409" s="43"/>
      <c r="B409" s="57"/>
      <c r="C409" s="44"/>
      <c r="D409" s="46"/>
      <c r="E409" s="16">
        <v>0</v>
      </c>
      <c r="F409" s="16">
        <v>0</v>
      </c>
      <c r="G409" s="14">
        <f t="shared" si="34"/>
        <v>0</v>
      </c>
      <c r="H409" s="41"/>
      <c r="I409" s="17"/>
      <c r="J409" s="2" t="s">
        <v>30</v>
      </c>
    </row>
    <row r="410" spans="1:10" ht="15" customHeight="1">
      <c r="A410" s="42">
        <v>184</v>
      </c>
      <c r="B410" s="56" t="s">
        <v>206</v>
      </c>
      <c r="C410" s="58" t="s">
        <v>225</v>
      </c>
      <c r="D410" s="45" t="s">
        <v>224</v>
      </c>
      <c r="E410" s="15">
        <v>0</v>
      </c>
      <c r="F410" s="15">
        <v>460161</v>
      </c>
      <c r="G410" s="12">
        <f t="shared" ref="G410:G417" si="35">+F410-E410</f>
        <v>460161</v>
      </c>
      <c r="H410" s="40"/>
      <c r="I410" s="27"/>
      <c r="J410" s="2" t="s">
        <v>29</v>
      </c>
    </row>
    <row r="411" spans="1:10" ht="15" customHeight="1">
      <c r="A411" s="43"/>
      <c r="B411" s="57"/>
      <c r="C411" s="59"/>
      <c r="D411" s="46"/>
      <c r="E411" s="16">
        <v>0</v>
      </c>
      <c r="F411" s="16">
        <v>460161</v>
      </c>
      <c r="G411" s="14">
        <f t="shared" si="35"/>
        <v>460161</v>
      </c>
      <c r="H411" s="41"/>
      <c r="I411" s="17"/>
      <c r="J411" s="2" t="s">
        <v>30</v>
      </c>
    </row>
    <row r="412" spans="1:10" ht="15" customHeight="1">
      <c r="A412" s="42">
        <v>185</v>
      </c>
      <c r="B412" s="56" t="s">
        <v>206</v>
      </c>
      <c r="C412" s="47" t="s">
        <v>159</v>
      </c>
      <c r="D412" s="45" t="s">
        <v>105</v>
      </c>
      <c r="E412" s="12">
        <v>13260</v>
      </c>
      <c r="F412" s="12">
        <v>0</v>
      </c>
      <c r="G412" s="12">
        <f>+F412-E412</f>
        <v>-13260</v>
      </c>
      <c r="H412" s="40"/>
      <c r="I412" s="27"/>
      <c r="J412" s="2" t="s">
        <v>29</v>
      </c>
    </row>
    <row r="413" spans="1:10" ht="15" customHeight="1">
      <c r="A413" s="43"/>
      <c r="B413" s="57"/>
      <c r="C413" s="47"/>
      <c r="D413" s="46"/>
      <c r="E413" s="13">
        <v>1630</v>
      </c>
      <c r="F413" s="13">
        <v>0</v>
      </c>
      <c r="G413" s="14">
        <f>+F413-E413</f>
        <v>-1630</v>
      </c>
      <c r="H413" s="41"/>
      <c r="I413" s="17"/>
      <c r="J413" s="2" t="s">
        <v>30</v>
      </c>
    </row>
    <row r="414" spans="1:10" ht="15" customHeight="1">
      <c r="A414" s="42">
        <v>186</v>
      </c>
      <c r="B414" s="56" t="s">
        <v>206</v>
      </c>
      <c r="C414" s="47" t="s">
        <v>165</v>
      </c>
      <c r="D414" s="45" t="s">
        <v>249</v>
      </c>
      <c r="E414" s="15">
        <v>4651870</v>
      </c>
      <c r="F414" s="15">
        <v>0</v>
      </c>
      <c r="G414" s="12">
        <f t="shared" si="35"/>
        <v>-4651870</v>
      </c>
      <c r="H414" s="26"/>
      <c r="I414" s="27"/>
      <c r="J414" s="2" t="s">
        <v>29</v>
      </c>
    </row>
    <row r="415" spans="1:10" ht="15" customHeight="1">
      <c r="A415" s="43"/>
      <c r="B415" s="57"/>
      <c r="C415" s="47"/>
      <c r="D415" s="46"/>
      <c r="E415" s="16">
        <v>2048181</v>
      </c>
      <c r="F415" s="16">
        <v>0</v>
      </c>
      <c r="G415" s="14">
        <f t="shared" si="35"/>
        <v>-2048181</v>
      </c>
      <c r="H415" s="26"/>
      <c r="I415" s="17"/>
      <c r="J415" s="2" t="s">
        <v>30</v>
      </c>
    </row>
    <row r="416" spans="1:10" ht="15" customHeight="1">
      <c r="A416" s="42">
        <v>187</v>
      </c>
      <c r="B416" s="56" t="s">
        <v>206</v>
      </c>
      <c r="C416" s="47" t="s">
        <v>73</v>
      </c>
      <c r="D416" s="45" t="s">
        <v>105</v>
      </c>
      <c r="E416" s="15">
        <v>307787</v>
      </c>
      <c r="F416" s="15">
        <v>0</v>
      </c>
      <c r="G416" s="12">
        <f t="shared" si="35"/>
        <v>-307787</v>
      </c>
      <c r="H416" s="40"/>
      <c r="I416" s="27"/>
      <c r="J416" s="2" t="s">
        <v>29</v>
      </c>
    </row>
    <row r="417" spans="1:11" ht="15" customHeight="1">
      <c r="A417" s="43"/>
      <c r="B417" s="57"/>
      <c r="C417" s="47"/>
      <c r="D417" s="46"/>
      <c r="E417" s="16">
        <v>60787</v>
      </c>
      <c r="F417" s="16">
        <v>0</v>
      </c>
      <c r="G417" s="14">
        <f t="shared" si="35"/>
        <v>-60787</v>
      </c>
      <c r="H417" s="41"/>
      <c r="I417" s="17"/>
      <c r="J417" s="2" t="s">
        <v>30</v>
      </c>
    </row>
    <row r="418" spans="1:11" ht="15" customHeight="1">
      <c r="A418" s="42">
        <v>188</v>
      </c>
      <c r="B418" s="56" t="s">
        <v>206</v>
      </c>
      <c r="C418" s="47" t="s">
        <v>178</v>
      </c>
      <c r="D418" s="45" t="s">
        <v>105</v>
      </c>
      <c r="E418" s="15">
        <v>8204</v>
      </c>
      <c r="F418" s="15">
        <v>0</v>
      </c>
      <c r="G418" s="12">
        <f>+F418-E418</f>
        <v>-8204</v>
      </c>
      <c r="H418" s="40"/>
      <c r="I418" s="27"/>
      <c r="J418" s="2" t="s">
        <v>29</v>
      </c>
    </row>
    <row r="419" spans="1:11" ht="15" customHeight="1">
      <c r="A419" s="43"/>
      <c r="B419" s="57"/>
      <c r="C419" s="47"/>
      <c r="D419" s="46"/>
      <c r="E419" s="16">
        <v>3204</v>
      </c>
      <c r="F419" s="16">
        <v>0</v>
      </c>
      <c r="G419" s="14">
        <f>+F419-E419</f>
        <v>-3204</v>
      </c>
      <c r="H419" s="41"/>
      <c r="I419" s="17"/>
      <c r="J419" s="2" t="s">
        <v>30</v>
      </c>
    </row>
    <row r="420" spans="1:11" ht="15" customHeight="1">
      <c r="A420" s="49" t="s">
        <v>183</v>
      </c>
      <c r="B420" s="50"/>
      <c r="C420" s="50"/>
      <c r="D420" s="51"/>
      <c r="E420" s="15">
        <f>E412+E352+E354+E356+E358+E360+E362+E408+E414+E364+E366+E368+E370+E372+E374+E378+E380+E382+E384+E386+E388+E392+E394+E416+E410+E398+E402+E400+E390+E396+E376+E418+E406+E404</f>
        <v>31306806</v>
      </c>
      <c r="F420" s="15">
        <f>F412+F352+F354+F356+F358+F360+F362+F408+F414+F364+F366+F368+F370+F372+F374+F378+F380+F382+F384+F386+F388+F392+F394+F416+F410+F398+F402+F400+F390+F396+F376+F418+F406+F404</f>
        <v>33305716</v>
      </c>
      <c r="G420" s="15">
        <f>G412+G352+G354+G356+G358+G360+G362+G414+G364+G366+G368+G370+G372+G374+G378+G380+G382+G384+G386+G388+G392+G394+G416+G410+G398+G402+G400+G390+G396+G376+G418+G406+G404+G408</f>
        <v>1998910</v>
      </c>
      <c r="H420" s="40"/>
      <c r="I420" s="27"/>
    </row>
    <row r="421" spans="1:11" ht="15" customHeight="1">
      <c r="A421" s="52"/>
      <c r="B421" s="53"/>
      <c r="C421" s="54"/>
      <c r="D421" s="55"/>
      <c r="E421" s="16">
        <f>E413+E353+E355+E357+E359+E361+E363+E409+E415+E365+E367+E369+E371+E373+E375+E379+E381+E383+E385+E387+E389+E393+E395+E417+E411+E399+E403+E401+E391+E397+E377+E419+E407+E405</f>
        <v>18576352</v>
      </c>
      <c r="F421" s="16">
        <f>F413+F353+F355+F357+F359+F361+F363+F409+F415+F365+F367+F369+F371+F373+F375+F379+F381+F383+F385+F387+F389+F393+F395+F417+F411+F399+F403+F401+F391+F397+F377+F419+F407+F405</f>
        <v>21028449</v>
      </c>
      <c r="G421" s="14">
        <f>G413+G353+G355+G357+G359+G361+G363+G415+G365+G367+G369+G371+G373+G375+G379+G381+G383+G385+G387+G389+G393+G395+G417+G411+G399+G403+G401+G391+G397+G377+G419+G407+G405+G409</f>
        <v>2452097</v>
      </c>
      <c r="H421" s="41"/>
      <c r="I421" s="17"/>
    </row>
    <row r="422" spans="1:11" ht="15" customHeight="1">
      <c r="A422" s="74" t="s">
        <v>5</v>
      </c>
      <c r="B422" s="75"/>
      <c r="C422" s="75"/>
      <c r="D422" s="76"/>
      <c r="E422" s="15">
        <f>+SUMIF($J12:$J421,$J422,E12:E421)</f>
        <v>209918234</v>
      </c>
      <c r="F422" s="15">
        <f>+SUMIF($J12:$J421,$J422,F12:F421)</f>
        <v>215294133</v>
      </c>
      <c r="G422" s="28">
        <f>+F422-E422</f>
        <v>5375899</v>
      </c>
      <c r="H422" s="40" t="str">
        <f>IF(I422="　","　","区ＣＭ")</f>
        <v>区ＣＭ</v>
      </c>
      <c r="I422" s="31">
        <f>SUMIF(K2:K421,K422,I2:I421)</f>
        <v>9439</v>
      </c>
      <c r="J422" s="2" t="s">
        <v>15</v>
      </c>
      <c r="K422" s="2" t="s">
        <v>34</v>
      </c>
    </row>
    <row r="423" spans="1:11" ht="15" customHeight="1" thickBot="1">
      <c r="A423" s="77"/>
      <c r="B423" s="78"/>
      <c r="C423" s="78"/>
      <c r="D423" s="79"/>
      <c r="E423" s="18">
        <f>+SUMIF($J13:$J422,$J423,E13:E422)</f>
        <v>163874672</v>
      </c>
      <c r="F423" s="18">
        <f>+SUMIF($J13:$J422,$J423,F13:F422)</f>
        <v>169729518</v>
      </c>
      <c r="G423" s="19">
        <f t="shared" ref="G423" si="36">+F423-E423</f>
        <v>5854846</v>
      </c>
      <c r="H423" s="80"/>
      <c r="I423" s="20">
        <f>SUMIF(K2:K421,K423,I2:I421)</f>
        <v>9439</v>
      </c>
      <c r="J423" s="2" t="s">
        <v>16</v>
      </c>
      <c r="K423" s="2" t="s">
        <v>35</v>
      </c>
    </row>
    <row r="424" spans="1:11" ht="12.75">
      <c r="A424" s="22"/>
      <c r="B424" s="22"/>
      <c r="C424" s="22"/>
      <c r="D424" s="22"/>
    </row>
    <row r="425" spans="1:11" ht="18" customHeight="1">
      <c r="A425" s="22"/>
      <c r="B425" s="22"/>
      <c r="C425" s="22"/>
      <c r="D425" s="22"/>
      <c r="F425" s="6"/>
      <c r="G425" s="6"/>
    </row>
    <row r="426" spans="1:11" ht="18" customHeight="1">
      <c r="F426" s="6"/>
      <c r="G426" s="6"/>
      <c r="H426" s="21"/>
    </row>
    <row r="427" spans="1:11" ht="18" customHeight="1">
      <c r="A427" s="21"/>
      <c r="D427" s="22"/>
      <c r="F427" s="6"/>
      <c r="G427" s="6"/>
      <c r="H427" s="21"/>
    </row>
    <row r="428" spans="1:11" ht="18" customHeight="1">
      <c r="F428" s="6"/>
      <c r="G428" s="6"/>
      <c r="H428" s="21"/>
    </row>
    <row r="429" spans="1:11" ht="18" customHeight="1">
      <c r="F429" s="6"/>
      <c r="G429" s="6"/>
      <c r="H429" s="21"/>
    </row>
  </sheetData>
  <mergeCells count="972">
    <mergeCell ref="A374:A375"/>
    <mergeCell ref="B374:B375"/>
    <mergeCell ref="C374:C375"/>
    <mergeCell ref="D374:D375"/>
    <mergeCell ref="H374:H375"/>
    <mergeCell ref="A376:A377"/>
    <mergeCell ref="B376:B377"/>
    <mergeCell ref="C376:C377"/>
    <mergeCell ref="D376:D377"/>
    <mergeCell ref="H376:H377"/>
    <mergeCell ref="A378:A379"/>
    <mergeCell ref="B378:B379"/>
    <mergeCell ref="C378:C379"/>
    <mergeCell ref="D382:D383"/>
    <mergeCell ref="C384:C385"/>
    <mergeCell ref="D384:D385"/>
    <mergeCell ref="H384:H385"/>
    <mergeCell ref="A384:A385"/>
    <mergeCell ref="B384:B385"/>
    <mergeCell ref="A382:A383"/>
    <mergeCell ref="B382:B383"/>
    <mergeCell ref="C382:C383"/>
    <mergeCell ref="H382:H383"/>
    <mergeCell ref="D378:D379"/>
    <mergeCell ref="C386:C387"/>
    <mergeCell ref="D386:D387"/>
    <mergeCell ref="H386:H387"/>
    <mergeCell ref="D392:D393"/>
    <mergeCell ref="H392:H393"/>
    <mergeCell ref="H390:H391"/>
    <mergeCell ref="A388:A389"/>
    <mergeCell ref="B388:B389"/>
    <mergeCell ref="C388:C389"/>
    <mergeCell ref="A390:A391"/>
    <mergeCell ref="B390:B391"/>
    <mergeCell ref="C390:C391"/>
    <mergeCell ref="D390:D391"/>
    <mergeCell ref="D388:D389"/>
    <mergeCell ref="H388:H389"/>
    <mergeCell ref="A386:A387"/>
    <mergeCell ref="B386:B387"/>
    <mergeCell ref="A400:A401"/>
    <mergeCell ref="D404:D405"/>
    <mergeCell ref="H404:H405"/>
    <mergeCell ref="B400:B401"/>
    <mergeCell ref="C394:C395"/>
    <mergeCell ref="D394:D395"/>
    <mergeCell ref="H394:H395"/>
    <mergeCell ref="A392:A393"/>
    <mergeCell ref="B392:B393"/>
    <mergeCell ref="C392:C393"/>
    <mergeCell ref="A394:A395"/>
    <mergeCell ref="B394:B395"/>
    <mergeCell ref="A402:A403"/>
    <mergeCell ref="B402:B403"/>
    <mergeCell ref="C402:C403"/>
    <mergeCell ref="D402:D403"/>
    <mergeCell ref="H402:H403"/>
    <mergeCell ref="B360:B361"/>
    <mergeCell ref="C360:C361"/>
    <mergeCell ref="D360:D361"/>
    <mergeCell ref="A372:A373"/>
    <mergeCell ref="H358:H359"/>
    <mergeCell ref="C362:C363"/>
    <mergeCell ref="D362:D363"/>
    <mergeCell ref="H362:H363"/>
    <mergeCell ref="D364:D365"/>
    <mergeCell ref="H364:H365"/>
    <mergeCell ref="A366:A367"/>
    <mergeCell ref="B366:B367"/>
    <mergeCell ref="C366:C367"/>
    <mergeCell ref="D366:D367"/>
    <mergeCell ref="H372:H373"/>
    <mergeCell ref="A368:A369"/>
    <mergeCell ref="B368:B369"/>
    <mergeCell ref="C368:C369"/>
    <mergeCell ref="D368:D369"/>
    <mergeCell ref="H368:H369"/>
    <mergeCell ref="C408:C409"/>
    <mergeCell ref="D408:D409"/>
    <mergeCell ref="H408:H409"/>
    <mergeCell ref="C370:C371"/>
    <mergeCell ref="D370:D371"/>
    <mergeCell ref="H370:H371"/>
    <mergeCell ref="H360:H361"/>
    <mergeCell ref="A362:A363"/>
    <mergeCell ref="B362:B363"/>
    <mergeCell ref="C406:C407"/>
    <mergeCell ref="C400:C401"/>
    <mergeCell ref="D400:D401"/>
    <mergeCell ref="H400:H401"/>
    <mergeCell ref="A404:A405"/>
    <mergeCell ref="B404:B405"/>
    <mergeCell ref="C404:C405"/>
    <mergeCell ref="B396:B397"/>
    <mergeCell ref="C396:C397"/>
    <mergeCell ref="D396:D397"/>
    <mergeCell ref="H396:H397"/>
    <mergeCell ref="A396:A397"/>
    <mergeCell ref="C364:C365"/>
    <mergeCell ref="H366:H367"/>
    <mergeCell ref="A360:A361"/>
    <mergeCell ref="A348:A349"/>
    <mergeCell ref="B348:B349"/>
    <mergeCell ref="C348:C349"/>
    <mergeCell ref="D348:D349"/>
    <mergeCell ref="H348:H349"/>
    <mergeCell ref="A370:A371"/>
    <mergeCell ref="B370:B371"/>
    <mergeCell ref="H378:H379"/>
    <mergeCell ref="A380:A381"/>
    <mergeCell ref="B380:B381"/>
    <mergeCell ref="C380:C381"/>
    <mergeCell ref="D380:D381"/>
    <mergeCell ref="H380:H381"/>
    <mergeCell ref="A364:A365"/>
    <mergeCell ref="B364:B365"/>
    <mergeCell ref="A350:D351"/>
    <mergeCell ref="H350:H351"/>
    <mergeCell ref="B358:B359"/>
    <mergeCell ref="C358:C359"/>
    <mergeCell ref="D358:D359"/>
    <mergeCell ref="A358:A359"/>
    <mergeCell ref="B372:B373"/>
    <mergeCell ref="C372:C373"/>
    <mergeCell ref="D372:D373"/>
    <mergeCell ref="D412:D413"/>
    <mergeCell ref="H412:H413"/>
    <mergeCell ref="A352:A353"/>
    <mergeCell ref="B352:B353"/>
    <mergeCell ref="C352:C353"/>
    <mergeCell ref="D352:D353"/>
    <mergeCell ref="H352:H353"/>
    <mergeCell ref="A354:A355"/>
    <mergeCell ref="B354:B355"/>
    <mergeCell ref="A398:A399"/>
    <mergeCell ref="B398:B399"/>
    <mergeCell ref="C398:C399"/>
    <mergeCell ref="D398:D399"/>
    <mergeCell ref="H398:H399"/>
    <mergeCell ref="C354:C355"/>
    <mergeCell ref="D354:D355"/>
    <mergeCell ref="H354:H355"/>
    <mergeCell ref="A356:A357"/>
    <mergeCell ref="B356:B357"/>
    <mergeCell ref="C356:C357"/>
    <mergeCell ref="D356:D357"/>
    <mergeCell ref="H356:H357"/>
    <mergeCell ref="A408:A409"/>
    <mergeCell ref="B408:B409"/>
    <mergeCell ref="A340:A341"/>
    <mergeCell ref="B340:B341"/>
    <mergeCell ref="C340:C341"/>
    <mergeCell ref="D340:D341"/>
    <mergeCell ref="H340:H341"/>
    <mergeCell ref="A334:A335"/>
    <mergeCell ref="B334:B335"/>
    <mergeCell ref="C334:C335"/>
    <mergeCell ref="D334:D335"/>
    <mergeCell ref="H334:H335"/>
    <mergeCell ref="A336:A337"/>
    <mergeCell ref="B336:B337"/>
    <mergeCell ref="C336:C337"/>
    <mergeCell ref="D336:D337"/>
    <mergeCell ref="H336:H337"/>
    <mergeCell ref="A338:A339"/>
    <mergeCell ref="B338:B339"/>
    <mergeCell ref="C338:C339"/>
    <mergeCell ref="D338:D339"/>
    <mergeCell ref="H338:H339"/>
    <mergeCell ref="A346:A347"/>
    <mergeCell ref="B346:B347"/>
    <mergeCell ref="C346:C347"/>
    <mergeCell ref="D346:D347"/>
    <mergeCell ref="H346:H347"/>
    <mergeCell ref="A342:A343"/>
    <mergeCell ref="B342:B343"/>
    <mergeCell ref="C342:C343"/>
    <mergeCell ref="D342:D343"/>
    <mergeCell ref="H342:H343"/>
    <mergeCell ref="A344:A345"/>
    <mergeCell ref="B344:B345"/>
    <mergeCell ref="C344:C345"/>
    <mergeCell ref="D344:D345"/>
    <mergeCell ref="H344:H345"/>
    <mergeCell ref="A332:A333"/>
    <mergeCell ref="B332:B333"/>
    <mergeCell ref="C332:C333"/>
    <mergeCell ref="D332:D333"/>
    <mergeCell ref="H332:H333"/>
    <mergeCell ref="A324:A325"/>
    <mergeCell ref="B324:B325"/>
    <mergeCell ref="C324:C325"/>
    <mergeCell ref="D324:D325"/>
    <mergeCell ref="H324:H325"/>
    <mergeCell ref="A328:A329"/>
    <mergeCell ref="B328:B329"/>
    <mergeCell ref="C328:C329"/>
    <mergeCell ref="D328:D329"/>
    <mergeCell ref="A326:D327"/>
    <mergeCell ref="H326:H327"/>
    <mergeCell ref="A330:A331"/>
    <mergeCell ref="B330:B331"/>
    <mergeCell ref="C330:C331"/>
    <mergeCell ref="D330:D331"/>
    <mergeCell ref="H330:H331"/>
    <mergeCell ref="A322:A323"/>
    <mergeCell ref="B322:B323"/>
    <mergeCell ref="C322:C323"/>
    <mergeCell ref="D322:D323"/>
    <mergeCell ref="H322:H323"/>
    <mergeCell ref="A316:A317"/>
    <mergeCell ref="B316:B317"/>
    <mergeCell ref="C316:C317"/>
    <mergeCell ref="D316:D317"/>
    <mergeCell ref="H316:H317"/>
    <mergeCell ref="A318:A319"/>
    <mergeCell ref="B318:B319"/>
    <mergeCell ref="C318:C319"/>
    <mergeCell ref="D318:D319"/>
    <mergeCell ref="H318:H319"/>
    <mergeCell ref="A308:A309"/>
    <mergeCell ref="B308:B309"/>
    <mergeCell ref="C308:C309"/>
    <mergeCell ref="D308:D309"/>
    <mergeCell ref="H308:H309"/>
    <mergeCell ref="A312:D313"/>
    <mergeCell ref="H312:H313"/>
    <mergeCell ref="A320:A321"/>
    <mergeCell ref="B320:B321"/>
    <mergeCell ref="C320:C321"/>
    <mergeCell ref="D320:D321"/>
    <mergeCell ref="H320:H321"/>
    <mergeCell ref="A310:A311"/>
    <mergeCell ref="B310:B311"/>
    <mergeCell ref="C310:C311"/>
    <mergeCell ref="D310:D311"/>
    <mergeCell ref="H310:H311"/>
    <mergeCell ref="A314:A315"/>
    <mergeCell ref="B314:B315"/>
    <mergeCell ref="C314:C315"/>
    <mergeCell ref="D314:D315"/>
    <mergeCell ref="H314:H315"/>
    <mergeCell ref="A300:A301"/>
    <mergeCell ref="B300:B301"/>
    <mergeCell ref="C300:C301"/>
    <mergeCell ref="D300:D301"/>
    <mergeCell ref="H300:H301"/>
    <mergeCell ref="A302:A303"/>
    <mergeCell ref="A306:D307"/>
    <mergeCell ref="H306:H307"/>
    <mergeCell ref="B302:B303"/>
    <mergeCell ref="C302:C303"/>
    <mergeCell ref="D302:D303"/>
    <mergeCell ref="H302:H303"/>
    <mergeCell ref="A304:A305"/>
    <mergeCell ref="B304:B305"/>
    <mergeCell ref="C304:C305"/>
    <mergeCell ref="D304:D305"/>
    <mergeCell ref="H304:H305"/>
    <mergeCell ref="A286:A287"/>
    <mergeCell ref="B286:B287"/>
    <mergeCell ref="A288:A289"/>
    <mergeCell ref="B288:B289"/>
    <mergeCell ref="C288:C289"/>
    <mergeCell ref="D288:D289"/>
    <mergeCell ref="H288:H289"/>
    <mergeCell ref="A290:D291"/>
    <mergeCell ref="A298:A299"/>
    <mergeCell ref="B298:B299"/>
    <mergeCell ref="C298:C299"/>
    <mergeCell ref="D298:D299"/>
    <mergeCell ref="H298:H299"/>
    <mergeCell ref="A296:A297"/>
    <mergeCell ref="B296:B297"/>
    <mergeCell ref="C296:C297"/>
    <mergeCell ref="D296:D297"/>
    <mergeCell ref="H296:H297"/>
    <mergeCell ref="A292:A293"/>
    <mergeCell ref="B292:B293"/>
    <mergeCell ref="C292:C293"/>
    <mergeCell ref="D292:D293"/>
    <mergeCell ref="H292:H293"/>
    <mergeCell ref="B294:B295"/>
    <mergeCell ref="C294:C295"/>
    <mergeCell ref="D294:D295"/>
    <mergeCell ref="H294:H295"/>
    <mergeCell ref="A294:A295"/>
    <mergeCell ref="H290:H291"/>
    <mergeCell ref="C286:C287"/>
    <mergeCell ref="H260:H261"/>
    <mergeCell ref="A266:A267"/>
    <mergeCell ref="A264:A265"/>
    <mergeCell ref="B270:B271"/>
    <mergeCell ref="D286:D287"/>
    <mergeCell ref="H286:H287"/>
    <mergeCell ref="A280:A281"/>
    <mergeCell ref="B280:B281"/>
    <mergeCell ref="C280:C281"/>
    <mergeCell ref="D280:D281"/>
    <mergeCell ref="H280:H281"/>
    <mergeCell ref="A282:A283"/>
    <mergeCell ref="B282:B283"/>
    <mergeCell ref="C282:C283"/>
    <mergeCell ref="D282:D283"/>
    <mergeCell ref="H282:H283"/>
    <mergeCell ref="C278:C279"/>
    <mergeCell ref="D278:D279"/>
    <mergeCell ref="A278:A279"/>
    <mergeCell ref="B278:B279"/>
    <mergeCell ref="A284:A285"/>
    <mergeCell ref="B284:B285"/>
    <mergeCell ref="C284:C285"/>
    <mergeCell ref="D284:D285"/>
    <mergeCell ref="H284:H285"/>
    <mergeCell ref="H278:H279"/>
    <mergeCell ref="C270:C271"/>
    <mergeCell ref="D270:D271"/>
    <mergeCell ref="H270:H271"/>
    <mergeCell ref="A272:A273"/>
    <mergeCell ref="B272:B273"/>
    <mergeCell ref="C272:C273"/>
    <mergeCell ref="A274:A275"/>
    <mergeCell ref="A276:A277"/>
    <mergeCell ref="D272:D273"/>
    <mergeCell ref="H268:H269"/>
    <mergeCell ref="C254:C255"/>
    <mergeCell ref="D254:D255"/>
    <mergeCell ref="H254:H255"/>
    <mergeCell ref="H272:H273"/>
    <mergeCell ref="C276:C277"/>
    <mergeCell ref="D276:D277"/>
    <mergeCell ref="H276:H277"/>
    <mergeCell ref="B276:B277"/>
    <mergeCell ref="B274:B275"/>
    <mergeCell ref="C274:C275"/>
    <mergeCell ref="D274:D275"/>
    <mergeCell ref="H274:H275"/>
    <mergeCell ref="C266:C267"/>
    <mergeCell ref="D266:D267"/>
    <mergeCell ref="H266:H267"/>
    <mergeCell ref="B264:B265"/>
    <mergeCell ref="C264:C265"/>
    <mergeCell ref="D264:D265"/>
    <mergeCell ref="H264:H265"/>
    <mergeCell ref="D256:D257"/>
    <mergeCell ref="B258:B259"/>
    <mergeCell ref="C258:C259"/>
    <mergeCell ref="D258:D259"/>
    <mergeCell ref="H258:H259"/>
    <mergeCell ref="B248:B249"/>
    <mergeCell ref="C248:C249"/>
    <mergeCell ref="D248:D249"/>
    <mergeCell ref="H248:H249"/>
    <mergeCell ref="A262:A263"/>
    <mergeCell ref="B262:B263"/>
    <mergeCell ref="C262:C263"/>
    <mergeCell ref="D262:D263"/>
    <mergeCell ref="H262:H263"/>
    <mergeCell ref="A260:A261"/>
    <mergeCell ref="B260:B261"/>
    <mergeCell ref="C260:C261"/>
    <mergeCell ref="D260:D261"/>
    <mergeCell ref="H252:H253"/>
    <mergeCell ref="A254:A255"/>
    <mergeCell ref="B254:B255"/>
    <mergeCell ref="A248:A249"/>
    <mergeCell ref="A268:A269"/>
    <mergeCell ref="B268:B269"/>
    <mergeCell ref="C268:C269"/>
    <mergeCell ref="D268:D269"/>
    <mergeCell ref="C244:C245"/>
    <mergeCell ref="D244:D245"/>
    <mergeCell ref="H244:H245"/>
    <mergeCell ref="A246:A247"/>
    <mergeCell ref="B246:B247"/>
    <mergeCell ref="C246:C247"/>
    <mergeCell ref="D246:D247"/>
    <mergeCell ref="H246:H247"/>
    <mergeCell ref="A250:A251"/>
    <mergeCell ref="B250:B251"/>
    <mergeCell ref="C250:C251"/>
    <mergeCell ref="D250:D251"/>
    <mergeCell ref="H250:H251"/>
    <mergeCell ref="A256:A257"/>
    <mergeCell ref="B256:B257"/>
    <mergeCell ref="C256:C257"/>
    <mergeCell ref="A252:A253"/>
    <mergeCell ref="B252:B253"/>
    <mergeCell ref="C252:C253"/>
    <mergeCell ref="A258:A259"/>
    <mergeCell ref="A226:D227"/>
    <mergeCell ref="D218:D219"/>
    <mergeCell ref="H218:H219"/>
    <mergeCell ref="A220:A221"/>
    <mergeCell ref="D220:D221"/>
    <mergeCell ref="H220:H221"/>
    <mergeCell ref="H226:H227"/>
    <mergeCell ref="A224:A225"/>
    <mergeCell ref="H242:H243"/>
    <mergeCell ref="B236:B237"/>
    <mergeCell ref="C236:C237"/>
    <mergeCell ref="D236:D237"/>
    <mergeCell ref="H236:H237"/>
    <mergeCell ref="A238:A239"/>
    <mergeCell ref="B238:B239"/>
    <mergeCell ref="C238:C239"/>
    <mergeCell ref="D238:D239"/>
    <mergeCell ref="H238:H239"/>
    <mergeCell ref="H240:H241"/>
    <mergeCell ref="B220:B221"/>
    <mergeCell ref="H202:H203"/>
    <mergeCell ref="C204:C205"/>
    <mergeCell ref="B208:B209"/>
    <mergeCell ref="C208:C209"/>
    <mergeCell ref="D208:D209"/>
    <mergeCell ref="A204:A205"/>
    <mergeCell ref="B204:B205"/>
    <mergeCell ref="H208:H209"/>
    <mergeCell ref="A218:A219"/>
    <mergeCell ref="B218:B219"/>
    <mergeCell ref="D204:D205"/>
    <mergeCell ref="H204:H205"/>
    <mergeCell ref="H214:H215"/>
    <mergeCell ref="C218:C219"/>
    <mergeCell ref="B210:B211"/>
    <mergeCell ref="C210:C211"/>
    <mergeCell ref="D210:D211"/>
    <mergeCell ref="H210:H211"/>
    <mergeCell ref="B214:B215"/>
    <mergeCell ref="C214:C215"/>
    <mergeCell ref="D214:D215"/>
    <mergeCell ref="B200:B201"/>
    <mergeCell ref="C200:C201"/>
    <mergeCell ref="D200:D201"/>
    <mergeCell ref="H230:H231"/>
    <mergeCell ref="A234:A235"/>
    <mergeCell ref="B234:B235"/>
    <mergeCell ref="C234:C235"/>
    <mergeCell ref="D234:D235"/>
    <mergeCell ref="H234:H235"/>
    <mergeCell ref="A232:D233"/>
    <mergeCell ref="H232:H233"/>
    <mergeCell ref="D206:D207"/>
    <mergeCell ref="H206:H207"/>
    <mergeCell ref="A208:A209"/>
    <mergeCell ref="A212:A213"/>
    <mergeCell ref="B212:B213"/>
    <mergeCell ref="C212:C213"/>
    <mergeCell ref="D212:D213"/>
    <mergeCell ref="A216:A217"/>
    <mergeCell ref="B216:B217"/>
    <mergeCell ref="C216:C217"/>
    <mergeCell ref="D216:D217"/>
    <mergeCell ref="H216:H217"/>
    <mergeCell ref="A230:A231"/>
    <mergeCell ref="A244:A245"/>
    <mergeCell ref="B244:B245"/>
    <mergeCell ref="B196:B197"/>
    <mergeCell ref="C196:C197"/>
    <mergeCell ref="D196:D197"/>
    <mergeCell ref="C230:C231"/>
    <mergeCell ref="D230:D231"/>
    <mergeCell ref="A202:A203"/>
    <mergeCell ref="B202:B203"/>
    <mergeCell ref="C202:C203"/>
    <mergeCell ref="D202:D203"/>
    <mergeCell ref="A240:A241"/>
    <mergeCell ref="B240:B241"/>
    <mergeCell ref="C240:C241"/>
    <mergeCell ref="D240:D241"/>
    <mergeCell ref="A242:A243"/>
    <mergeCell ref="B242:B243"/>
    <mergeCell ref="C242:C243"/>
    <mergeCell ref="A206:A207"/>
    <mergeCell ref="B206:B207"/>
    <mergeCell ref="C206:C207"/>
    <mergeCell ref="C220:C221"/>
    <mergeCell ref="A210:A211"/>
    <mergeCell ref="A214:A215"/>
    <mergeCell ref="H200:H201"/>
    <mergeCell ref="H196:H197"/>
    <mergeCell ref="A198:A199"/>
    <mergeCell ref="B198:B199"/>
    <mergeCell ref="C198:C199"/>
    <mergeCell ref="D198:D199"/>
    <mergeCell ref="H198:H199"/>
    <mergeCell ref="A188:A189"/>
    <mergeCell ref="B188:B189"/>
    <mergeCell ref="C188:C189"/>
    <mergeCell ref="D188:D189"/>
    <mergeCell ref="H188:H189"/>
    <mergeCell ref="A192:A193"/>
    <mergeCell ref="B192:B193"/>
    <mergeCell ref="C192:C193"/>
    <mergeCell ref="D192:D193"/>
    <mergeCell ref="H192:H193"/>
    <mergeCell ref="B194:B195"/>
    <mergeCell ref="C194:C195"/>
    <mergeCell ref="D194:D195"/>
    <mergeCell ref="H194:H195"/>
    <mergeCell ref="A194:A195"/>
    <mergeCell ref="A196:A197"/>
    <mergeCell ref="A200:A201"/>
    <mergeCell ref="C182:C183"/>
    <mergeCell ref="D182:D183"/>
    <mergeCell ref="H182:H183"/>
    <mergeCell ref="A184:A185"/>
    <mergeCell ref="B184:B185"/>
    <mergeCell ref="C184:C185"/>
    <mergeCell ref="D184:D185"/>
    <mergeCell ref="H184:H185"/>
    <mergeCell ref="D186:D187"/>
    <mergeCell ref="H186:H187"/>
    <mergeCell ref="A176:A177"/>
    <mergeCell ref="B176:B177"/>
    <mergeCell ref="C176:C177"/>
    <mergeCell ref="D176:D177"/>
    <mergeCell ref="H176:H177"/>
    <mergeCell ref="A190:A191"/>
    <mergeCell ref="B190:B191"/>
    <mergeCell ref="C190:C191"/>
    <mergeCell ref="D190:D191"/>
    <mergeCell ref="H190:H191"/>
    <mergeCell ref="A186:A187"/>
    <mergeCell ref="B186:B187"/>
    <mergeCell ref="C186:C187"/>
    <mergeCell ref="A178:A179"/>
    <mergeCell ref="B178:B179"/>
    <mergeCell ref="C178:C179"/>
    <mergeCell ref="D178:D179"/>
    <mergeCell ref="A180:A181"/>
    <mergeCell ref="B180:B181"/>
    <mergeCell ref="C180:C181"/>
    <mergeCell ref="D180:D181"/>
    <mergeCell ref="H180:H181"/>
    <mergeCell ref="A182:A183"/>
    <mergeCell ref="B182:B183"/>
    <mergeCell ref="A172:A173"/>
    <mergeCell ref="B172:B173"/>
    <mergeCell ref="C172:C173"/>
    <mergeCell ref="D172:D173"/>
    <mergeCell ref="H172:H173"/>
    <mergeCell ref="A170:D171"/>
    <mergeCell ref="H170:H171"/>
    <mergeCell ref="A174:A175"/>
    <mergeCell ref="B174:B175"/>
    <mergeCell ref="C174:C175"/>
    <mergeCell ref="D174:D175"/>
    <mergeCell ref="H174:H175"/>
    <mergeCell ref="C162:C163"/>
    <mergeCell ref="D162:D163"/>
    <mergeCell ref="H162:H163"/>
    <mergeCell ref="A164:D165"/>
    <mergeCell ref="H164:H165"/>
    <mergeCell ref="A168:A169"/>
    <mergeCell ref="B168:B169"/>
    <mergeCell ref="C168:C169"/>
    <mergeCell ref="D168:D169"/>
    <mergeCell ref="H168:H169"/>
    <mergeCell ref="H148:H149"/>
    <mergeCell ref="A152:A153"/>
    <mergeCell ref="B152:B153"/>
    <mergeCell ref="C152:C153"/>
    <mergeCell ref="D152:D153"/>
    <mergeCell ref="H152:H153"/>
    <mergeCell ref="A150:D151"/>
    <mergeCell ref="H150:H151"/>
    <mergeCell ref="A166:A167"/>
    <mergeCell ref="B166:B167"/>
    <mergeCell ref="C166:C167"/>
    <mergeCell ref="D166:D167"/>
    <mergeCell ref="H166:H167"/>
    <mergeCell ref="A156:D157"/>
    <mergeCell ref="H156:H157"/>
    <mergeCell ref="A158:A159"/>
    <mergeCell ref="B158:B159"/>
    <mergeCell ref="C158:C159"/>
    <mergeCell ref="D158:D159"/>
    <mergeCell ref="H158:H159"/>
    <mergeCell ref="A160:D161"/>
    <mergeCell ref="H160:H161"/>
    <mergeCell ref="A162:A163"/>
    <mergeCell ref="B162:B163"/>
    <mergeCell ref="H154:H155"/>
    <mergeCell ref="A116:A117"/>
    <mergeCell ref="B116:B117"/>
    <mergeCell ref="A144:A145"/>
    <mergeCell ref="B144:B145"/>
    <mergeCell ref="C144:C145"/>
    <mergeCell ref="D144:D145"/>
    <mergeCell ref="H144:H145"/>
    <mergeCell ref="A146:A147"/>
    <mergeCell ref="B146:B147"/>
    <mergeCell ref="C146:C147"/>
    <mergeCell ref="D146:D147"/>
    <mergeCell ref="H146:H147"/>
    <mergeCell ref="A132:A133"/>
    <mergeCell ref="B132:B133"/>
    <mergeCell ref="C132:C133"/>
    <mergeCell ref="D132:D133"/>
    <mergeCell ref="H132:H133"/>
    <mergeCell ref="A134:A135"/>
    <mergeCell ref="B134:B135"/>
    <mergeCell ref="A148:A149"/>
    <mergeCell ref="B148:B149"/>
    <mergeCell ref="C148:C149"/>
    <mergeCell ref="D148:D149"/>
    <mergeCell ref="C142:C143"/>
    <mergeCell ref="D142:D143"/>
    <mergeCell ref="A126:A127"/>
    <mergeCell ref="B126:B127"/>
    <mergeCell ref="C126:C127"/>
    <mergeCell ref="D126:D127"/>
    <mergeCell ref="A154:A155"/>
    <mergeCell ref="B154:B155"/>
    <mergeCell ref="C154:C155"/>
    <mergeCell ref="D154:D155"/>
    <mergeCell ref="H126:H127"/>
    <mergeCell ref="H142:H143"/>
    <mergeCell ref="A136:A137"/>
    <mergeCell ref="B136:B137"/>
    <mergeCell ref="C136:C137"/>
    <mergeCell ref="D136:D137"/>
    <mergeCell ref="H136:H137"/>
    <mergeCell ref="C138:C139"/>
    <mergeCell ref="D138:D139"/>
    <mergeCell ref="H138:H139"/>
    <mergeCell ref="A140:A141"/>
    <mergeCell ref="B140:B141"/>
    <mergeCell ref="C140:C141"/>
    <mergeCell ref="D140:D141"/>
    <mergeCell ref="H140:H141"/>
    <mergeCell ref="A138:A139"/>
    <mergeCell ref="B138:B139"/>
    <mergeCell ref="D134:D135"/>
    <mergeCell ref="H134:H135"/>
    <mergeCell ref="H130:H131"/>
    <mergeCell ref="A130:D131"/>
    <mergeCell ref="C134:C135"/>
    <mergeCell ref="A142:A143"/>
    <mergeCell ref="B142:B143"/>
    <mergeCell ref="B120:B121"/>
    <mergeCell ref="C120:C121"/>
    <mergeCell ref="D120:D121"/>
    <mergeCell ref="H120:H121"/>
    <mergeCell ref="A120:A121"/>
    <mergeCell ref="D122:D123"/>
    <mergeCell ref="H122:H123"/>
    <mergeCell ref="B124:B125"/>
    <mergeCell ref="C124:C125"/>
    <mergeCell ref="D124:D125"/>
    <mergeCell ref="H124:H125"/>
    <mergeCell ref="A124:A125"/>
    <mergeCell ref="A122:A123"/>
    <mergeCell ref="B122:B123"/>
    <mergeCell ref="C122:C123"/>
    <mergeCell ref="A118:A119"/>
    <mergeCell ref="B118:B119"/>
    <mergeCell ref="C118:C119"/>
    <mergeCell ref="D118:D119"/>
    <mergeCell ref="H118:H119"/>
    <mergeCell ref="A100:A101"/>
    <mergeCell ref="B100:B101"/>
    <mergeCell ref="H94:H95"/>
    <mergeCell ref="A94:A95"/>
    <mergeCell ref="B94:B95"/>
    <mergeCell ref="C94:C95"/>
    <mergeCell ref="D94:D95"/>
    <mergeCell ref="A98:A99"/>
    <mergeCell ref="B98:B99"/>
    <mergeCell ref="C98:C99"/>
    <mergeCell ref="D98:D99"/>
    <mergeCell ref="H98:H99"/>
    <mergeCell ref="A106:A107"/>
    <mergeCell ref="B106:B107"/>
    <mergeCell ref="C106:C107"/>
    <mergeCell ref="D106:D107"/>
    <mergeCell ref="H106:H107"/>
    <mergeCell ref="C100:C101"/>
    <mergeCell ref="D100:D101"/>
    <mergeCell ref="H100:H101"/>
    <mergeCell ref="D114:D115"/>
    <mergeCell ref="B110:B111"/>
    <mergeCell ref="C110:C111"/>
    <mergeCell ref="D110:D111"/>
    <mergeCell ref="H110:H111"/>
    <mergeCell ref="A112:A113"/>
    <mergeCell ref="B112:B113"/>
    <mergeCell ref="C112:C113"/>
    <mergeCell ref="D116:D117"/>
    <mergeCell ref="H116:H117"/>
    <mergeCell ref="A104:A105"/>
    <mergeCell ref="B104:B105"/>
    <mergeCell ref="C104:C105"/>
    <mergeCell ref="D104:D105"/>
    <mergeCell ref="H104:H105"/>
    <mergeCell ref="A108:A109"/>
    <mergeCell ref="C102:C103"/>
    <mergeCell ref="D102:D103"/>
    <mergeCell ref="H102:H103"/>
    <mergeCell ref="B108:B109"/>
    <mergeCell ref="C108:C109"/>
    <mergeCell ref="D108:D109"/>
    <mergeCell ref="H108:H109"/>
    <mergeCell ref="A102:A103"/>
    <mergeCell ref="B102:B103"/>
    <mergeCell ref="C116:C117"/>
    <mergeCell ref="D112:D113"/>
    <mergeCell ref="H112:H113"/>
    <mergeCell ref="A110:A111"/>
    <mergeCell ref="A114:A115"/>
    <mergeCell ref="B114:B115"/>
    <mergeCell ref="C114:C115"/>
    <mergeCell ref="A92:A93"/>
    <mergeCell ref="B92:B93"/>
    <mergeCell ref="C92:C93"/>
    <mergeCell ref="D92:D93"/>
    <mergeCell ref="H92:H93"/>
    <mergeCell ref="A96:A97"/>
    <mergeCell ref="B96:B97"/>
    <mergeCell ref="C96:C97"/>
    <mergeCell ref="D96:D97"/>
    <mergeCell ref="H96:H97"/>
    <mergeCell ref="C84:C85"/>
    <mergeCell ref="D84:D85"/>
    <mergeCell ref="A86:A87"/>
    <mergeCell ref="B86:B87"/>
    <mergeCell ref="C86:C87"/>
    <mergeCell ref="D86:D87"/>
    <mergeCell ref="H86:H87"/>
    <mergeCell ref="A76:A77"/>
    <mergeCell ref="B76:B77"/>
    <mergeCell ref="C76:C77"/>
    <mergeCell ref="D76:D77"/>
    <mergeCell ref="H76:H77"/>
    <mergeCell ref="C78:C79"/>
    <mergeCell ref="D78:D79"/>
    <mergeCell ref="H78:H79"/>
    <mergeCell ref="A80:A81"/>
    <mergeCell ref="B80:B81"/>
    <mergeCell ref="C80:C81"/>
    <mergeCell ref="D80:D81"/>
    <mergeCell ref="H80:H81"/>
    <mergeCell ref="A72:A73"/>
    <mergeCell ref="B72:B73"/>
    <mergeCell ref="C72:C73"/>
    <mergeCell ref="D72:D73"/>
    <mergeCell ref="H72:H73"/>
    <mergeCell ref="A128:A129"/>
    <mergeCell ref="B128:B129"/>
    <mergeCell ref="C128:C129"/>
    <mergeCell ref="D128:D129"/>
    <mergeCell ref="H128:H129"/>
    <mergeCell ref="A82:A83"/>
    <mergeCell ref="B82:B83"/>
    <mergeCell ref="C82:C83"/>
    <mergeCell ref="D82:D83"/>
    <mergeCell ref="H82:H83"/>
    <mergeCell ref="A78:A79"/>
    <mergeCell ref="B78:B79"/>
    <mergeCell ref="A90:A91"/>
    <mergeCell ref="B90:B91"/>
    <mergeCell ref="C90:C91"/>
    <mergeCell ref="D90:D91"/>
    <mergeCell ref="H90:H91"/>
    <mergeCell ref="A84:A85"/>
    <mergeCell ref="B84:B85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B62:B63"/>
    <mergeCell ref="C62:C63"/>
    <mergeCell ref="D62:D63"/>
    <mergeCell ref="H62:H63"/>
    <mergeCell ref="A60:A61"/>
    <mergeCell ref="B60:B61"/>
    <mergeCell ref="C60:C61"/>
    <mergeCell ref="D60:D61"/>
    <mergeCell ref="H60:H61"/>
    <mergeCell ref="A58:D59"/>
    <mergeCell ref="H58:H59"/>
    <mergeCell ref="A62:A63"/>
    <mergeCell ref="H42:H43"/>
    <mergeCell ref="A44:A45"/>
    <mergeCell ref="B44:B45"/>
    <mergeCell ref="C44:C45"/>
    <mergeCell ref="A74:A75"/>
    <mergeCell ref="B74:B75"/>
    <mergeCell ref="C74:C75"/>
    <mergeCell ref="D74:D75"/>
    <mergeCell ref="H74:H75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D44:D45"/>
    <mergeCell ref="B48:B49"/>
    <mergeCell ref="E9:F9"/>
    <mergeCell ref="A88:A89"/>
    <mergeCell ref="B88:B89"/>
    <mergeCell ref="C88:C89"/>
    <mergeCell ref="A422:D423"/>
    <mergeCell ref="H422:H423"/>
    <mergeCell ref="D88:D89"/>
    <mergeCell ref="H88:H89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46:A47"/>
    <mergeCell ref="B46:B47"/>
    <mergeCell ref="C46:C47"/>
    <mergeCell ref="D46:D47"/>
    <mergeCell ref="H46:H47"/>
    <mergeCell ref="A48:A49"/>
    <mergeCell ref="C48:C49"/>
    <mergeCell ref="D48:D49"/>
    <mergeCell ref="H48:H49"/>
    <mergeCell ref="A42:A43"/>
    <mergeCell ref="B42:B43"/>
    <mergeCell ref="C42:C43"/>
    <mergeCell ref="D42:D43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H30:H31"/>
    <mergeCell ref="A18:A19"/>
    <mergeCell ref="B18:B19"/>
    <mergeCell ref="A22:A23"/>
    <mergeCell ref="B22:B23"/>
    <mergeCell ref="C22:C23"/>
    <mergeCell ref="D22:D23"/>
    <mergeCell ref="H22:H23"/>
    <mergeCell ref="A20:D21"/>
    <mergeCell ref="H20:H21"/>
    <mergeCell ref="H24:H25"/>
    <mergeCell ref="C26:C27"/>
    <mergeCell ref="D26:D27"/>
    <mergeCell ref="C10:C11"/>
    <mergeCell ref="D10:D11"/>
    <mergeCell ref="H10:I11"/>
    <mergeCell ref="A12:A13"/>
    <mergeCell ref="B12:B13"/>
    <mergeCell ref="C12:C13"/>
    <mergeCell ref="D12:D13"/>
    <mergeCell ref="H12:H13"/>
    <mergeCell ref="A54:A55"/>
    <mergeCell ref="B54:B55"/>
    <mergeCell ref="C54:C55"/>
    <mergeCell ref="D54:D55"/>
    <mergeCell ref="H54:H55"/>
    <mergeCell ref="A14:D15"/>
    <mergeCell ref="H14:H15"/>
    <mergeCell ref="A16:A17"/>
    <mergeCell ref="B16:B17"/>
    <mergeCell ref="C16:C17"/>
    <mergeCell ref="D16:D17"/>
    <mergeCell ref="H16:H17"/>
    <mergeCell ref="A32:A33"/>
    <mergeCell ref="B32:B33"/>
    <mergeCell ref="C32:C33"/>
    <mergeCell ref="D32:D33"/>
    <mergeCell ref="A56:A57"/>
    <mergeCell ref="B56:B57"/>
    <mergeCell ref="C56:C57"/>
    <mergeCell ref="D56:D57"/>
    <mergeCell ref="A26:A27"/>
    <mergeCell ref="B26:B27"/>
    <mergeCell ref="C18:C19"/>
    <mergeCell ref="D18:D19"/>
    <mergeCell ref="H18:H19"/>
    <mergeCell ref="A30:A31"/>
    <mergeCell ref="B30:B31"/>
    <mergeCell ref="C30:C31"/>
    <mergeCell ref="H32:H33"/>
    <mergeCell ref="D28:D29"/>
    <mergeCell ref="H28:H29"/>
    <mergeCell ref="A24:A25"/>
    <mergeCell ref="B24:B25"/>
    <mergeCell ref="C24:C25"/>
    <mergeCell ref="D24:D25"/>
    <mergeCell ref="H26:H27"/>
    <mergeCell ref="A28:A29"/>
    <mergeCell ref="B28:B29"/>
    <mergeCell ref="C28:C29"/>
    <mergeCell ref="D30:D31"/>
    <mergeCell ref="A420:D421"/>
    <mergeCell ref="H420:H421"/>
    <mergeCell ref="A406:A407"/>
    <mergeCell ref="B406:B407"/>
    <mergeCell ref="A416:A417"/>
    <mergeCell ref="B416:B417"/>
    <mergeCell ref="C416:C417"/>
    <mergeCell ref="D416:D417"/>
    <mergeCell ref="D406:D407"/>
    <mergeCell ref="H406:H407"/>
    <mergeCell ref="H410:H411"/>
    <mergeCell ref="D410:D411"/>
    <mergeCell ref="C410:C411"/>
    <mergeCell ref="B410:B411"/>
    <mergeCell ref="A410:A411"/>
    <mergeCell ref="H416:H417"/>
    <mergeCell ref="A414:A415"/>
    <mergeCell ref="B414:B415"/>
    <mergeCell ref="C414:C415"/>
    <mergeCell ref="D414:D415"/>
    <mergeCell ref="A418:A419"/>
    <mergeCell ref="B418:B419"/>
    <mergeCell ref="B412:B413"/>
    <mergeCell ref="C412:C413"/>
    <mergeCell ref="B266:B267"/>
    <mergeCell ref="H418:H419"/>
    <mergeCell ref="A412:A413"/>
    <mergeCell ref="A270:A271"/>
    <mergeCell ref="A222:A223"/>
    <mergeCell ref="B222:B223"/>
    <mergeCell ref="C222:C223"/>
    <mergeCell ref="D222:D223"/>
    <mergeCell ref="H222:H223"/>
    <mergeCell ref="A236:A237"/>
    <mergeCell ref="C418:C419"/>
    <mergeCell ref="D418:D419"/>
    <mergeCell ref="A228:A229"/>
    <mergeCell ref="B228:B229"/>
    <mergeCell ref="C228:C229"/>
    <mergeCell ref="D228:D229"/>
    <mergeCell ref="H228:H229"/>
    <mergeCell ref="D252:D253"/>
    <mergeCell ref="B224:B225"/>
    <mergeCell ref="C224:C225"/>
    <mergeCell ref="D224:D225"/>
    <mergeCell ref="H224:H225"/>
    <mergeCell ref="D242:D243"/>
    <mergeCell ref="B230:B231"/>
  </mergeCells>
  <phoneticPr fontId="4"/>
  <conditionalFormatting sqref="I42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3 H16:H19 H22:H51 H216:H219 H314:H323 H132:H149 H152:H155 H166:H169 H172:H175 H228:H231 H292:H305 H308:H311 H334:H349 H364:H391 H90:H111 H116:H129 H60:H81 H184:H209 H234:H255 H224:H225 H286:H289 H260:H281 H352:H361 H158:H159 H162:H163 H396:H407 H410:H413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2:C13" r:id="rId1" display="教育委員の報酬及び旅費"/>
    <hyperlink ref="C16:C17" r:id="rId2" display="教育委員会事務局職員の人件費"/>
    <hyperlink ref="C18:C19" r:id="rId3" display="教職員の退職手当"/>
    <hyperlink ref="C22:C23" r:id="rId4" display="庶務事務費"/>
    <hyperlink ref="C24:C25" r:id="rId5" display="就学対策費"/>
    <hyperlink ref="C26:C27" r:id="rId6" display="大阪市奨学費"/>
    <hyperlink ref="C28:C29" r:id="rId7" display="教職員人事事務費"/>
    <hyperlink ref="C30:C31" r:id="rId8" display="教職員資質向上方策の推進"/>
    <hyperlink ref="C32:C33" r:id="rId9" display="大阪市立学校における校長公募の実施・民間人校長フォロー体制の強化"/>
    <hyperlink ref="C34:C35" r:id="rId10" display="学校現場の負担軽減と校長のマネジメントの確立"/>
    <hyperlink ref="C36:C37" r:id="rId11" display="教職員給与事務費"/>
    <hyperlink ref="C38:C39" r:id="rId12" display="教職員児童手当"/>
    <hyperlink ref="C40:C41" r:id="rId13" display="教職員被服貸与"/>
    <hyperlink ref="C42:C43" r:id="rId14" display="教職員相談事業等"/>
    <hyperlink ref="C44:C45" r:id="rId15" display="学校運営支援センター運営費等"/>
    <hyperlink ref="C46:C47" r:id="rId16" display="校務支援・学校教育へのＩＣＴ活用事業"/>
    <hyperlink ref="C48:C49" r:id="rId17" display="学校選択制関係事務費"/>
    <hyperlink ref="C50:C51" r:id="rId18" display="キッズプラザ大阪建物賃借料等"/>
    <hyperlink ref="C52:C53" r:id="rId19" display="学校給食費の管理（食材費等）"/>
    <hyperlink ref="C54:C55" r:id="rId20" display="教職員の旅費（府立学校派遣）"/>
    <hyperlink ref="C56:C57" r:id="rId21" display="ワークライフバランス支援員の配置"/>
    <hyperlink ref="C60:C61" r:id="rId22" display="学校力ＵＰベース事業（習熟度別少人数授業）"/>
    <hyperlink ref="C62:C63" r:id="rId23" display="学校元気アップ地域本部事業"/>
    <hyperlink ref="C64:C65" r:id="rId24" display="特別支援教育費"/>
    <hyperlink ref="C66:C67" r:id="rId25" display="国際理解教育振興費"/>
    <hyperlink ref="C68:C69" r:id="rId26" display="運動・文化部活動等振興費"/>
    <hyperlink ref="C70:C71" r:id="rId27" display="いじめ・不登校・児童虐待等防止対策"/>
    <hyperlink ref="C72:C73" r:id="rId28" display="中学校給食事業"/>
    <hyperlink ref="C74:C75" r:id="rId29" display="学校活性化推進事業"/>
    <hyperlink ref="C76:C77" r:id="rId30" display="指導振興費"/>
    <hyperlink ref="C78:C79" r:id="rId31" display="特別支援教育の充実"/>
    <hyperlink ref="C80:C81" r:id="rId32" display="施設一体型小中一貫校等の整備（小中一貫校の特色化等について）"/>
    <hyperlink ref="C82:C83" r:id="rId33" display="生活指導支援員の配置等事業"/>
    <hyperlink ref="C84:C85" r:id="rId34" display="生活指導サポートセンターの運営"/>
    <hyperlink ref="C86:C87" r:id="rId35" display="部活動指導員活用事業"/>
    <hyperlink ref="C88:C89" r:id="rId36" display="小学校学力経年調査に基づく学習支援事業"/>
    <hyperlink ref="C90:C91" r:id="rId37" display="ＳＮＳの活用による児童生徒相談体制の本格実施"/>
    <hyperlink ref="C92:C93" r:id="rId38" display="生野区西部地域の学校再編の推進"/>
    <hyperlink ref="C94:C95" r:id="rId39" display="次世代の学校を担う人材の確保・育成"/>
    <hyperlink ref="C96:C97" r:id="rId40" display="大阪市こどもサポートネット（スクールソーシャルワーカーの配置）"/>
    <hyperlink ref="C98:C99" r:id="rId41" display="大阪市版スクールロイヤー事業"/>
    <hyperlink ref="C100:C101" r:id="rId42" display="ブロック化による学校支援事業"/>
    <hyperlink ref="C102:C103" r:id="rId43" display="外国につながる児童生徒の受入れ・共生のための教育推進事業"/>
    <hyperlink ref="C104:C105" r:id="rId44" display="教育支援センターの運営"/>
    <hyperlink ref="C106:C107" r:id="rId45" display="不登校特例校の設置"/>
    <hyperlink ref="C108:C109" r:id="rId46" display="スマートスクール次世代学校支援事業"/>
    <hyperlink ref="C110:C111" r:id="rId47" display="学力向上支援サポーター配置事業（「新しい生活様式」を踏まえた学校における感染症対策）"/>
    <hyperlink ref="C112:C113" r:id="rId48" display="子どもの体力向上支援事業"/>
    <hyperlink ref="C114:C115" r:id="rId49" display="プールの民間委託事業"/>
    <hyperlink ref="C116:C117" r:id="rId50" display="学力向上支援チーム事業"/>
    <hyperlink ref="C118:C119" r:id="rId51" display="ヤングケアラー支援推進事業（スクールソーシャルワーカー）"/>
    <hyperlink ref="C120:C121" r:id="rId52" display="課題解決支援員（スクールソーシャルワーカー）の配置"/>
    <hyperlink ref="C122:C123" r:id="rId53" display="大阪・関西万博にかかる学校園への啓発及び参加事業"/>
    <hyperlink ref="C124:C125" r:id="rId54" display="部活動の地域移行事業"/>
    <hyperlink ref="C126:C127" r:id="rId55" display="採点支援システムの導入"/>
    <hyperlink ref="C132:C133" r:id="rId56" display="研修事業"/>
    <hyperlink ref="C134:C135" r:id="rId57" display="研究事業"/>
    <hyperlink ref="C136:C137" r:id="rId58" display="情報教育研究事業"/>
    <hyperlink ref="C138:C139" r:id="rId59" display="情報教育推進事業"/>
    <hyperlink ref="C140:C141" r:id="rId60" display="大阪市教師養成講座"/>
    <hyperlink ref="C142:C143" r:id="rId61" display="道徳教育推進事業"/>
    <hyperlink ref="C144:C145" r:id="rId62" display="校務支援・学校教育へのＩＣＴ活用事業"/>
    <hyperlink ref="C146:C147" r:id="rId63" display="教育センターの機能充実"/>
    <hyperlink ref="C148:C149" r:id="rId64" display="一般維持管理費"/>
    <hyperlink ref="C152:C153" r:id="rId65" display="指導振興費"/>
    <hyperlink ref="C154:C155" r:id="rId66" display="一般維持管理費"/>
    <hyperlink ref="C158:C159" r:id="rId67" display="教育振興基金積立金"/>
    <hyperlink ref="C162:C163" r:id="rId68" display="田村教育振興基金積立金"/>
    <hyperlink ref="C166:C167" r:id="rId69" display="学校医等の報酬"/>
    <hyperlink ref="C168:C169" r:id="rId70" display="教職員の人件費"/>
    <hyperlink ref="C172:C173" r:id="rId71" display="非常勤講師等の報酬"/>
    <hyperlink ref="C174:C175" r:id="rId72" display="研修指導教員配置"/>
    <hyperlink ref="C176:C177" r:id="rId73" display="事故職員の補充等"/>
    <hyperlink ref="C178:C179" r:id="rId74" display="学校機械警備業務委託事業"/>
    <hyperlink ref="C180:C181" r:id="rId75" display="教職員の旅費"/>
    <hyperlink ref="C182:C183" r:id="rId76" display="児童生徒就学費補助金等"/>
    <hyperlink ref="C184:C185" r:id="rId77" display="日本スポーツ振興センター負担金"/>
    <hyperlink ref="C186:C187" r:id="rId78" display="通学タクシー等運行業務"/>
    <hyperlink ref="C188:C189" r:id="rId79" display="校地借地料"/>
    <hyperlink ref="C190:C191" r:id="rId80" display="学校給食費の管理（食材費等）"/>
    <hyperlink ref="C192:C193" r:id="rId81" display="学校給食費の管理（給食費の無償化）"/>
    <hyperlink ref="C194:C195" r:id="rId82" display="学校給食食材調達費"/>
    <hyperlink ref="C196:C197" r:id="rId83" display="学校給食調理業務民間委託事業"/>
    <hyperlink ref="C198:C199" r:id="rId84" display="校務支援・学校教育へのＩＣＴ活用事業"/>
    <hyperlink ref="C200:C201" r:id="rId85" display="学校教育ＩＣＴ活用事業（新型コロナウイルス感染症対策）"/>
    <hyperlink ref="C202:C203" r:id="rId86" display="学校活性化推進事業"/>
    <hyperlink ref="C204:C205" r:id="rId87" display="特別支援教育の充実"/>
    <hyperlink ref="C206:C207" r:id="rId88" display="小学校学力経年調査に基づく学習支援事業"/>
    <hyperlink ref="C208:C209" r:id="rId89" display="一般維持運営費"/>
    <hyperlink ref="C210:C211" r:id="rId90" display="ＡＥＤの整備"/>
    <hyperlink ref="C212:C213" r:id="rId91" display="小・中学校校舎の壁面緑化"/>
    <hyperlink ref="C214:C215" r:id="rId92" display="スクールサポートスタッフ配置事業"/>
    <hyperlink ref="C216:C217" r:id="rId93" display="スクールサポートスタッフ配置事業（「新しい生活様式」を踏まえた学校における感染症対策）"/>
    <hyperlink ref="C218:C219" r:id="rId94" display="学校指定寄附金を活用した教育環境充実事業"/>
    <hyperlink ref="C220:C221" r:id="rId95" display="共同学校事務室運営費"/>
    <hyperlink ref="C222:C223" r:id="rId96" display="欠席連絡等アプリの導入"/>
    <hyperlink ref="C228:C229" r:id="rId97" display="学校医等の報酬"/>
    <hyperlink ref="C230:C231" r:id="rId98" display="教職員の人件費"/>
    <hyperlink ref="C234:C235" r:id="rId99" display="非常勤講師等の報酬"/>
    <hyperlink ref="C236:C237" r:id="rId100" display="研修指導教員配置"/>
    <hyperlink ref="C238:C239" r:id="rId101" display="事故職員の補充等"/>
    <hyperlink ref="C240:C241" r:id="rId102" display="学校機械警備業務委託事業"/>
    <hyperlink ref="C242:C243" r:id="rId103" display="教職員の旅費"/>
    <hyperlink ref="C244:C245" r:id="rId104" display="児童生徒就学費補助金等"/>
    <hyperlink ref="C246:C247" r:id="rId105" display="日本スポーツ振興センター負担金"/>
    <hyperlink ref="C248:C249" r:id="rId106" display="通学タクシー等運行業務"/>
    <hyperlink ref="C250:C251" r:id="rId107" display="校地借地料"/>
    <hyperlink ref="C252:C253" r:id="rId108" display="学校給食費の管理（食材費等）"/>
    <hyperlink ref="C254:C255" r:id="rId109" display="学校給食費の管理（給食費の無償化）"/>
    <hyperlink ref="C256:C257" r:id="rId110" display="学校給食調理業務民間委託事業"/>
    <hyperlink ref="C258:C259" r:id="rId111" display="中学校給食事業"/>
    <hyperlink ref="C260:C261" r:id="rId112" display="校務支援・学校教育へのＩＣＴ活用事業"/>
    <hyperlink ref="C262:C263" r:id="rId113" display="学校教育ＩＣＴ活用事業（新型コロナウイルス感染症対策）"/>
    <hyperlink ref="C264:C265" r:id="rId114" display="学校活性化推進事業"/>
    <hyperlink ref="C266:C267" r:id="rId115" display="特別支援教育の充実"/>
    <hyperlink ref="C268:C269" r:id="rId116" display="一般維持運営費"/>
    <hyperlink ref="C270:C271" r:id="rId117" display="キャリア教育推進事業"/>
    <hyperlink ref="C272:C273" r:id="rId118" display="ＡＥＤの整備"/>
    <hyperlink ref="C274:C275" r:id="rId119" display="小・中学校校舎の壁面緑化"/>
    <hyperlink ref="C276:C277" r:id="rId120" display="「大阪市版チャレンジテストｐｌｕｓ」実施事業"/>
    <hyperlink ref="C278:C279" r:id="rId121" display="スクールサポートスタッフ配置事業"/>
    <hyperlink ref="C280:C281" r:id="rId122" display="スクールサポートスタッフ配置事業（「新しい生活様式」を踏まえた学校における感染症対策）"/>
    <hyperlink ref="C282:C283" r:id="rId123" display="学校指定寄附金を活用した教育環境充実事業"/>
    <hyperlink ref="C284:C285" r:id="rId124" display="共同学校事務室運営費"/>
    <hyperlink ref="C286:C287" r:id="rId125" display="欠席連絡等アプリの導入"/>
    <hyperlink ref="C292:C293" r:id="rId126" display="社会教育の企画推進"/>
    <hyperlink ref="C294:C295" r:id="rId127" display="生涯学習の推進"/>
    <hyperlink ref="C296:C297" r:id="rId128" display="ＰＴＡ育成"/>
    <hyperlink ref="C298:C299" r:id="rId129" display="人権啓発普及事業等"/>
    <hyperlink ref="C300:C301" r:id="rId130" display="子どもたちへの吹奏楽普及推進事業"/>
    <hyperlink ref="C302:C303" r:id="rId131" display="総合生涯学習センター・市民学習センター管理運営費等"/>
    <hyperlink ref="C304:C305" r:id="rId132" display="大阪国際平和センター運営補助"/>
    <hyperlink ref="C308:C309" r:id="rId133" display="文化遺産の保存と顕彰"/>
    <hyperlink ref="C310:C311" r:id="rId134" display="埋蔵文化財の保存と活用等"/>
    <hyperlink ref="C314:C315" r:id="rId135" display="図書館運営費（中央図書館）"/>
    <hyperlink ref="C316:C317" r:id="rId136" display="図書館運営費（地域図書館）"/>
    <hyperlink ref="C318:C319" r:id="rId137" display="図書及資料費"/>
    <hyperlink ref="C320:C321" r:id="rId138" display="図書館情報ネットワークシステム事業"/>
    <hyperlink ref="C322:C323" r:id="rId139" display="学校図書館活用推進事業"/>
    <hyperlink ref="C324:C325" r:id="rId140" display="大阪市史編纂事業等"/>
    <hyperlink ref="C328:C329" r:id="rId141" display="就学時健康診断費"/>
    <hyperlink ref="C330:C331" r:id="rId142" display="児童生徒保健対策費"/>
    <hyperlink ref="C332:C333" r:id="rId143" display="教職員保健対策費"/>
    <hyperlink ref="C334:C335" r:id="rId144" display="学校保健推進事業等"/>
    <hyperlink ref="C336:C337" r:id="rId145" display="新型コロナウイルス感染症対策のための衛生環境整備支援事業"/>
    <hyperlink ref="C338:C339" r:id="rId146" display="マイナンバー制度導入に伴う学校医療券の情報提供用中間サーバ接続端末設置費"/>
    <hyperlink ref="C340:C341" r:id="rId147" display="標準献立作成費等"/>
    <hyperlink ref="C342:C343" r:id="rId148" display="中学校給食事業"/>
    <hyperlink ref="C344:C345" r:id="rId149" display="給食衛生管理費"/>
    <hyperlink ref="C346:C347" r:id="rId150" display="総合体育大会"/>
    <hyperlink ref="C348:C349" r:id="rId151" display="体育部活動育成等"/>
    <hyperlink ref="C352:C353" r:id="rId152" display="児童・生徒数の増加に伴う新増築事業"/>
    <hyperlink ref="C354:C355" r:id="rId153" display="特別教室等整備事業"/>
    <hyperlink ref="C356:C357" r:id="rId154" display="講堂兼体育館整備事業"/>
    <hyperlink ref="C358:C359" r:id="rId155" display="老朽鉄筋校舎改築事業"/>
    <hyperlink ref="C360:C361" r:id="rId156" display="児童生徒の急増に伴う教育環境改善"/>
    <hyperlink ref="C362:C363" r:id="rId157" display="生野区西部地域の学校再編の推進"/>
    <hyperlink ref="C364:C365" r:id="rId158" display="校舎補修等整備事業"/>
    <hyperlink ref="C366:C367" r:id="rId159" display="特別支援学級教室改造"/>
    <hyperlink ref="C368:C369" r:id="rId160" display="特別支援教育設備等"/>
    <hyperlink ref="C370:C371" r:id="rId161" display="理科教育設備等整備事業"/>
    <hyperlink ref="C372:C373" r:id="rId162" display="学校設備整備事業等"/>
    <hyperlink ref="C374:C375" r:id="rId163" display="校務支援・学校教育へのＩＣＴ活用事業"/>
    <hyperlink ref="C376:C377" r:id="rId164" display="教育ＩＣＴネットワークシステム統合・利活用推進事業"/>
    <hyperlink ref="C378:C379" r:id="rId165" display="もと青少年会館の財産管理及び財産処分業務"/>
    <hyperlink ref="C380:C381" r:id="rId166" display="大阪国際平和センター設備改修等補助"/>
    <hyperlink ref="C382:C383" r:id="rId167" display="（仮称）区画整理記念・交流会館整備事業"/>
    <hyperlink ref="C384:C385" r:id="rId168" display="事業所整備事業等（学校教育）"/>
    <hyperlink ref="C386:C387" r:id="rId169" display="事業所整備事業等（社会教育）"/>
    <hyperlink ref="C388:C389" r:id="rId170" display="教職員情報システム統合認証システム運用"/>
    <hyperlink ref="C390:C391" r:id="rId171" display="クラフトパーク設備改修"/>
    <hyperlink ref="C392:C393" r:id="rId172" display="国産木材を活用した小中学校等における机・椅子整備事業"/>
    <hyperlink ref="C394:C395" r:id="rId173" display="ＰＣＢ（ポリ塩化ビフェニル）廃棄物処理事業"/>
    <hyperlink ref="C396:C397" r:id="rId174" display="コンピュータ機器借上等"/>
    <hyperlink ref="C398:C399" r:id="rId175" display="校園ネットワーク業務システム等運用費"/>
    <hyperlink ref="C400:C401" r:id="rId176" display="「新・大阪市総合教育センター（仮称）」建設事業"/>
    <hyperlink ref="C402:C403" r:id="rId177" display="用地買収事業"/>
    <hyperlink ref="C404:C405" r:id="rId178" display="不登校特例校の設置"/>
    <hyperlink ref="C406:C407" r:id="rId179" display="システム標準化移行関係経費"/>
    <hyperlink ref="C408:C409" r:id="rId180" display="ひとにやさしいまちづくり整備事業"/>
    <hyperlink ref="C410:C411" r:id="rId181" display="図書館情報ネットワークシステム更新"/>
  </hyperlinks>
  <pageMargins left="0.70866141732283472" right="0.70866141732283472" top="0.78740157480314965" bottom="0.59055118110236227" header="0.31496062992125984" footer="0.31496062992125984"/>
  <pageSetup paperSize="9" scale="80" fitToHeight="0" orientation="portrait" cellComments="asDisplayed" r:id="rId182"/>
  <rowBreaks count="7" manualBreakCount="7">
    <brk id="59" max="8" man="1"/>
    <brk id="113" max="8" man="1"/>
    <brk id="171" max="8" man="1"/>
    <brk id="225" max="8" man="1"/>
    <brk id="279" max="8" man="1"/>
    <brk id="337" max="8" man="1"/>
    <brk id="393" max="8" man="1"/>
  </rowBreaks>
  <ignoredErrors>
    <ignoredError sqref="A14:D15 A229:D229 A226:D226 H226:I226 A227:D227 H227:I227 A309:D309 B308:D308 A312:D313 B310:D310 A315:D315 B314:D314 B317:D317 B316:D316 A326:D327 B318:D325 A329:D329 B328:D328 B331:D331 B330:D330 A350:D351 B332:D343 B353:D353 B352:D352 H421:I421 A423:I424 B210:D221 B228:D228 A231:D233 B230:D230 A235:D235 B234:D234 B237:D237 B236:D236 A291:D291 B238:D253 A293:D293 B292:D292 B295:D295 B294:D294 A306:D307 B296:D305 B270:D285 A290:D290 H290:I290 H291:I291 A17:D21 A16:B16 G16:I16 A422:D422 H422:I422 A117:D117 A116:C116 G116:I116 A169:D171 B168:C168 G168:I168 A155:D157 B154:C154 G154:I154 A109:D115 B104 D104 B194:D205 B256:D267 A13:D13 H13:I13 H15:I15 G229:I229 G309:I309 G308:I308 F312:I313 G310:I310 G315:I315 G314:I314 G317:I317 G316:I316 F326:I327 G318:I325 G328:I329 G331:I331 G330:I330 F350:I351 G332:I344 G353:I353 G352:I352 G210:I221 G228:I228 F232:I233 G230:I230 G235:I235 G234:I234 G237:I237 G236:I236 G238:I253 G293:I293 G292:I292 G295:I295 G294:H294 F306:I307 G296:I305 F287:I287 F20:I21 F123:I123 F170:I171 F156:I157 G108:I115 G104:I104 G194:I205 G256:I267 A24:D35 A22:B23 D23 A58:D59 A36:B57 D37:D43 A71:D71 A60:B61 D60:D61 A62:B63 D62:D63 A64:B65 D64:D65 A66:B67 D67 A68:B69 D69 A70:B70 H12:I12 G17:I17 G18:I18 G19:I19 F58:I59 G22:I22 G23:I23 G24:I57 G117:I117 G60:I73 F150:I151 G132:I149 G155:I155 G152:I153 G169:I169 G166:I167 G172:I191 G231:I231 G270:I285 G311:I311 G364:I391 G105:I105 A105:D105 A119:D119 A118:B118 D118 G118:I118 G119:I119 A121:D121 A120:B120 D120 G120:I120 G121:I121 A123:D123 A122:B122 D122 G122:I122 A125:D125 A124:B124 F127:I127 G124:I124 G125:I125 A127:D127 A126:B126 G126:I126 H131:I131 H130:I130 G354:I363 B354:D363 H420:I420 D57 A130:D131 B364:D383 H14:I14 B287:D287 B286 D286 G286:I286 A75:D75 G74:I103 B74:C74 A77:D77 B76:C76 A79:D79 B78:D78 A81:D81 B80:D80 A83:D83 B82:D82 A85:D85 B84:D84 A87:D87 B86:D86 A89:D89 B88:D88 A91:D91 B90:D90 A93:D93 B92:D92 A95:D95 B94 A97:D97 B96 A99:D99 B98:D98 A101:D101 B100:D100 A103:D103 B102:D102 B108:D108 B206:D209 G206:I209 B268:D269 G268:I269 B180:D191 D94 B385:D385 B384 B311:D311 A133:D133 B132:D132 A135:D135 B134:D134 A137:D137 B136:D136 A139:D139 B138:D138 A141:D141 B140:D140 A143:D143 B142:D142 A145:D145 B144 A147:D147 B146:D146 A149:D151 B148:D148 A153:D153 B152:C152 A167:D167 B166:D166 A173:D173 B172:D172 A175:D175 B174:D174 A177:D177 B176:D176 B179:D179 B178:D178 A12:C12 D45:D51 D53:D55 A73:D73 A72:C72 B345:D349 B344:C344 G346:I349 H345:I345 B397:D397 B396 D396 B399:D405 B398 D398 G392:I407 B392:D395 D96 D144 B387:D387 B386 D386 B389:D391 B388:C388 B407:D407 B406" twoDigitTextYear="1"/>
    <ignoredError sqref="A420:D421" twoDigitTextYea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2023-02-13T06:35:39Z</dcterms:created>
  <dcterms:modified xsi:type="dcterms:W3CDTF">2023-02-14T04:27:36Z</dcterms:modified>
</cp:coreProperties>
</file>