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7D36E8E8-52C3-4C01-A1DB-CC409DEE3725}" xr6:coauthVersionLast="47" xr6:coauthVersionMax="47" xr10:uidLastSave="{00000000-0000-0000-0000-000000000000}"/>
  <bookViews>
    <workbookView xWindow="-120" yWindow="-120" windowWidth="20730" windowHeight="11160" tabRatio="533" xr2:uid="{00000000-000D-0000-FFFF-FFFF00000000}"/>
  </bookViews>
  <sheets>
    <sheet name="一般会計" sheetId="77" r:id="rId1"/>
  </sheets>
  <definedNames>
    <definedName name="_xlnm.Print_Area" localSheetId="0">一般会計!$A$1:$G$379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7" i="77" l="1"/>
  <c r="E172" i="77" l="1"/>
  <c r="C173" i="77"/>
  <c r="D173" i="77"/>
  <c r="E173" i="77"/>
  <c r="C9" i="77"/>
  <c r="D24" i="77" l="1"/>
  <c r="D345" i="77"/>
  <c r="D344" i="77"/>
  <c r="D136" i="77" l="1"/>
  <c r="D272" i="77"/>
  <c r="D325" i="77"/>
  <c r="D324" i="77"/>
  <c r="D327" i="77"/>
  <c r="D326" i="77"/>
  <c r="D347" i="77"/>
  <c r="D346" i="77"/>
  <c r="D235" i="77" l="1"/>
  <c r="D232" i="77"/>
  <c r="D233" i="77" s="1"/>
  <c r="D238" i="77"/>
  <c r="D249" i="77"/>
  <c r="D210" i="77"/>
  <c r="D207" i="77"/>
  <c r="D181" i="77"/>
  <c r="D178" i="77"/>
  <c r="D179" i="77" s="1"/>
  <c r="D186" i="77"/>
  <c r="D193" i="77"/>
  <c r="D156" i="77" l="1"/>
  <c r="D153" i="77"/>
  <c r="D114" i="77" l="1"/>
  <c r="D115" i="77" s="1"/>
  <c r="D113" i="77"/>
  <c r="D111" i="77"/>
  <c r="D103" i="77"/>
  <c r="D101" i="77"/>
  <c r="D99" i="77"/>
  <c r="D91" i="77"/>
  <c r="D89" i="77"/>
  <c r="D87" i="77"/>
  <c r="D83" i="77"/>
  <c r="D72" i="77"/>
  <c r="D66" i="77"/>
  <c r="D67" i="77" s="1"/>
  <c r="D59" i="77"/>
  <c r="D54" i="77"/>
  <c r="D32" i="77" l="1"/>
  <c r="D12" i="77"/>
  <c r="D10" i="77" l="1"/>
  <c r="D278" i="77"/>
  <c r="D306" i="77"/>
  <c r="D298" i="77"/>
  <c r="D45" i="77"/>
  <c r="D23" i="77"/>
  <c r="D18" i="77"/>
  <c r="D16" i="77"/>
  <c r="D62" i="77"/>
  <c r="D280" i="77"/>
  <c r="D140" i="77"/>
  <c r="D282" i="77" l="1"/>
  <c r="D216" i="77" l="1"/>
  <c r="D162" i="77"/>
  <c r="D351" i="77" l="1"/>
  <c r="D350" i="77"/>
  <c r="E371" i="77"/>
  <c r="E370" i="77"/>
  <c r="E373" i="77"/>
  <c r="E372" i="77"/>
  <c r="E377" i="77"/>
  <c r="E376" i="77"/>
  <c r="E375" i="77"/>
  <c r="E374" i="77"/>
  <c r="E367" i="77" l="1"/>
  <c r="E366" i="77"/>
  <c r="D335" i="77"/>
  <c r="D334" i="77"/>
  <c r="D296" i="77" l="1"/>
  <c r="D297" i="77" s="1"/>
  <c r="D227" i="77"/>
  <c r="D261" i="77" l="1"/>
  <c r="D239" i="77"/>
  <c r="D225" i="77"/>
  <c r="D219" i="77"/>
  <c r="D217" i="77"/>
  <c r="D209" i="77" l="1"/>
  <c r="D205" i="77"/>
  <c r="D187" i="77"/>
  <c r="D175" i="77"/>
  <c r="D171" i="77"/>
  <c r="D165" i="77"/>
  <c r="D163" i="77"/>
  <c r="D155" i="77"/>
  <c r="D291" i="77" l="1"/>
  <c r="D285" i="77"/>
  <c r="D283" i="77"/>
  <c r="D268" i="77"/>
  <c r="D269" i="77" s="1"/>
  <c r="D266" i="77"/>
  <c r="D264" i="77"/>
  <c r="D265" i="77" s="1"/>
  <c r="D281" i="77" l="1"/>
  <c r="D129" i="77"/>
  <c r="D141" i="77"/>
  <c r="D139" i="77"/>
  <c r="D137" i="77" l="1"/>
  <c r="C141" i="77"/>
  <c r="C139" i="77"/>
  <c r="D131" i="77"/>
  <c r="E115" i="77"/>
  <c r="E113" i="77"/>
  <c r="D107" i="77"/>
  <c r="D95" i="77"/>
  <c r="D75" i="77"/>
  <c r="D51" i="77"/>
  <c r="E114" i="77"/>
  <c r="E112" i="77"/>
  <c r="D121" i="77"/>
  <c r="D64" i="77"/>
  <c r="D65" i="77" s="1"/>
  <c r="D63" i="77"/>
  <c r="D56" i="77"/>
  <c r="D378" i="77" s="1"/>
  <c r="D292" i="77"/>
  <c r="C45" i="77"/>
  <c r="E44" i="77"/>
  <c r="D313" i="77"/>
  <c r="D294" i="77"/>
  <c r="D13" i="77" l="1"/>
  <c r="D11" i="77"/>
  <c r="E139" i="77"/>
  <c r="E138" i="77"/>
  <c r="E140" i="77"/>
  <c r="E141" i="77"/>
  <c r="D55" i="77"/>
  <c r="E45" i="77"/>
  <c r="C351" i="77" l="1"/>
  <c r="C350" i="77"/>
  <c r="C347" i="77"/>
  <c r="C346" i="77"/>
  <c r="C345" i="77"/>
  <c r="C344" i="77"/>
  <c r="C341" i="77"/>
  <c r="C340" i="77"/>
  <c r="C335" i="77"/>
  <c r="C334" i="77"/>
  <c r="C326" i="77"/>
  <c r="E310" i="77"/>
  <c r="C311" i="77"/>
  <c r="C309" i="77"/>
  <c r="C306" i="77"/>
  <c r="C307" i="77" s="1"/>
  <c r="C305" i="77"/>
  <c r="C303" i="77"/>
  <c r="C301" i="77"/>
  <c r="C313" i="77"/>
  <c r="C298" i="77"/>
  <c r="C299" i="77" s="1"/>
  <c r="C296" i="77"/>
  <c r="C297" i="77" s="1"/>
  <c r="C294" i="77"/>
  <c r="C295" i="77" s="1"/>
  <c r="C292" i="77"/>
  <c r="C293" i="77" s="1"/>
  <c r="C291" i="77"/>
  <c r="C289" i="77"/>
  <c r="C287" i="77"/>
  <c r="C285" i="77"/>
  <c r="C282" i="77"/>
  <c r="C283" i="77" s="1"/>
  <c r="C280" i="77"/>
  <c r="C281" i="77" s="1"/>
  <c r="C278" i="77"/>
  <c r="C279" i="77" s="1"/>
  <c r="C277" i="77"/>
  <c r="C275" i="77"/>
  <c r="C272" i="77"/>
  <c r="C273" i="77" s="1"/>
  <c r="C271" i="77"/>
  <c r="C268" i="77"/>
  <c r="C269" i="77" s="1"/>
  <c r="C267" i="77"/>
  <c r="C264" i="77"/>
  <c r="C265" i="77" s="1"/>
  <c r="C263" i="77"/>
  <c r="C257" i="77"/>
  <c r="C255" i="77"/>
  <c r="C253" i="77"/>
  <c r="C251" i="77"/>
  <c r="C261" i="77"/>
  <c r="C249" i="77"/>
  <c r="C247" i="77"/>
  <c r="C245" i="77"/>
  <c r="C243" i="77"/>
  <c r="C241" i="77"/>
  <c r="C238" i="77"/>
  <c r="C239" i="77" s="1"/>
  <c r="C237" i="77"/>
  <c r="C235" i="77"/>
  <c r="C259" i="77"/>
  <c r="C232" i="77"/>
  <c r="C233" i="77" s="1"/>
  <c r="C231" i="77"/>
  <c r="C229" i="77"/>
  <c r="C227" i="77"/>
  <c r="C225" i="77"/>
  <c r="C223" i="77"/>
  <c r="C221" i="77"/>
  <c r="C219" i="77"/>
  <c r="C216" i="77"/>
  <c r="C217" i="77" s="1"/>
  <c r="C215" i="77"/>
  <c r="C213" i="77"/>
  <c r="C210" i="77"/>
  <c r="C211" i="77" s="1"/>
  <c r="C209" i="77"/>
  <c r="C207" i="77"/>
  <c r="C201" i="77"/>
  <c r="C199" i="77"/>
  <c r="C197" i="77"/>
  <c r="C195" i="77"/>
  <c r="C205" i="77"/>
  <c r="C193" i="77"/>
  <c r="C191" i="77"/>
  <c r="C189" i="77"/>
  <c r="C186" i="77"/>
  <c r="C187" i="77" s="1"/>
  <c r="C185" i="77"/>
  <c r="C183" i="77"/>
  <c r="C181" i="77"/>
  <c r="C203" i="77"/>
  <c r="C178" i="77"/>
  <c r="C179" i="77" s="1"/>
  <c r="C177" i="77"/>
  <c r="C175" i="77"/>
  <c r="C171" i="77"/>
  <c r="C169" i="77"/>
  <c r="C167" i="77"/>
  <c r="C165" i="77"/>
  <c r="C162" i="77"/>
  <c r="C163" i="77" s="1"/>
  <c r="C161" i="77"/>
  <c r="C159" i="77"/>
  <c r="C156" i="77"/>
  <c r="C157" i="77" s="1"/>
  <c r="C155" i="77"/>
  <c r="C153" i="77"/>
  <c r="C151" i="77"/>
  <c r="C148" i="77"/>
  <c r="C149" i="77" s="1"/>
  <c r="C147" i="77"/>
  <c r="C145" i="77"/>
  <c r="C136" i="77"/>
  <c r="C135" i="77"/>
  <c r="C133" i="77"/>
  <c r="C131" i="77"/>
  <c r="C129" i="77"/>
  <c r="C143" i="77"/>
  <c r="C127" i="77"/>
  <c r="C125" i="77"/>
  <c r="C123" i="77"/>
  <c r="C109" i="77"/>
  <c r="C107" i="77"/>
  <c r="C105" i="77"/>
  <c r="C103" i="77"/>
  <c r="C101" i="77"/>
  <c r="C99" i="77"/>
  <c r="C97" i="77"/>
  <c r="C95" i="77"/>
  <c r="C121" i="77"/>
  <c r="C93" i="77"/>
  <c r="C119" i="77"/>
  <c r="C91" i="77"/>
  <c r="C89" i="77"/>
  <c r="C87" i="77"/>
  <c r="C85" i="77"/>
  <c r="C83" i="77"/>
  <c r="C117" i="77"/>
  <c r="C81" i="77"/>
  <c r="C79" i="77"/>
  <c r="C77" i="77"/>
  <c r="C75" i="77"/>
  <c r="C72" i="77"/>
  <c r="C73" i="77" s="1"/>
  <c r="C71" i="77"/>
  <c r="C69" i="77"/>
  <c r="C66" i="77"/>
  <c r="C67" i="77" s="1"/>
  <c r="C64" i="77"/>
  <c r="C65" i="77" s="1"/>
  <c r="C62" i="77"/>
  <c r="C63" i="77" s="1"/>
  <c r="C61" i="77"/>
  <c r="C59" i="77"/>
  <c r="C56" i="77"/>
  <c r="C57" i="77" s="1"/>
  <c r="C54" i="77"/>
  <c r="C53" i="77"/>
  <c r="C51" i="77"/>
  <c r="C49" i="77"/>
  <c r="C47" i="77"/>
  <c r="C43" i="77"/>
  <c r="C41" i="77"/>
  <c r="C39" i="77"/>
  <c r="C37" i="77"/>
  <c r="C35" i="77"/>
  <c r="C32" i="77"/>
  <c r="C33" i="77" s="1"/>
  <c r="C31" i="77"/>
  <c r="C29" i="77"/>
  <c r="C27" i="77"/>
  <c r="C24" i="77"/>
  <c r="C25" i="77" s="1"/>
  <c r="C23" i="77"/>
  <c r="C20" i="77"/>
  <c r="C21" i="77" s="1"/>
  <c r="C18" i="77"/>
  <c r="C19" i="77" s="1"/>
  <c r="C16" i="77"/>
  <c r="C17" i="77" s="1"/>
  <c r="C15" i="77"/>
  <c r="C12" i="77"/>
  <c r="C13" i="77" s="1"/>
  <c r="C10" i="77"/>
  <c r="C378" i="77" l="1"/>
  <c r="E378" i="77" s="1"/>
  <c r="C379" i="77"/>
  <c r="C137" i="77"/>
  <c r="C55" i="77"/>
  <c r="C11" i="77"/>
  <c r="D259" i="77" l="1"/>
  <c r="D203" i="77"/>
  <c r="E150" i="77" l="1"/>
  <c r="E149" i="77" l="1"/>
  <c r="E148" i="77"/>
  <c r="E151" i="77"/>
  <c r="D299" i="77" l="1"/>
  <c r="D253" i="77" l="1"/>
  <c r="D251" i="77"/>
  <c r="D199" i="77"/>
  <c r="E198" i="77"/>
  <c r="D197" i="77"/>
  <c r="D195" i="77"/>
  <c r="E199" i="77" l="1"/>
  <c r="D247" i="77" l="1"/>
  <c r="D191" i="77"/>
  <c r="D245" i="77"/>
  <c r="D243" i="77"/>
  <c r="D241" i="77"/>
  <c r="D189" i="77"/>
  <c r="D185" i="77" l="1"/>
  <c r="D201" i="77"/>
  <c r="D257" i="77"/>
  <c r="D237" i="77"/>
  <c r="D183" i="77"/>
  <c r="D231" i="77" l="1"/>
  <c r="D229" i="77"/>
  <c r="D177" i="77"/>
  <c r="E226" i="77"/>
  <c r="E227" i="77" l="1"/>
  <c r="D169" i="77"/>
  <c r="D223" i="77"/>
  <c r="D221" i="77"/>
  <c r="D167" i="77"/>
  <c r="D215" i="77" l="1"/>
  <c r="D161" i="77"/>
  <c r="D159" i="77"/>
  <c r="D213" i="77"/>
  <c r="D157" i="77" l="1"/>
  <c r="D211" i="77"/>
  <c r="D311" i="77" l="1"/>
  <c r="D309" i="77"/>
  <c r="D307" i="77"/>
  <c r="D305" i="77"/>
  <c r="D303" i="77"/>
  <c r="D301" i="77"/>
  <c r="D295" i="77"/>
  <c r="D293" i="77"/>
  <c r="D17" i="77"/>
  <c r="D47" i="77"/>
  <c r="D43" i="77"/>
  <c r="D41" i="77"/>
  <c r="D39" i="77"/>
  <c r="D37" i="77"/>
  <c r="D35" i="77"/>
  <c r="D33" i="77"/>
  <c r="D31" i="77"/>
  <c r="D29" i="77"/>
  <c r="D27" i="77"/>
  <c r="D25" i="77"/>
  <c r="D21" i="77"/>
  <c r="D19" i="77"/>
  <c r="D15" i="77"/>
  <c r="E363" i="77" l="1"/>
  <c r="E362" i="77"/>
  <c r="D289" i="77" l="1"/>
  <c r="D287" i="77"/>
  <c r="D279" i="77"/>
  <c r="D277" i="77"/>
  <c r="D275" i="77"/>
  <c r="D273" i="77"/>
  <c r="D271" i="77"/>
  <c r="G264" i="77"/>
  <c r="G378" i="77" s="1"/>
  <c r="F378" i="77" s="1"/>
  <c r="D267" i="77"/>
  <c r="D263" i="77"/>
  <c r="D147" i="77"/>
  <c r="D145" i="77"/>
  <c r="D135" i="77"/>
  <c r="D133" i="77"/>
  <c r="D143" i="77"/>
  <c r="D127" i="77"/>
  <c r="D125" i="77"/>
  <c r="D123" i="77"/>
  <c r="D97" i="77" l="1"/>
  <c r="D93" i="77"/>
  <c r="D119" i="77"/>
  <c r="D85" i="77"/>
  <c r="D117" i="77"/>
  <c r="D81" i="77"/>
  <c r="D79" i="77"/>
  <c r="D77" i="77"/>
  <c r="D73" i="77"/>
  <c r="D71" i="77"/>
  <c r="D69" i="77"/>
  <c r="D61" i="77"/>
  <c r="D53" i="77"/>
  <c r="D49" i="77"/>
  <c r="D57" i="77" l="1"/>
  <c r="D379" i="77" s="1"/>
  <c r="E379" i="77" s="1"/>
  <c r="E119" i="77"/>
  <c r="E118" i="77"/>
  <c r="E9" i="77"/>
  <c r="E10" i="77"/>
  <c r="E14" i="77"/>
  <c r="E15" i="77"/>
  <c r="E16" i="77"/>
  <c r="E17" i="77"/>
  <c r="E18" i="77"/>
  <c r="E22" i="77"/>
  <c r="E23" i="77"/>
  <c r="E24" i="77"/>
  <c r="E26" i="77"/>
  <c r="E27" i="77"/>
  <c r="E28" i="77"/>
  <c r="E29" i="77"/>
  <c r="E30" i="77"/>
  <c r="E31" i="77"/>
  <c r="E34" i="77"/>
  <c r="E35" i="77"/>
  <c r="E36" i="77"/>
  <c r="E37" i="77"/>
  <c r="E38" i="77"/>
  <c r="E39" i="77"/>
  <c r="E40" i="77"/>
  <c r="E41" i="77"/>
  <c r="E42" i="77"/>
  <c r="E43" i="77"/>
  <c r="E46" i="77"/>
  <c r="E47" i="77"/>
  <c r="E48" i="77"/>
  <c r="E50" i="77"/>
  <c r="E51" i="77"/>
  <c r="E54" i="77"/>
  <c r="E58" i="77"/>
  <c r="E59" i="77"/>
  <c r="E60" i="77"/>
  <c r="E61" i="77"/>
  <c r="E110" i="77"/>
  <c r="E111" i="77"/>
  <c r="E66" i="77"/>
  <c r="E68" i="77"/>
  <c r="E69" i="77"/>
  <c r="E70" i="77"/>
  <c r="E71" i="77"/>
  <c r="E72" i="77"/>
  <c r="E73" i="77"/>
  <c r="E74" i="77"/>
  <c r="E75" i="77"/>
  <c r="E76" i="77"/>
  <c r="E77" i="77"/>
  <c r="E78" i="77"/>
  <c r="E79" i="77"/>
  <c r="E80" i="77"/>
  <c r="E81" i="77"/>
  <c r="E116" i="77"/>
  <c r="E117" i="77"/>
  <c r="E82" i="77"/>
  <c r="E83" i="77"/>
  <c r="E84" i="77"/>
  <c r="E85" i="77"/>
  <c r="E86" i="77"/>
  <c r="E87" i="77"/>
  <c r="E88" i="77"/>
  <c r="E89" i="77"/>
  <c r="E92" i="77"/>
  <c r="E93" i="77"/>
  <c r="E120" i="77"/>
  <c r="E121" i="77"/>
  <c r="E94" i="77"/>
  <c r="E95" i="77"/>
  <c r="E96" i="77"/>
  <c r="E97" i="77"/>
  <c r="E98" i="77"/>
  <c r="E99" i="77"/>
  <c r="E100" i="77"/>
  <c r="E101" i="77"/>
  <c r="E102" i="77"/>
  <c r="E103" i="77"/>
  <c r="E104" i="77"/>
  <c r="D105" i="77"/>
  <c r="E106" i="77"/>
  <c r="E107" i="77"/>
  <c r="E108" i="77"/>
  <c r="D109" i="77"/>
  <c r="E122" i="77"/>
  <c r="E124" i="77"/>
  <c r="E125" i="77"/>
  <c r="E126" i="77"/>
  <c r="E127" i="77"/>
  <c r="E142" i="77"/>
  <c r="E143" i="77"/>
  <c r="E128" i="77"/>
  <c r="E129" i="77"/>
  <c r="E130" i="77"/>
  <c r="E131" i="77"/>
  <c r="E132" i="77"/>
  <c r="E133" i="77"/>
  <c r="E134" i="77"/>
  <c r="E135" i="77"/>
  <c r="E136" i="77"/>
  <c r="E137" i="77"/>
  <c r="E144" i="77"/>
  <c r="E145" i="77"/>
  <c r="E146" i="77"/>
  <c r="E147" i="77"/>
  <c r="E152" i="77"/>
  <c r="E154" i="77"/>
  <c r="E155" i="77"/>
  <c r="E156" i="77"/>
  <c r="E157" i="77"/>
  <c r="E158" i="77"/>
  <c r="E159" i="77"/>
  <c r="E160" i="77"/>
  <c r="E161" i="77"/>
  <c r="E162" i="77"/>
  <c r="E163" i="77"/>
  <c r="E164" i="77"/>
  <c r="E165" i="77"/>
  <c r="E166" i="77"/>
  <c r="E167" i="77"/>
  <c r="E168" i="77"/>
  <c r="E169" i="77"/>
  <c r="E170" i="77"/>
  <c r="E171" i="77"/>
  <c r="E174" i="77"/>
  <c r="E175" i="77"/>
  <c r="E176" i="77"/>
  <c r="E177" i="77"/>
  <c r="E178" i="77"/>
  <c r="E179" i="77"/>
  <c r="E202" i="77"/>
  <c r="E203" i="77"/>
  <c r="E180" i="77"/>
  <c r="E181" i="77"/>
  <c r="E182" i="77"/>
  <c r="E183" i="77"/>
  <c r="E200" i="77"/>
  <c r="E201" i="77"/>
  <c r="E184" i="77"/>
  <c r="E185" i="77"/>
  <c r="E186" i="77"/>
  <c r="E187" i="77"/>
  <c r="E188" i="77"/>
  <c r="E189" i="77"/>
  <c r="E190" i="77"/>
  <c r="E191" i="77"/>
  <c r="E192" i="77"/>
  <c r="E193" i="77"/>
  <c r="E204" i="77"/>
  <c r="E205" i="77"/>
  <c r="E194" i="77"/>
  <c r="E195" i="77"/>
  <c r="E196" i="77"/>
  <c r="E206" i="77"/>
  <c r="E208" i="77"/>
  <c r="E209" i="77"/>
  <c r="E210" i="77"/>
  <c r="E211" i="77"/>
  <c r="E212" i="77"/>
  <c r="E213" i="77"/>
  <c r="E214" i="77"/>
  <c r="E215" i="77"/>
  <c r="E216" i="77"/>
  <c r="E217" i="77"/>
  <c r="E218" i="77"/>
  <c r="E219" i="77"/>
  <c r="E220" i="77"/>
  <c r="E221" i="77"/>
  <c r="E222" i="77"/>
  <c r="E223" i="77"/>
  <c r="E224" i="77"/>
  <c r="E225" i="77"/>
  <c r="E228" i="77"/>
  <c r="E229" i="77"/>
  <c r="E230" i="77"/>
  <c r="E231" i="77"/>
  <c r="E232" i="77"/>
  <c r="E233" i="77"/>
  <c r="E258" i="77"/>
  <c r="E259" i="77"/>
  <c r="E234" i="77"/>
  <c r="E235" i="77"/>
  <c r="E236" i="77"/>
  <c r="E237" i="77"/>
  <c r="E256" i="77"/>
  <c r="E257" i="77"/>
  <c r="E238" i="77"/>
  <c r="E239" i="77"/>
  <c r="E240" i="77"/>
  <c r="E241" i="77"/>
  <c r="E242" i="77"/>
  <c r="E243" i="77"/>
  <c r="E244" i="77"/>
  <c r="E245" i="77"/>
  <c r="E246" i="77"/>
  <c r="E247" i="77"/>
  <c r="E248" i="77"/>
  <c r="E249" i="77"/>
  <c r="E260" i="77"/>
  <c r="E261" i="77"/>
  <c r="E250" i="77"/>
  <c r="E251" i="77"/>
  <c r="E252" i="77"/>
  <c r="E253" i="77"/>
  <c r="E254" i="77"/>
  <c r="D255" i="77"/>
  <c r="E262" i="77"/>
  <c r="E264" i="77"/>
  <c r="G265" i="77"/>
  <c r="E266" i="77"/>
  <c r="E267" i="77"/>
  <c r="G267" i="77"/>
  <c r="E268" i="77"/>
  <c r="G269" i="77"/>
  <c r="E270" i="77"/>
  <c r="E271" i="77"/>
  <c r="E274" i="77"/>
  <c r="E275" i="77"/>
  <c r="E276" i="77"/>
  <c r="E277" i="77"/>
  <c r="E284" i="77"/>
  <c r="E285" i="77"/>
  <c r="E286" i="77"/>
  <c r="E287" i="77"/>
  <c r="E288" i="77"/>
  <c r="E289" i="77"/>
  <c r="E290" i="77"/>
  <c r="E291" i="77"/>
  <c r="G299" i="77"/>
  <c r="E312" i="77"/>
  <c r="E313" i="77"/>
  <c r="E300" i="77"/>
  <c r="E301" i="77"/>
  <c r="E302" i="77"/>
  <c r="E303" i="77"/>
  <c r="E304" i="77"/>
  <c r="E305" i="77"/>
  <c r="E307" i="77"/>
  <c r="E308" i="77"/>
  <c r="E309" i="77"/>
  <c r="E311" i="77"/>
  <c r="E314" i="77"/>
  <c r="E315" i="77"/>
  <c r="E316" i="77"/>
  <c r="E317" i="77"/>
  <c r="E318" i="77"/>
  <c r="E319" i="77"/>
  <c r="E320" i="77"/>
  <c r="E321" i="77"/>
  <c r="E322" i="77"/>
  <c r="E323" i="77"/>
  <c r="E324" i="77"/>
  <c r="E325" i="77"/>
  <c r="E328" i="77"/>
  <c r="E329" i="77"/>
  <c r="E330" i="77"/>
  <c r="E331" i="77"/>
  <c r="E332" i="77"/>
  <c r="E333" i="77"/>
  <c r="E334" i="77"/>
  <c r="E335" i="77"/>
  <c r="E336" i="77"/>
  <c r="E337" i="77"/>
  <c r="E338" i="77"/>
  <c r="E339" i="77"/>
  <c r="E340" i="77"/>
  <c r="E341" i="77"/>
  <c r="E342" i="77"/>
  <c r="E343" i="77"/>
  <c r="E344" i="77"/>
  <c r="E345" i="77"/>
  <c r="E346" i="77"/>
  <c r="E347" i="77"/>
  <c r="E348" i="77"/>
  <c r="E349" i="77"/>
  <c r="E350" i="77"/>
  <c r="E351" i="77"/>
  <c r="E368" i="77"/>
  <c r="E369" i="77"/>
  <c r="E352" i="77"/>
  <c r="E353" i="77"/>
  <c r="E354" i="77"/>
  <c r="E355" i="77"/>
  <c r="E356" i="77"/>
  <c r="E357" i="77"/>
  <c r="E358" i="77"/>
  <c r="E359" i="77"/>
  <c r="E360" i="77"/>
  <c r="E361" i="77"/>
  <c r="E364" i="77"/>
  <c r="E365" i="77"/>
  <c r="E8" i="77" l="1"/>
  <c r="E327" i="77"/>
  <c r="E19" i="77"/>
  <c r="E272" i="77"/>
  <c r="E49" i="77"/>
  <c r="E55" i="77"/>
  <c r="E306" i="77"/>
  <c r="E207" i="77"/>
  <c r="E153" i="77"/>
  <c r="E109" i="77"/>
  <c r="G379" i="77"/>
  <c r="E105" i="77"/>
  <c r="E255" i="77"/>
  <c r="E62" i="77"/>
  <c r="E265" i="77"/>
  <c r="E25" i="77"/>
  <c r="E326" i="77"/>
  <c r="E280" i="77"/>
  <c r="E278" i="77"/>
  <c r="E65" i="77"/>
  <c r="E64" i="77"/>
  <c r="E283" i="77"/>
  <c r="E282" i="77"/>
  <c r="E91" i="77"/>
  <c r="E90" i="77"/>
  <c r="E13" i="77"/>
  <c r="E12" i="77"/>
  <c r="E263" i="77"/>
  <c r="E197" i="77"/>
  <c r="E52" i="77"/>
  <c r="E33" i="77"/>
  <c r="E32" i="77"/>
  <c r="E21" i="77"/>
  <c r="E20" i="77"/>
  <c r="E299" i="77"/>
  <c r="E298" i="77"/>
  <c r="E296" i="77"/>
  <c r="E297" i="77"/>
  <c r="E295" i="77"/>
  <c r="E294" i="77"/>
  <c r="E292" i="77"/>
  <c r="E123" i="77"/>
  <c r="E57" i="77"/>
  <c r="E56" i="77"/>
  <c r="E273" i="77"/>
  <c r="E63" i="77"/>
  <c r="E67" i="77" l="1"/>
  <c r="E269" i="77"/>
  <c r="E293" i="77"/>
  <c r="E53" i="77"/>
  <c r="E281" i="77"/>
  <c r="E11" i="77"/>
  <c r="E279" i="77"/>
</calcChain>
</file>

<file path=xl/sharedStrings.xml><?xml version="1.0" encoding="utf-8"?>
<sst xmlns="http://schemas.openxmlformats.org/spreadsheetml/2006/main" count="793" uniqueCount="223">
  <si>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</si>
  <si>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</si>
  <si>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</si>
  <si>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</si>
  <si>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</si>
  <si>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</si>
  <si>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</si>
  <si>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</si>
  <si>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</si>
  <si>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</si>
  <si>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</si>
  <si>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</si>
  <si>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</si>
  <si>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教育委員会事務局　</t>
    <rPh sb="0" eb="2">
      <t>ショゾク</t>
    </rPh>
    <rPh sb="2" eb="3">
      <t>メイ</t>
    </rPh>
    <rPh sb="4" eb="6">
      <t>キョウイク</t>
    </rPh>
    <rPh sb="6" eb="9">
      <t>イインカイ</t>
    </rPh>
    <rPh sb="9" eb="12">
      <t>ジムキョク</t>
    </rPh>
    <phoneticPr fontId="3"/>
  </si>
  <si>
    <t>教育委員の報酬及び旅費</t>
  </si>
  <si>
    <t>総務課</t>
  </si>
  <si>
    <t>教職員給与・
厚生担当</t>
  </si>
  <si>
    <t>庶務事務費</t>
  </si>
  <si>
    <t>出</t>
  </si>
  <si>
    <t>税</t>
  </si>
  <si>
    <t>就学対策費</t>
  </si>
  <si>
    <t>学事課　他</t>
  </si>
  <si>
    <t>区ＣＭ</t>
  </si>
  <si>
    <t>区CM出</t>
  </si>
  <si>
    <t>区CM税</t>
  </si>
  <si>
    <t>大阪市奨学費</t>
  </si>
  <si>
    <t>学校運営支援
センター
（事務管理担当）</t>
  </si>
  <si>
    <t>教職員人事事務費</t>
  </si>
  <si>
    <t>教職員人事担当</t>
  </si>
  <si>
    <t>大阪市立学校における校長公募の実施・民間人校長フォロー体制の強化</t>
  </si>
  <si>
    <t>学校現場の負担軽減と校長のマネジメントの確立</t>
  </si>
  <si>
    <t>教職員給与事務費</t>
  </si>
  <si>
    <t>教職員児童手当</t>
  </si>
  <si>
    <t>学校運営支援
センター
（給与・システム担当）</t>
  </si>
  <si>
    <t>教職員被服貸与</t>
  </si>
  <si>
    <t>教職員相談事業等</t>
  </si>
  <si>
    <t>学校選択制関係事務費</t>
  </si>
  <si>
    <t>学事課</t>
  </si>
  <si>
    <t>キッズプラザ大阪建物賃借料等</t>
  </si>
  <si>
    <t>生涯学習担当</t>
  </si>
  <si>
    <t>学校給食費の管理（食材費等）</t>
  </si>
  <si>
    <t>学校運営支援
センター
（学務担当）　他</t>
  </si>
  <si>
    <t>教育活動支援担当</t>
  </si>
  <si>
    <t>教育政策課</t>
  </si>
  <si>
    <t>学校元気アップ地域本部事業</t>
  </si>
  <si>
    <t>特別支援教育費</t>
  </si>
  <si>
    <t>国際理解教育振興費</t>
  </si>
  <si>
    <t>運動・文化部活動等振興費</t>
  </si>
  <si>
    <t>中学校給食事業</t>
  </si>
  <si>
    <t>学校活性化推進事業</t>
  </si>
  <si>
    <t>指導振興費</t>
  </si>
  <si>
    <t>特別支援教育の充実</t>
  </si>
  <si>
    <t>施設一体型小中一貫校等の整備（小中一貫校の特色化等について）</t>
  </si>
  <si>
    <t>教育活動支援担当
教職員人事担当</t>
  </si>
  <si>
    <t>生活指導サポートセンターの運営</t>
  </si>
  <si>
    <t>部活動指導員活用事業</t>
  </si>
  <si>
    <t>保健体育担当</t>
  </si>
  <si>
    <t>小学校学力経年調査に基づく学習支援事業</t>
  </si>
  <si>
    <t>生野区西部地域の学校再編の推進</t>
  </si>
  <si>
    <t>大阪市版スクールロイヤー事業</t>
  </si>
  <si>
    <t>ブロック化による学校支援事業</t>
  </si>
  <si>
    <t>スマートスクール次世代学校支援事業</t>
  </si>
  <si>
    <t>教職員資質向上方策の推進</t>
  </si>
  <si>
    <t>校務支援・学校教育へのＩＣＴ活用事業</t>
  </si>
  <si>
    <t>学校力ＵＰベース事業（習熟度別少人数授業）</t>
  </si>
  <si>
    <t>学力向上支援サポーター配置事業（「新しい生活様式」を踏まえた学校における感染症対策）</t>
  </si>
  <si>
    <t>研修事業</t>
  </si>
  <si>
    <t>教育センター</t>
  </si>
  <si>
    <t>研究事業</t>
  </si>
  <si>
    <t>情報教育研究事業</t>
  </si>
  <si>
    <t>情報教育推進事業</t>
  </si>
  <si>
    <t>大阪市教師養成講座</t>
  </si>
  <si>
    <t>道徳教育推進事業</t>
  </si>
  <si>
    <t>教育センターの機能充実</t>
  </si>
  <si>
    <t>一般維持管理費</t>
  </si>
  <si>
    <t>非常勤講師等の報酬</t>
  </si>
  <si>
    <t>研修指導教員配置</t>
  </si>
  <si>
    <t>事故職員の補充等</t>
  </si>
  <si>
    <t>教職員人事担当　他</t>
  </si>
  <si>
    <t>学校機械警備業務委託事業</t>
  </si>
  <si>
    <t>施設整備課</t>
  </si>
  <si>
    <t>教職員の旅費</t>
  </si>
  <si>
    <t>児童生徒就学費補助金等</t>
  </si>
  <si>
    <t>学校運営支援
センター
（事務管理担当）　他</t>
  </si>
  <si>
    <t>日本スポーツ振興センター負担金</t>
  </si>
  <si>
    <t>通学タクシー等運行業務</t>
  </si>
  <si>
    <t>校地借地料</t>
  </si>
  <si>
    <t>学校給食食材調達費</t>
  </si>
  <si>
    <t>学校給食調理業務民間委託事業</t>
  </si>
  <si>
    <t>一般維持運営費</t>
  </si>
  <si>
    <t>学校運営支援
センター
（学務担当）</t>
  </si>
  <si>
    <t>ＡＥＤの整備</t>
  </si>
  <si>
    <t>小・中学校校舎の壁面緑化</t>
  </si>
  <si>
    <t>スクールサポートスタッフ配置事業</t>
  </si>
  <si>
    <t>スクールサポートスタッフ配置事業（「新しい生活様式」を踏まえた学校における感染症対策）</t>
  </si>
  <si>
    <t>学校指定寄附金を活用した教育環境充実事業</t>
  </si>
  <si>
    <t>キャリア教育推進事業</t>
  </si>
  <si>
    <t>「大阪市版チャレンジテストｐｌｕｓ」実施事業</t>
  </si>
  <si>
    <t>社会教育の企画推進</t>
  </si>
  <si>
    <t>生涯学習の推進</t>
  </si>
  <si>
    <t>ＰＴＡ育成</t>
  </si>
  <si>
    <t>人権啓発普及事業等</t>
  </si>
  <si>
    <t>子どもたちへの吹奏楽普及推進事業</t>
  </si>
  <si>
    <t>総合生涯学習センター・市民学習センター管理運営費等</t>
  </si>
  <si>
    <t>大阪国際平和センター運営補助</t>
  </si>
  <si>
    <t>文化遺産の保存と顕彰</t>
  </si>
  <si>
    <t>文化財保護課</t>
  </si>
  <si>
    <t>埋蔵文化財の保存と活用等</t>
  </si>
  <si>
    <t>図書館運営費（中央図書館）</t>
  </si>
  <si>
    <t>中央図書館
総務担当</t>
  </si>
  <si>
    <t>図書館運営費（地域図書館）</t>
  </si>
  <si>
    <t>図書及資料費</t>
  </si>
  <si>
    <t>図書館情報ネットワークシステム事業</t>
  </si>
  <si>
    <t>学校図書館活用推進事業</t>
  </si>
  <si>
    <t>大阪市史編纂事業等</t>
  </si>
  <si>
    <t>就学時健康診断費</t>
  </si>
  <si>
    <t>児童生徒保健対策費</t>
  </si>
  <si>
    <t>教職員保健対策費</t>
  </si>
  <si>
    <t>学校保健推進事業等</t>
  </si>
  <si>
    <t>マイナンバー制度導入に伴う学校医療券の情報提供用中間サーバ接続端末設置費</t>
  </si>
  <si>
    <t>標準献立作成費等</t>
  </si>
  <si>
    <t>給食衛生管理費</t>
  </si>
  <si>
    <t>体育部活動育成等</t>
  </si>
  <si>
    <t>児童・生徒数の増加に伴う新増築事業</t>
  </si>
  <si>
    <t>特別教室等整備事業</t>
  </si>
  <si>
    <t>講堂兼体育館整備事業</t>
  </si>
  <si>
    <t>老朽鉄筋校舎改築事業</t>
  </si>
  <si>
    <t>児童生徒の急増に伴う教育環境改善</t>
  </si>
  <si>
    <t>校舎補修等整備事業</t>
  </si>
  <si>
    <t>特別支援学級教室改造</t>
  </si>
  <si>
    <t>特別支援教育設備等</t>
  </si>
  <si>
    <t>理科教育設備等整備事業</t>
  </si>
  <si>
    <t>学校設備整備事業等</t>
  </si>
  <si>
    <t>教育ＩＣＴネットワークシステム統合・利活用推進事業</t>
  </si>
  <si>
    <t>もと青少年会館の財産管理及び財産処分業務</t>
  </si>
  <si>
    <t>大阪国際平和センター設備改修等補助</t>
  </si>
  <si>
    <t>（仮称）区画整理記念・交流会館整備事業</t>
  </si>
  <si>
    <t>中央図書館
総務担当　他</t>
  </si>
  <si>
    <t>教職員情報システム統合認証システム運用</t>
  </si>
  <si>
    <t>クラフトパーク設備改修</t>
  </si>
  <si>
    <t>学校施設等におけるブロック塀の安全対策事業</t>
  </si>
  <si>
    <t>国産木材を活用した小中学校等における机・椅子整備事業</t>
  </si>
  <si>
    <t>ＰＣＢ（ポリ塩化ビフェニル）廃棄物処理事業</t>
  </si>
  <si>
    <t>「新・大阪市総合教育センター（仮称）」建設事業</t>
  </si>
  <si>
    <t>用地買収事業</t>
  </si>
  <si>
    <t>保健体育担当</t>
    <rPh sb="0" eb="2">
      <t>ホケン</t>
    </rPh>
    <rPh sb="2" eb="4">
      <t>タイイク</t>
    </rPh>
    <rPh sb="4" eb="6">
      <t>タントウ</t>
    </rPh>
    <phoneticPr fontId="4"/>
  </si>
  <si>
    <t>生活指導支援員の配置等事業</t>
    <phoneticPr fontId="4"/>
  </si>
  <si>
    <t>外国につながる児童生徒の受入れ・共生のための教育推進事業</t>
    <phoneticPr fontId="4"/>
  </si>
  <si>
    <t>学校教育ＩＣＴ活用事業（新型コロナウイルス感染症対策）</t>
    <rPh sb="21" eb="24">
      <t>カンセンショウ</t>
    </rPh>
    <rPh sb="24" eb="26">
      <t>タイサク</t>
    </rPh>
    <phoneticPr fontId="4"/>
  </si>
  <si>
    <t>学校教育ＩＣＴ活用事業（新型コロナウイルス感染症対策）</t>
    <rPh sb="21" eb="24">
      <t>カンセンショウ</t>
    </rPh>
    <phoneticPr fontId="4"/>
  </si>
  <si>
    <t>新型コロナウイルス感染症対策のための衛生環境整備支援事業</t>
    <rPh sb="0" eb="2">
      <t>シンガタ</t>
    </rPh>
    <phoneticPr fontId="4"/>
  </si>
  <si>
    <t>不登校特例校の設置</t>
    <phoneticPr fontId="4"/>
  </si>
  <si>
    <t>共同学校事務室運営費</t>
    <rPh sb="0" eb="2">
      <t>キョウドウ</t>
    </rPh>
    <rPh sb="2" eb="4">
      <t>ガッコウ</t>
    </rPh>
    <rPh sb="4" eb="7">
      <t>ジムシツ</t>
    </rPh>
    <rPh sb="7" eb="10">
      <t>ウンエイヒ</t>
    </rPh>
    <phoneticPr fontId="4"/>
  </si>
  <si>
    <t>子どもの体力向上支援事業</t>
    <rPh sb="0" eb="1">
      <t>コ</t>
    </rPh>
    <rPh sb="4" eb="6">
      <t>タイリョク</t>
    </rPh>
    <rPh sb="6" eb="8">
      <t>コウジョウ</t>
    </rPh>
    <rPh sb="8" eb="12">
      <t>シエンジギョウ</t>
    </rPh>
    <phoneticPr fontId="4"/>
  </si>
  <si>
    <t>保健体育担当</t>
    <rPh sb="0" eb="6">
      <t>ホケンタイイクタントウ</t>
    </rPh>
    <phoneticPr fontId="4"/>
  </si>
  <si>
    <t>プールの民間委託事業</t>
    <rPh sb="4" eb="6">
      <t>ミンカン</t>
    </rPh>
    <rPh sb="6" eb="10">
      <t>イタクジギョウ</t>
    </rPh>
    <phoneticPr fontId="4"/>
  </si>
  <si>
    <t>システム標準化移行関係経費</t>
    <rPh sb="4" eb="7">
      <t>ヒョウジュンカ</t>
    </rPh>
    <rPh sb="7" eb="9">
      <t>イコウ</t>
    </rPh>
    <rPh sb="9" eb="11">
      <t>カンケイ</t>
    </rPh>
    <rPh sb="11" eb="13">
      <t>ケイヒ</t>
    </rPh>
    <phoneticPr fontId="4"/>
  </si>
  <si>
    <t>教職員の旅費（府立学校派遣）</t>
    <rPh sb="0" eb="3">
      <t>キョウショクイン</t>
    </rPh>
    <rPh sb="4" eb="6">
      <t>リョヒ</t>
    </rPh>
    <rPh sb="7" eb="11">
      <t>フリツガッコウ</t>
    </rPh>
    <rPh sb="11" eb="13">
      <t>ハケン</t>
    </rPh>
    <phoneticPr fontId="4"/>
  </si>
  <si>
    <t>施設整備課</t>
    <phoneticPr fontId="4"/>
  </si>
  <si>
    <t>学力向上支援チーム事業</t>
    <rPh sb="0" eb="4">
      <t>ガクリョクコウジョウ</t>
    </rPh>
    <rPh sb="4" eb="6">
      <t>シエン</t>
    </rPh>
    <rPh sb="9" eb="11">
      <t>ジギョウ</t>
    </rPh>
    <phoneticPr fontId="4"/>
  </si>
  <si>
    <t>ひとにやさしいまちづくり整備事業</t>
    <phoneticPr fontId="4"/>
  </si>
  <si>
    <t>教育政策課　他</t>
    <rPh sb="6" eb="7">
      <t>ホカ</t>
    </rPh>
    <phoneticPr fontId="4"/>
  </si>
  <si>
    <t>教育活動支援担当
教職員人事担当</t>
    <phoneticPr fontId="4"/>
  </si>
  <si>
    <t>いじめ・不登校・児童虐待等防止対策</t>
    <phoneticPr fontId="4"/>
  </si>
  <si>
    <t>教育支援センターの運営</t>
    <rPh sb="0" eb="4">
      <t>キョウイクシエン</t>
    </rPh>
    <rPh sb="9" eb="11">
      <t>ウンエイ</t>
    </rPh>
    <phoneticPr fontId="4"/>
  </si>
  <si>
    <t>ヤングケアラー支援推進事業（スクールソーシャルワーカー）</t>
    <rPh sb="7" eb="9">
      <t>シエン</t>
    </rPh>
    <rPh sb="9" eb="11">
      <t>スイシン</t>
    </rPh>
    <rPh sb="11" eb="13">
      <t>ジギョウ</t>
    </rPh>
    <phoneticPr fontId="4"/>
  </si>
  <si>
    <t>課題解決支援員（スクールソーシャルワーカー）の配置</t>
    <rPh sb="0" eb="2">
      <t>カダイ</t>
    </rPh>
    <rPh sb="2" eb="7">
      <t>カイケツシエンイン</t>
    </rPh>
    <rPh sb="23" eb="25">
      <t>ハイチ</t>
    </rPh>
    <phoneticPr fontId="4"/>
  </si>
  <si>
    <t>大阪・関西万博にかかる学校園への啓発及び参加事業</t>
    <rPh sb="0" eb="2">
      <t>オオサカ</t>
    </rPh>
    <rPh sb="3" eb="5">
      <t>カンサイ</t>
    </rPh>
    <rPh sb="5" eb="7">
      <t>バンパク</t>
    </rPh>
    <rPh sb="11" eb="13">
      <t>ガッコウ</t>
    </rPh>
    <rPh sb="13" eb="14">
      <t>エン</t>
    </rPh>
    <rPh sb="16" eb="18">
      <t>ケイハツ</t>
    </rPh>
    <rPh sb="18" eb="19">
      <t>オヨ</t>
    </rPh>
    <rPh sb="20" eb="22">
      <t>サンカ</t>
    </rPh>
    <rPh sb="22" eb="24">
      <t>ジギョウ</t>
    </rPh>
    <phoneticPr fontId="4"/>
  </si>
  <si>
    <t>部活動の地域移行事業</t>
    <rPh sb="4" eb="6">
      <t>チイキ</t>
    </rPh>
    <rPh sb="6" eb="8">
      <t>イコウ</t>
    </rPh>
    <rPh sb="8" eb="10">
      <t>ジギョウ</t>
    </rPh>
    <phoneticPr fontId="4"/>
  </si>
  <si>
    <t>保健体育担当</t>
    <rPh sb="0" eb="2">
      <t>ホケン</t>
    </rPh>
    <rPh sb="2" eb="4">
      <t>タイイク</t>
    </rPh>
    <rPh sb="4" eb="6">
      <t>タントウ</t>
    </rPh>
    <phoneticPr fontId="4"/>
  </si>
  <si>
    <t>採点支援システムの導入</t>
    <rPh sb="0" eb="2">
      <t>サイテン</t>
    </rPh>
    <rPh sb="2" eb="4">
      <t>シエン</t>
    </rPh>
    <rPh sb="9" eb="11">
      <t>ドウニュウ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</si>
  <si>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</si>
  <si>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ワークライフバランス支援員の配置</t>
    <rPh sb="10" eb="13">
      <t>シエンイン</t>
    </rPh>
    <rPh sb="14" eb="16">
      <t>ハイチ</t>
    </rPh>
    <phoneticPr fontId="4"/>
  </si>
  <si>
    <t>教職員人事担当</t>
    <rPh sb="0" eb="3">
      <t>キョウショクイン</t>
    </rPh>
    <rPh sb="3" eb="5">
      <t>ジンジ</t>
    </rPh>
    <rPh sb="5" eb="7">
      <t>タントウ</t>
    </rPh>
    <phoneticPr fontId="4"/>
  </si>
  <si>
    <t>中央図書館
総務担当</t>
    <rPh sb="0" eb="2">
      <t>チュウオウ</t>
    </rPh>
    <rPh sb="2" eb="5">
      <t>トショカン</t>
    </rPh>
    <rPh sb="6" eb="8">
      <t>ソウム</t>
    </rPh>
    <rPh sb="8" eb="10">
      <t>タントウ</t>
    </rPh>
    <phoneticPr fontId="4"/>
  </si>
  <si>
    <t>図書館情報ネットワークシステム更新</t>
    <rPh sb="15" eb="17">
      <t>コウシン</t>
    </rPh>
    <phoneticPr fontId="4"/>
  </si>
  <si>
    <t>教育活動支援担当　他</t>
    <phoneticPr fontId="4"/>
  </si>
  <si>
    <t>欠席連絡等アプリの導入</t>
    <rPh sb="0" eb="4">
      <t>ケッセキレンラク</t>
    </rPh>
    <rPh sb="4" eb="5">
      <t>トウ</t>
    </rPh>
    <rPh sb="9" eb="11">
      <t>ドウニュウ</t>
    </rPh>
    <phoneticPr fontId="4"/>
  </si>
  <si>
    <t>学校給食費の管理（給食費の無償化）</t>
    <rPh sb="9" eb="12">
      <t>キュウショクヒ</t>
    </rPh>
    <rPh sb="13" eb="16">
      <t>ムショウカ</t>
    </rPh>
    <phoneticPr fontId="4"/>
  </si>
  <si>
    <t>総務課
教育政策課</t>
    <rPh sb="4" eb="6">
      <t>キョウイク</t>
    </rPh>
    <rPh sb="6" eb="8">
      <t>セイサク</t>
    </rPh>
    <rPh sb="8" eb="9">
      <t>カ</t>
    </rPh>
    <phoneticPr fontId="4"/>
  </si>
  <si>
    <t>総務課
教育政策課</t>
    <rPh sb="4" eb="9">
      <t>キョウイクセイサクカ</t>
    </rPh>
    <phoneticPr fontId="4"/>
  </si>
  <si>
    <t>学校運営支援
センター
（事務管理担当）
（給与・システム担当）</t>
    <rPh sb="22" eb="24">
      <t>キュウヨ</t>
    </rPh>
    <rPh sb="29" eb="31">
      <t>タントウ</t>
    </rPh>
    <phoneticPr fontId="4"/>
  </si>
  <si>
    <t>学校運営支援
センター
（学務担当）</t>
    <phoneticPr fontId="4"/>
  </si>
  <si>
    <t>学校運営支援センター運営費等</t>
    <rPh sb="13" eb="14">
      <t>トウ</t>
    </rPh>
    <phoneticPr fontId="4"/>
  </si>
  <si>
    <t>保健体育担当
教育活動支援担当</t>
    <rPh sb="7" eb="9">
      <t>キョウイク</t>
    </rPh>
    <rPh sb="9" eb="11">
      <t>カツドウ</t>
    </rPh>
    <rPh sb="11" eb="13">
      <t>シエン</t>
    </rPh>
    <rPh sb="13" eb="15">
      <t>タントウ</t>
    </rPh>
    <phoneticPr fontId="4"/>
  </si>
  <si>
    <t>教育活動支援担当
総務課</t>
    <rPh sb="9" eb="12">
      <t>ソウムカ</t>
    </rPh>
    <phoneticPr fontId="4"/>
  </si>
  <si>
    <t>保健体育担当
教職員給与・
厚生担当</t>
    <rPh sb="7" eb="10">
      <t>キョウショクイン</t>
    </rPh>
    <rPh sb="10" eb="12">
      <t>キュウヨ</t>
    </rPh>
    <rPh sb="14" eb="16">
      <t>コウセイ</t>
    </rPh>
    <rPh sb="16" eb="18">
      <t>タントウ</t>
    </rPh>
    <phoneticPr fontId="4"/>
  </si>
  <si>
    <t>教育活動支援担当
初等・中学校
教育担当</t>
    <rPh sb="9" eb="11">
      <t>ショトウ</t>
    </rPh>
    <rPh sb="12" eb="15">
      <t>チュウガッコウ</t>
    </rPh>
    <rPh sb="16" eb="18">
      <t>キョウイク</t>
    </rPh>
    <rPh sb="18" eb="20">
      <t>タントウ</t>
    </rPh>
    <phoneticPr fontId="4"/>
  </si>
  <si>
    <t>初等・中学校
教育担当
教育センター</t>
    <rPh sb="0" eb="2">
      <t>ショトウ</t>
    </rPh>
    <rPh sb="3" eb="6">
      <t>チュウガッコウ</t>
    </rPh>
    <rPh sb="7" eb="9">
      <t>キョウイク</t>
    </rPh>
    <rPh sb="9" eb="11">
      <t>タントウ</t>
    </rPh>
    <phoneticPr fontId="4"/>
  </si>
  <si>
    <t>教職員給与・
厚生担当
学校運営支援
センター
（給与・システム担当）</t>
    <rPh sb="12" eb="18">
      <t>ガッコウウンエイシエン</t>
    </rPh>
    <rPh sb="25" eb="27">
      <t>キュウヨ</t>
    </rPh>
    <rPh sb="32" eb="34">
      <t>タントウ</t>
    </rPh>
    <phoneticPr fontId="4"/>
  </si>
  <si>
    <t>教育振興基金積立金</t>
    <phoneticPr fontId="4"/>
  </si>
  <si>
    <t>田村教育振興基金積立金</t>
    <phoneticPr fontId="4"/>
  </si>
  <si>
    <t>総務課</t>
    <rPh sb="0" eb="3">
      <t>ソウムカ</t>
    </rPh>
    <phoneticPr fontId="4"/>
  </si>
  <si>
    <t>コンピュータ機器借上等</t>
    <phoneticPr fontId="4"/>
  </si>
  <si>
    <t>校園ネットワーク業務システム等運用費</t>
    <phoneticPr fontId="4"/>
  </si>
  <si>
    <t>予 算 案 ②</t>
  </si>
  <si>
    <t>教育活動支援担当
学校運営支援
センター
（給与・システム担当）</t>
    <rPh sb="9" eb="11">
      <t>ガッコウ</t>
    </rPh>
    <rPh sb="11" eb="13">
      <t>ウンエイ</t>
    </rPh>
    <rPh sb="13" eb="15">
      <t>シエン</t>
    </rPh>
    <rPh sb="22" eb="24">
      <t>キュウヨ</t>
    </rPh>
    <rPh sb="29" eb="31">
      <t>タントウ</t>
    </rPh>
    <phoneticPr fontId="4"/>
  </si>
  <si>
    <t>次世代の学校を担う人材の確保・育成</t>
    <phoneticPr fontId="4"/>
  </si>
  <si>
    <t>大阪市こどもサポートネット（スクールソーシャルワーカーの配置）</t>
    <phoneticPr fontId="4"/>
  </si>
  <si>
    <t>校務支援・学校教育へのＩＣＴ活用事業</t>
    <phoneticPr fontId="4"/>
  </si>
  <si>
    <t>事業所整備事業等（学校教育）</t>
    <phoneticPr fontId="4"/>
  </si>
  <si>
    <t>事業所整備事業等（社会教育）</t>
    <phoneticPr fontId="4"/>
  </si>
  <si>
    <t>学校運営支援
センター
（給与・システム担当）</t>
    <phoneticPr fontId="4"/>
  </si>
  <si>
    <t>学事課
学校運営支援
センター
（給与・システム担当）</t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</si>
  <si>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</si>
  <si>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</si>
  <si>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総合教育センターを活用した教員の資質・教職の魅力向上事業</t>
    <rPh sb="0" eb="4">
      <t>ソウゴウキョウイク</t>
    </rPh>
    <rPh sb="9" eb="11">
      <t>カツヨウ</t>
    </rPh>
    <rPh sb="13" eb="15">
      <t>キョウイン</t>
    </rPh>
    <rPh sb="16" eb="18">
      <t>シシツ</t>
    </rPh>
    <rPh sb="19" eb="21">
      <t>キョウショク</t>
    </rPh>
    <rPh sb="22" eb="24">
      <t>ミリョク</t>
    </rPh>
    <rPh sb="24" eb="26">
      <t>コウジョウ</t>
    </rPh>
    <rPh sb="26" eb="28">
      <t>ジギョウ</t>
    </rPh>
    <phoneticPr fontId="4"/>
  </si>
  <si>
    <t>学びの多様化学校（不登校特例校）等の運営</t>
    <rPh sb="0" eb="1">
      <t>マナ</t>
    </rPh>
    <rPh sb="3" eb="6">
      <t>タヨウカ</t>
    </rPh>
    <rPh sb="6" eb="8">
      <t>ガッコウ</t>
    </rPh>
    <rPh sb="9" eb="15">
      <t>フトウコウトクレイコウ</t>
    </rPh>
    <rPh sb="16" eb="17">
      <t>トウ</t>
    </rPh>
    <rPh sb="18" eb="20">
      <t>ウンエイ</t>
    </rPh>
    <phoneticPr fontId="4"/>
  </si>
  <si>
    <t>教育活動支援担当</t>
    <rPh sb="0" eb="8">
      <t>キョウイクカツドウシエンタントウ</t>
    </rPh>
    <phoneticPr fontId="4"/>
  </si>
  <si>
    <t>校内教育支援センター（スペシャルサポートルーム）のモデル設置</t>
    <rPh sb="0" eb="2">
      <t>コウナイ</t>
    </rPh>
    <rPh sb="2" eb="6">
      <t>キョウイクシエン</t>
    </rPh>
    <rPh sb="28" eb="30">
      <t>セッチ</t>
    </rPh>
    <phoneticPr fontId="4"/>
  </si>
  <si>
    <t>教育政策課
教育センター
教職員人事担当</t>
    <rPh sb="0" eb="2">
      <t>キョウイク</t>
    </rPh>
    <rPh sb="2" eb="4">
      <t>セイサク</t>
    </rPh>
    <rPh sb="4" eb="5">
      <t>カ</t>
    </rPh>
    <rPh sb="6" eb="8">
      <t>キョウイク</t>
    </rPh>
    <rPh sb="13" eb="16">
      <t>キョウショクイン</t>
    </rPh>
    <rPh sb="16" eb="18">
      <t>ジンジ</t>
    </rPh>
    <rPh sb="18" eb="20">
      <t>タントウ</t>
    </rPh>
    <phoneticPr fontId="4"/>
  </si>
  <si>
    <t>総合教育センター庁舎土地賃借料</t>
    <rPh sb="0" eb="4">
      <t>ソウゴウキョウイク</t>
    </rPh>
    <rPh sb="8" eb="10">
      <t>チョウシャ</t>
    </rPh>
    <rPh sb="10" eb="12">
      <t>トチ</t>
    </rPh>
    <rPh sb="12" eb="15">
      <t>チンシャクリョウ</t>
    </rPh>
    <phoneticPr fontId="4"/>
  </si>
  <si>
    <t>事故職員＋検診協力医＋諸団体会費</t>
    <rPh sb="0" eb="4">
      <t>ジコショクイン</t>
    </rPh>
    <rPh sb="5" eb="10">
      <t>ケンシンキョウリョクイ</t>
    </rPh>
    <rPh sb="11" eb="14">
      <t>ショダンタイ</t>
    </rPh>
    <rPh sb="14" eb="16">
      <t>カイヒ</t>
    </rPh>
    <phoneticPr fontId="4"/>
  </si>
  <si>
    <t>就援＋公共交通機関</t>
    <rPh sb="0" eb="2">
      <t>シュウエン</t>
    </rPh>
    <rPh sb="3" eb="7">
      <t>コウキョウコウツウ</t>
    </rPh>
    <rPh sb="7" eb="9">
      <t>キカン</t>
    </rPh>
    <phoneticPr fontId="4"/>
  </si>
  <si>
    <t>学習動画コンテンツ配信モデル事業</t>
    <rPh sb="0" eb="4">
      <t>ガクシュウドウガ</t>
    </rPh>
    <rPh sb="9" eb="11">
      <t>ハイシン</t>
    </rPh>
    <rPh sb="14" eb="16">
      <t>ジギョウ</t>
    </rPh>
    <phoneticPr fontId="4"/>
  </si>
  <si>
    <t>教育活動支援担当</t>
    <rPh sb="0" eb="2">
      <t>キョウイク</t>
    </rPh>
    <rPh sb="2" eb="8">
      <t>カツドウシエンタントウ</t>
    </rPh>
    <phoneticPr fontId="4"/>
  </si>
  <si>
    <t>区CM出</t>
    <phoneticPr fontId="4"/>
  </si>
  <si>
    <t>教育活動支援担当　他</t>
    <rPh sb="0" eb="2">
      <t>キョウイク</t>
    </rPh>
    <rPh sb="2" eb="4">
      <t>カツドウ</t>
    </rPh>
    <rPh sb="4" eb="6">
      <t>シエン</t>
    </rPh>
    <rPh sb="6" eb="8">
      <t>タントウ</t>
    </rPh>
    <phoneticPr fontId="4"/>
  </si>
  <si>
    <t>システムを活用した学校給食アレルギー対応の最適化事業</t>
    <phoneticPr fontId="4"/>
  </si>
  <si>
    <t>総合体育大会</t>
    <phoneticPr fontId="4"/>
  </si>
  <si>
    <t>ＳＮＳの活用による児童生徒相談事業</t>
    <rPh sb="15" eb="17">
      <t>ジギョウ</t>
    </rPh>
    <phoneticPr fontId="4"/>
  </si>
  <si>
    <t>所属計</t>
    <rPh sb="0" eb="2">
      <t>ショゾク</t>
    </rPh>
    <rPh sb="2" eb="3">
      <t>ケイ</t>
    </rPh>
    <phoneticPr fontId="4"/>
  </si>
  <si>
    <t>学校運営支援
センター
（給与・システム担当）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</si>
</sst>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vertical="center" shrinkToFit="1"/>
    </xf>
    <xf numFmtId="178" fontId="6" fillId="0" borderId="8" xfId="3" applyNumberFormat="1" applyFont="1" applyFill="1" applyBorder="1" applyAlignment="1">
      <alignment vertical="center" shrinkToFit="1"/>
    </xf>
    <xf numFmtId="177" fontId="6" fillId="0" borderId="7" xfId="3" applyNumberFormat="1" applyFont="1" applyFill="1" applyBorder="1" applyAlignment="1">
      <alignment vertical="center" shrinkToFit="1"/>
    </xf>
    <xf numFmtId="176" fontId="6" fillId="0" borderId="9" xfId="3" applyNumberFormat="1" applyFont="1" applyFill="1" applyBorder="1" applyAlignment="1">
      <alignment vertical="center" shrinkToFit="1"/>
    </xf>
    <xf numFmtId="178" fontId="6" fillId="0" borderId="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8" fontId="6" fillId="0" borderId="12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176" fontId="6" fillId="0" borderId="19" xfId="3" applyNumberFormat="1" applyFont="1" applyFill="1" applyBorder="1" applyAlignment="1">
      <alignment vertical="center" shrinkToFit="1"/>
    </xf>
    <xf numFmtId="176" fontId="6" fillId="0" borderId="9" xfId="3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38" fontId="6" fillId="0" borderId="10" xfId="1" applyFont="1" applyFill="1" applyBorder="1" applyAlignment="1"/>
    <xf numFmtId="0" fontId="11" fillId="0" borderId="0" xfId="0" applyFont="1" applyFill="1" applyAlignment="1">
      <alignment horizontal="right" vertical="center"/>
    </xf>
    <xf numFmtId="176" fontId="6" fillId="0" borderId="10" xfId="3" applyNumberFormat="1" applyFont="1" applyFill="1" applyBorder="1" applyAlignment="1">
      <alignment vertical="center" shrinkToFit="1"/>
    </xf>
    <xf numFmtId="177" fontId="6" fillId="0" borderId="8" xfId="3" applyNumberFormat="1" applyFont="1" applyFill="1" applyBorder="1" applyAlignment="1">
      <alignment vertical="center" shrinkToFit="1"/>
    </xf>
    <xf numFmtId="38" fontId="6" fillId="0" borderId="0" xfId="9" applyFont="1" applyFill="1" applyBorder="1" applyAlignment="1">
      <alignment horizontal="center" vertical="center"/>
    </xf>
    <xf numFmtId="38" fontId="6" fillId="0" borderId="0" xfId="9" applyFont="1" applyFill="1" applyAlignment="1">
      <alignment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2" fillId="0" borderId="24" xfId="8" applyFill="1" applyBorder="1" applyAlignment="1">
      <alignment vertical="center" wrapText="1"/>
    </xf>
    <xf numFmtId="0" fontId="12" fillId="0" borderId="23" xfId="8" applyFill="1" applyBorder="1" applyAlignment="1">
      <alignment vertical="center" wrapText="1"/>
    </xf>
    <xf numFmtId="0" fontId="12" fillId="0" borderId="26" xfId="8" applyFill="1" applyBorder="1" applyAlignment="1">
      <alignment horizontal="left" vertical="center" wrapText="1"/>
    </xf>
    <xf numFmtId="176" fontId="7" fillId="0" borderId="9" xfId="3" applyNumberFormat="1" applyFont="1" applyFill="1" applyBorder="1" applyAlignment="1">
      <alignment horizontal="center" vertical="center" wrapText="1"/>
    </xf>
    <xf numFmtId="176" fontId="7" fillId="0" borderId="7" xfId="3" applyNumberFormat="1" applyFont="1" applyFill="1" applyBorder="1" applyAlignment="1">
      <alignment horizontal="center" vertical="center" wrapText="1"/>
    </xf>
    <xf numFmtId="0" fontId="12" fillId="0" borderId="24" xfId="8" applyNumberFormat="1" applyFill="1" applyBorder="1" applyAlignment="1">
      <alignment horizontal="left" vertical="center" wrapText="1"/>
    </xf>
    <xf numFmtId="0" fontId="12" fillId="0" borderId="23" xfId="8" applyNumberFormat="1" applyFill="1" applyBorder="1" applyAlignment="1">
      <alignment horizontal="left" vertical="center" wrapText="1"/>
    </xf>
    <xf numFmtId="0" fontId="12" fillId="0" borderId="26" xfId="8" applyFill="1" applyBorder="1" applyAlignment="1">
      <alignment vertical="center" wrapText="1"/>
    </xf>
    <xf numFmtId="0" fontId="10" fillId="0" borderId="15" xfId="3" applyNumberFormat="1" applyFont="1" applyFill="1" applyBorder="1" applyAlignment="1">
      <alignment horizontal="right" vertical="center" wrapText="1"/>
    </xf>
    <xf numFmtId="0" fontId="12" fillId="0" borderId="0" xfId="8" applyAlignment="1">
      <alignment vertical="center"/>
    </xf>
    <xf numFmtId="0" fontId="7" fillId="0" borderId="22" xfId="3" applyNumberFormat="1" applyFont="1" applyFill="1" applyBorder="1" applyAlignment="1">
      <alignment horizontal="center" vertical="center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2" fillId="0" borderId="25" xfId="8" applyFill="1" applyBorder="1" applyAlignment="1">
      <alignment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12" fillId="0" borderId="20" xfId="8" applyFill="1" applyBorder="1" applyAlignment="1">
      <alignment vertical="center" wrapText="1"/>
    </xf>
    <xf numFmtId="0" fontId="12" fillId="0" borderId="21" xfId="8" applyFill="1" applyBorder="1" applyAlignment="1">
      <alignment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12" fillId="0" borderId="26" xfId="8" applyFill="1" applyBorder="1" applyAlignment="1">
      <alignment horizontal="left" vertical="center"/>
    </xf>
    <xf numFmtId="0" fontId="12" fillId="0" borderId="24" xfId="8" applyFill="1" applyBorder="1" applyAlignment="1">
      <alignment horizontal="left" vertical="center" wrapText="1"/>
    </xf>
    <xf numFmtId="0" fontId="12" fillId="0" borderId="23" xfId="8" applyFill="1" applyBorder="1" applyAlignment="1">
      <alignment horizontal="left" vertical="center" wrapText="1"/>
    </xf>
    <xf numFmtId="0" fontId="12" fillId="0" borderId="0" xfId="8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0" xfId="8" applyAlignment="1">
      <alignment horizontal="left" vertical="center" wrapText="1"/>
    </xf>
    <xf numFmtId="0" fontId="12" fillId="0" borderId="1" xfId="8" applyBorder="1" applyAlignment="1">
      <alignment wrapText="1"/>
    </xf>
    <xf numFmtId="0" fontId="12" fillId="0" borderId="28" xfId="8" applyBorder="1" applyAlignment="1">
      <alignment wrapText="1"/>
    </xf>
  </cellXfs>
  <cellStyles count="10">
    <cellStyle name="ハイパーリンク" xfId="8" builtinId="8"/>
    <cellStyle name="ハイパーリンク 2" xfId="7" xr:uid="{00000000-0005-0000-0000-000001000000}"/>
    <cellStyle name="桁区切り" xfId="9" builtinId="6"/>
    <cellStyle name="桁区切り 2" xfId="1" xr:uid="{00000000-0005-0000-0000-000003000000}"/>
    <cellStyle name="桁区切り 2 3" xfId="5" xr:uid="{00000000-0005-0000-0000-000004000000}"/>
    <cellStyle name="標準" xfId="0" builtinId="0"/>
    <cellStyle name="標準 17" xfId="4" xr:uid="{00000000-0005-0000-0000-000006000000}"/>
    <cellStyle name="標準 2" xfId="2" xr:uid="{00000000-0005-0000-0000-000007000000}"/>
    <cellStyle name="標準 3" xfId="6" xr:uid="{00000000-0005-0000-0000-000008000000}"/>
    <cellStyle name="標準_③予算事業別調書(目次様式)" xfId="3" xr:uid="{00000000-0005-0000-0000-000009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yoiku/cmsfiles/contents/0000615/615072/29.xlsx" TargetMode="External"/><Relationship Id="rId117" Type="http://schemas.openxmlformats.org/officeDocument/2006/relationships/hyperlink" Target="https://www.city.osaka.lg.jp/kyoiku/cmsfiles/contents/0000615/615072/134.xlsx" TargetMode="External"/><Relationship Id="rId21" Type="http://schemas.openxmlformats.org/officeDocument/2006/relationships/hyperlink" Target="https://www.city.osaka.lg.jp/kyoiku/cmsfiles/contents/0000615/615072/24.xlsx" TargetMode="External"/><Relationship Id="rId42" Type="http://schemas.openxmlformats.org/officeDocument/2006/relationships/hyperlink" Target="https://www.city.osaka.lg.jp/kyoiku/cmsfiles/contents/0000615/615072/45.xlsx" TargetMode="External"/><Relationship Id="rId47" Type="http://schemas.openxmlformats.org/officeDocument/2006/relationships/hyperlink" Target="https://www.city.osaka.lg.jp/kyoiku/cmsfiles/contents/0000615/615072/50.xlsx" TargetMode="External"/><Relationship Id="rId63" Type="http://schemas.openxmlformats.org/officeDocument/2006/relationships/hyperlink" Target="https://www.city.osaka.lg.jp/kyoiku/cmsfiles/contents/0000615/615072/69.xlsx" TargetMode="External"/><Relationship Id="rId68" Type="http://schemas.openxmlformats.org/officeDocument/2006/relationships/hyperlink" Target="https://www.city.osaka.lg.jp/kyoiku/cmsfiles/contents/0000615/615072/78.xlsx" TargetMode="External"/><Relationship Id="rId84" Type="http://schemas.openxmlformats.org/officeDocument/2006/relationships/hyperlink" Target="https://www.city.osaka.lg.jp/kyoiku/cmsfiles/contents/0000615/615072/95.xlsx" TargetMode="External"/><Relationship Id="rId89" Type="http://schemas.openxmlformats.org/officeDocument/2006/relationships/hyperlink" Target="https://www.city.osaka.lg.jp/kyoiku/cmsfiles/contents/0000615/615072/100.xlsx" TargetMode="External"/><Relationship Id="rId112" Type="http://schemas.openxmlformats.org/officeDocument/2006/relationships/hyperlink" Target="https://www.city.osaka.lg.jp/kyoiku/cmsfiles/contents/0000615/615072/127.xlsx" TargetMode="External"/><Relationship Id="rId133" Type="http://schemas.openxmlformats.org/officeDocument/2006/relationships/hyperlink" Target="https://www.city.osaka.lg.jp/kyoiku/cmsfiles/contents/0000615/615072/150.xlsx" TargetMode="External"/><Relationship Id="rId138" Type="http://schemas.openxmlformats.org/officeDocument/2006/relationships/hyperlink" Target="https://www.city.osaka.lg.jp/kyoiku/cmsfiles/contents/0000615/615072/155.xlsx" TargetMode="External"/><Relationship Id="rId154" Type="http://schemas.openxmlformats.org/officeDocument/2006/relationships/hyperlink" Target="https://www.city.osaka.lg.jp/kyoiku/cmsfiles/contents/0000615/615072/173.xlsx" TargetMode="External"/><Relationship Id="rId159" Type="http://schemas.openxmlformats.org/officeDocument/2006/relationships/hyperlink" Target="https://www.city.osaka.lg.jp/kyoiku/cmsfiles/contents/0000615/615072/180.xlsx" TargetMode="External"/><Relationship Id="rId170" Type="http://schemas.openxmlformats.org/officeDocument/2006/relationships/hyperlink" Target="https://www.city.osaka.lg.jp/kyoiku/cmsfiles/contents/0000615/615072/176.xlsx" TargetMode="External"/><Relationship Id="rId16" Type="http://schemas.openxmlformats.org/officeDocument/2006/relationships/hyperlink" Target="https://www.city.osaka.lg.jp/kyoiku/cmsfiles/contents/0000615/615072/19.xlsx" TargetMode="External"/><Relationship Id="rId107" Type="http://schemas.openxmlformats.org/officeDocument/2006/relationships/hyperlink" Target="https://www.city.osaka.lg.jp/kyoiku/cmsfiles/contents/0000615/615072/122.xlsx" TargetMode="External"/><Relationship Id="rId11" Type="http://schemas.openxmlformats.org/officeDocument/2006/relationships/hyperlink" Target="https://www.city.osaka.lg.jp/kyoiku/cmsfiles/contents/0000615/615072/14.xlsx" TargetMode="External"/><Relationship Id="rId32" Type="http://schemas.openxmlformats.org/officeDocument/2006/relationships/hyperlink" Target="https://www.city.osaka.lg.jp/kyoiku/cmsfiles/contents/0000615/615072/35.xlsx" TargetMode="External"/><Relationship Id="rId37" Type="http://schemas.openxmlformats.org/officeDocument/2006/relationships/hyperlink" Target="https://www.city.osaka.lg.jp/kyoiku/cmsfiles/contents/0000615/615072/40.xlsx" TargetMode="External"/><Relationship Id="rId53" Type="http://schemas.openxmlformats.org/officeDocument/2006/relationships/hyperlink" Target="https://www.city.osaka.lg.jp/kyoiku/cmsfiles/contents/0000615/615072/56.xlsx" TargetMode="External"/><Relationship Id="rId58" Type="http://schemas.openxmlformats.org/officeDocument/2006/relationships/hyperlink" Target="https://www.city.osaka.lg.jp/kyoiku/cmsfiles/contents/0000615/615072/64.xlsx" TargetMode="External"/><Relationship Id="rId74" Type="http://schemas.openxmlformats.org/officeDocument/2006/relationships/hyperlink" Target="https://www.city.osaka.lg.jp/kyoiku/cmsfiles/contents/0000615/615072/84.xlsx" TargetMode="External"/><Relationship Id="rId79" Type="http://schemas.openxmlformats.org/officeDocument/2006/relationships/hyperlink" Target="https://www.city.osaka.lg.jp/kyoiku/cmsfiles/contents/0000615/615072/90.xlsx" TargetMode="External"/><Relationship Id="rId102" Type="http://schemas.openxmlformats.org/officeDocument/2006/relationships/hyperlink" Target="https://www.city.osaka.lg.jp/kyoiku/cmsfiles/contents/0000615/615072/117.xlsx" TargetMode="External"/><Relationship Id="rId123" Type="http://schemas.openxmlformats.org/officeDocument/2006/relationships/hyperlink" Target="https://www.city.osaka.lg.jp/kyoiku/cmsfiles/contents/0000615/615072/140.xlsx" TargetMode="External"/><Relationship Id="rId128" Type="http://schemas.openxmlformats.org/officeDocument/2006/relationships/hyperlink" Target="https://www.city.osaka.lg.jp/kyoiku/cmsfiles/contents/0000615/615072/145.xlsx" TargetMode="External"/><Relationship Id="rId144" Type="http://schemas.openxmlformats.org/officeDocument/2006/relationships/hyperlink" Target="https://www.city.osaka.lg.jp/kyoiku/cmsfiles/contents/0000615/615072/162.xlsx" TargetMode="External"/><Relationship Id="rId149" Type="http://schemas.openxmlformats.org/officeDocument/2006/relationships/hyperlink" Target="https://www.city.osaka.lg.jp/kyoiku/cmsfiles/contents/0000615/615072/168.xlsx" TargetMode="External"/><Relationship Id="rId5" Type="http://schemas.openxmlformats.org/officeDocument/2006/relationships/hyperlink" Target="https://www.city.osaka.lg.jp/kyoiku/cmsfiles/contents/0000615/615072/8.xlsx" TargetMode="External"/><Relationship Id="rId90" Type="http://schemas.openxmlformats.org/officeDocument/2006/relationships/hyperlink" Target="https://www.city.osaka.lg.jp/kyoiku/cmsfiles/contents/0000615/615072/101.xlsx" TargetMode="External"/><Relationship Id="rId95" Type="http://schemas.openxmlformats.org/officeDocument/2006/relationships/hyperlink" Target="https://www.city.osaka.lg.jp/kyoiku/cmsfiles/contents/0000615/615072/110.xlsx" TargetMode="External"/><Relationship Id="rId160" Type="http://schemas.openxmlformats.org/officeDocument/2006/relationships/hyperlink" Target="https://www.city.osaka.lg.jp/kyoiku/cmsfiles/contents/0000615/615072/181.xlsx" TargetMode="External"/><Relationship Id="rId165" Type="http://schemas.openxmlformats.org/officeDocument/2006/relationships/hyperlink" Target="https://www.city.osaka.lg.jp/kyoiku/cmsfiles/contents/0000615/615072/186.xlsx" TargetMode="External"/><Relationship Id="rId22" Type="http://schemas.openxmlformats.org/officeDocument/2006/relationships/hyperlink" Target="https://www.city.osaka.lg.jp/kyoiku/cmsfiles/contents/0000615/615072/25.xlsx" TargetMode="External"/><Relationship Id="rId27" Type="http://schemas.openxmlformats.org/officeDocument/2006/relationships/hyperlink" Target="https://www.city.osaka.lg.jp/kyoiku/cmsfiles/contents/0000615/615072/30.xlsx" TargetMode="External"/><Relationship Id="rId43" Type="http://schemas.openxmlformats.org/officeDocument/2006/relationships/hyperlink" Target="https://www.city.osaka.lg.jp/kyoiku/cmsfiles/contents/0000615/615072/46.xlsx" TargetMode="External"/><Relationship Id="rId48" Type="http://schemas.openxmlformats.org/officeDocument/2006/relationships/hyperlink" Target="https://www.city.osaka.lg.jp/kyoiku/cmsfiles/contents/0000615/615072/51.xlsx" TargetMode="External"/><Relationship Id="rId64" Type="http://schemas.openxmlformats.org/officeDocument/2006/relationships/hyperlink" Target="https://www.city.osaka.lg.jp/kyoiku/cmsfiles/contents/0000615/615072/71.xlsx" TargetMode="External"/><Relationship Id="rId69" Type="http://schemas.openxmlformats.org/officeDocument/2006/relationships/hyperlink" Target="https://www.city.osaka.lg.jp/kyoiku/cmsfiles/contents/0000615/615072/79.xlsx" TargetMode="External"/><Relationship Id="rId113" Type="http://schemas.openxmlformats.org/officeDocument/2006/relationships/hyperlink" Target="https://www.city.osaka.lg.jp/kyoiku/cmsfiles/contents/0000615/615072/128.xlsx" TargetMode="External"/><Relationship Id="rId118" Type="http://schemas.openxmlformats.org/officeDocument/2006/relationships/hyperlink" Target="https://www.city.osaka.lg.jp/kyoiku/cmsfiles/contents/0000615/615072/135.xlsx" TargetMode="External"/><Relationship Id="rId134" Type="http://schemas.openxmlformats.org/officeDocument/2006/relationships/hyperlink" Target="https://www.city.osaka.lg.jp/kyoiku/cmsfiles/contents/0000615/615072/151.xlsx" TargetMode="External"/><Relationship Id="rId139" Type="http://schemas.openxmlformats.org/officeDocument/2006/relationships/hyperlink" Target="https://www.city.osaka.lg.jp/kyoiku/cmsfiles/contents/0000615/615072/156.xlsx" TargetMode="External"/><Relationship Id="rId80" Type="http://schemas.openxmlformats.org/officeDocument/2006/relationships/hyperlink" Target="https://www.city.osaka.lg.jp/kyoiku/cmsfiles/contents/0000615/615072/91.xlsx" TargetMode="External"/><Relationship Id="rId85" Type="http://schemas.openxmlformats.org/officeDocument/2006/relationships/hyperlink" Target="https://www.city.osaka.lg.jp/kyoiku/cmsfiles/contents/0000615/615072/96.xlsx" TargetMode="External"/><Relationship Id="rId150" Type="http://schemas.openxmlformats.org/officeDocument/2006/relationships/hyperlink" Target="https://www.city.osaka.lg.jp/kyoiku/cmsfiles/contents/0000615/615072/169.xlsx" TargetMode="External"/><Relationship Id="rId155" Type="http://schemas.openxmlformats.org/officeDocument/2006/relationships/hyperlink" Target="https://www.city.osaka.lg.jp/kyoiku/cmsfiles/contents/0000615/615072/174.xlsx" TargetMode="External"/><Relationship Id="rId171" Type="http://schemas.openxmlformats.org/officeDocument/2006/relationships/hyperlink" Target="https://www.city.osaka.lg.jp/kyoiku/cmsfiles/contents/0000615/615072/164.xlsx" TargetMode="External"/><Relationship Id="rId12" Type="http://schemas.openxmlformats.org/officeDocument/2006/relationships/hyperlink" Target="https://www.city.osaka.lg.jp/kyoiku/cmsfiles/contents/0000615/615072/15.xlsx" TargetMode="External"/><Relationship Id="rId17" Type="http://schemas.openxmlformats.org/officeDocument/2006/relationships/hyperlink" Target="https://www.city.osaka.lg.jp/kyoiku/cmsfiles/contents/0000615/615072/20.xlsx" TargetMode="External"/><Relationship Id="rId33" Type="http://schemas.openxmlformats.org/officeDocument/2006/relationships/hyperlink" Target="https://www.city.osaka.lg.jp/kyoiku/cmsfiles/contents/0000615/615072/36.xlsx" TargetMode="External"/><Relationship Id="rId38" Type="http://schemas.openxmlformats.org/officeDocument/2006/relationships/hyperlink" Target="https://www.city.osaka.lg.jp/kyoiku/cmsfiles/contents/0000615/615072/41.xlsx" TargetMode="External"/><Relationship Id="rId59" Type="http://schemas.openxmlformats.org/officeDocument/2006/relationships/hyperlink" Target="https://www.city.osaka.lg.jp/kyoiku/cmsfiles/contents/0000615/615072/65.xlsx" TargetMode="External"/><Relationship Id="rId103" Type="http://schemas.openxmlformats.org/officeDocument/2006/relationships/hyperlink" Target="https://www.city.osaka.lg.jp/kyoiku/cmsfiles/contents/0000615/615072/118.xlsx" TargetMode="External"/><Relationship Id="rId108" Type="http://schemas.openxmlformats.org/officeDocument/2006/relationships/hyperlink" Target="https://www.city.osaka.lg.jp/kyoiku/cmsfiles/contents/0000615/615072/123.xlsx" TargetMode="External"/><Relationship Id="rId124" Type="http://schemas.openxmlformats.org/officeDocument/2006/relationships/hyperlink" Target="https://www.city.osaka.lg.jp/kyoiku/cmsfiles/contents/0000615/615072/141.xlsx" TargetMode="External"/><Relationship Id="rId129" Type="http://schemas.openxmlformats.org/officeDocument/2006/relationships/hyperlink" Target="https://www.city.osaka.lg.jp/kyoiku/cmsfiles/contents/0000615/615072/146.xlsx" TargetMode="External"/><Relationship Id="rId54" Type="http://schemas.openxmlformats.org/officeDocument/2006/relationships/hyperlink" Target="https://www.city.osaka.lg.jp/kyoiku/cmsfiles/contents/0000615/615072/60.xlsx" TargetMode="External"/><Relationship Id="rId70" Type="http://schemas.openxmlformats.org/officeDocument/2006/relationships/hyperlink" Target="https://www.city.osaka.lg.jp/kyoiku/cmsfiles/contents/0000615/615072/80.xlsx" TargetMode="External"/><Relationship Id="rId75" Type="http://schemas.openxmlformats.org/officeDocument/2006/relationships/hyperlink" Target="https://www.city.osaka.lg.jp/kyoiku/cmsfiles/contents/0000615/615072/85.xlsx" TargetMode="External"/><Relationship Id="rId91" Type="http://schemas.openxmlformats.org/officeDocument/2006/relationships/hyperlink" Target="https://www.city.osaka.lg.jp/kyoiku/cmsfiles/contents/0000615/615072/106.xlsx" TargetMode="External"/><Relationship Id="rId96" Type="http://schemas.openxmlformats.org/officeDocument/2006/relationships/hyperlink" Target="https://www.city.osaka.lg.jp/kyoiku/cmsfiles/contents/0000615/615072/111.xlsx" TargetMode="External"/><Relationship Id="rId140" Type="http://schemas.openxmlformats.org/officeDocument/2006/relationships/hyperlink" Target="https://www.city.osaka.lg.jp/kyoiku/cmsfiles/contents/0000615/615072/157.xlsx" TargetMode="External"/><Relationship Id="rId145" Type="http://schemas.openxmlformats.org/officeDocument/2006/relationships/hyperlink" Target="https://www.city.osaka.lg.jp/kyoiku/cmsfiles/contents/0000615/615072/163.xlsx" TargetMode="External"/><Relationship Id="rId161" Type="http://schemas.openxmlformats.org/officeDocument/2006/relationships/hyperlink" Target="https://www.city.osaka.lg.jp/kyoiku/cmsfiles/contents/0000615/615072/182.xlsx" TargetMode="External"/><Relationship Id="rId166" Type="http://schemas.openxmlformats.org/officeDocument/2006/relationships/hyperlink" Target="https://www.city.osaka.lg.jp/kyoiku/cmsfiles/contents/0000615/615072/187.xlsx" TargetMode="External"/><Relationship Id="rId1" Type="http://schemas.openxmlformats.org/officeDocument/2006/relationships/hyperlink" Target="https://www.city.osaka.lg.jp/kyoiku/cmsfiles/contents/0000615/615072/1.xlsx" TargetMode="External"/><Relationship Id="rId6" Type="http://schemas.openxmlformats.org/officeDocument/2006/relationships/hyperlink" Target="https://www.city.osaka.lg.jp/kyoiku/cmsfiles/contents/0000615/615072/9.xlsx" TargetMode="External"/><Relationship Id="rId15" Type="http://schemas.openxmlformats.org/officeDocument/2006/relationships/hyperlink" Target="https://www.city.osaka.lg.jp/kyoiku/cmsfiles/contents/0000615/615072/18.xlsx" TargetMode="External"/><Relationship Id="rId23" Type="http://schemas.openxmlformats.org/officeDocument/2006/relationships/hyperlink" Target="https://www.city.osaka.lg.jp/kyoiku/cmsfiles/contents/0000615/615072/26.xlsx" TargetMode="External"/><Relationship Id="rId28" Type="http://schemas.openxmlformats.org/officeDocument/2006/relationships/hyperlink" Target="https://www.city.osaka.lg.jp/kyoiku/cmsfiles/contents/0000615/615072/31.xlsx" TargetMode="External"/><Relationship Id="rId36" Type="http://schemas.openxmlformats.org/officeDocument/2006/relationships/hyperlink" Target="https://www.city.osaka.lg.jp/kyoiku/cmsfiles/contents/0000615/615072/39.xlsx" TargetMode="External"/><Relationship Id="rId49" Type="http://schemas.openxmlformats.org/officeDocument/2006/relationships/hyperlink" Target="https://www.city.osaka.lg.jp/kyoiku/cmsfiles/contents/0000615/615072/52.xlsx" TargetMode="External"/><Relationship Id="rId57" Type="http://schemas.openxmlformats.org/officeDocument/2006/relationships/hyperlink" Target="https://www.city.osaka.lg.jp/kyoiku/cmsfiles/contents/0000615/615072/63.xlsx" TargetMode="External"/><Relationship Id="rId106" Type="http://schemas.openxmlformats.org/officeDocument/2006/relationships/hyperlink" Target="https://www.city.osaka.lg.jp/kyoiku/cmsfiles/contents/0000615/615072/121.xlsx" TargetMode="External"/><Relationship Id="rId114" Type="http://schemas.openxmlformats.org/officeDocument/2006/relationships/hyperlink" Target="https://www.city.osaka.lg.jp/kyoiku/cmsfiles/contents/0000615/615072/129.xlsx" TargetMode="External"/><Relationship Id="rId119" Type="http://schemas.openxmlformats.org/officeDocument/2006/relationships/hyperlink" Target="https://www.city.osaka.lg.jp/kyoiku/cmsfiles/contents/0000615/615072/136.xlsx" TargetMode="External"/><Relationship Id="rId127" Type="http://schemas.openxmlformats.org/officeDocument/2006/relationships/hyperlink" Target="https://www.city.osaka.lg.jp/kyoiku/cmsfiles/contents/0000615/615072/144.xlsx" TargetMode="External"/><Relationship Id="rId10" Type="http://schemas.openxmlformats.org/officeDocument/2006/relationships/hyperlink" Target="https://www.city.osaka.lg.jp/kyoiku/cmsfiles/contents/0000615/615072/13.xlsx" TargetMode="External"/><Relationship Id="rId31" Type="http://schemas.openxmlformats.org/officeDocument/2006/relationships/hyperlink" Target="https://www.city.osaka.lg.jp/kyoiku/cmsfiles/contents/0000615/615072/34.xlsx" TargetMode="External"/><Relationship Id="rId44" Type="http://schemas.openxmlformats.org/officeDocument/2006/relationships/hyperlink" Target="https://www.city.osaka.lg.jp/kyoiku/cmsfiles/contents/0000615/615072/47.xlsx" TargetMode="External"/><Relationship Id="rId52" Type="http://schemas.openxmlformats.org/officeDocument/2006/relationships/hyperlink" Target="https://www.city.osaka.lg.jp/kyoiku/cmsfiles/contents/0000615/615072/55.xlsx" TargetMode="External"/><Relationship Id="rId60" Type="http://schemas.openxmlformats.org/officeDocument/2006/relationships/hyperlink" Target="https://www.city.osaka.lg.jp/kyoiku/cmsfiles/contents/0000615/615072/66.xlsx" TargetMode="External"/><Relationship Id="rId65" Type="http://schemas.openxmlformats.org/officeDocument/2006/relationships/hyperlink" Target="https://www.city.osaka.lg.jp/kyoiku/cmsfiles/contents/0000615/615072/72.xlsx" TargetMode="External"/><Relationship Id="rId73" Type="http://schemas.openxmlformats.org/officeDocument/2006/relationships/hyperlink" Target="https://www.city.osaka.lg.jp/kyoiku/cmsfiles/contents/0000615/615072/83.xlsx" TargetMode="External"/><Relationship Id="rId78" Type="http://schemas.openxmlformats.org/officeDocument/2006/relationships/hyperlink" Target="https://www.city.osaka.lg.jp/kyoiku/cmsfiles/contents/0000615/615072/89.xlsx" TargetMode="External"/><Relationship Id="rId81" Type="http://schemas.openxmlformats.org/officeDocument/2006/relationships/hyperlink" Target="https://www.city.osaka.lg.jp/kyoiku/cmsfiles/contents/0000615/615072/92.xlsx" TargetMode="External"/><Relationship Id="rId86" Type="http://schemas.openxmlformats.org/officeDocument/2006/relationships/hyperlink" Target="https://www.city.osaka.lg.jp/kyoiku/cmsfiles/contents/0000615/615072/97.xlsx" TargetMode="External"/><Relationship Id="rId94" Type="http://schemas.openxmlformats.org/officeDocument/2006/relationships/hyperlink" Target="https://www.city.osaka.lg.jp/kyoiku/cmsfiles/contents/0000615/615072/109.xlsx" TargetMode="External"/><Relationship Id="rId99" Type="http://schemas.openxmlformats.org/officeDocument/2006/relationships/hyperlink" Target="https://www.city.osaka.lg.jp/kyoiku/cmsfiles/contents/0000615/615072/114.xlsx" TargetMode="External"/><Relationship Id="rId101" Type="http://schemas.openxmlformats.org/officeDocument/2006/relationships/hyperlink" Target="https://www.city.osaka.lg.jp/kyoiku/cmsfiles/contents/0000615/615072/116.xlsx" TargetMode="External"/><Relationship Id="rId122" Type="http://schemas.openxmlformats.org/officeDocument/2006/relationships/hyperlink" Target="https://www.city.osaka.lg.jp/kyoiku/cmsfiles/contents/0000615/615072/139.xlsx" TargetMode="External"/><Relationship Id="rId130" Type="http://schemas.openxmlformats.org/officeDocument/2006/relationships/hyperlink" Target="https://www.city.osaka.lg.jp/kyoiku/cmsfiles/contents/0000615/615072/147.xlsx" TargetMode="External"/><Relationship Id="rId135" Type="http://schemas.openxmlformats.org/officeDocument/2006/relationships/hyperlink" Target="https://www.city.osaka.lg.jp/kyoiku/cmsfiles/contents/0000615/615072/152.xlsx" TargetMode="External"/><Relationship Id="rId143" Type="http://schemas.openxmlformats.org/officeDocument/2006/relationships/hyperlink" Target="https://www.city.osaka.lg.jp/kyoiku/cmsfiles/contents/0000615/615072/161.xlsx" TargetMode="External"/><Relationship Id="rId148" Type="http://schemas.openxmlformats.org/officeDocument/2006/relationships/hyperlink" Target="https://www.city.osaka.lg.jp/kyoiku/cmsfiles/contents/0000615/615072/167.xlsx" TargetMode="External"/><Relationship Id="rId151" Type="http://schemas.openxmlformats.org/officeDocument/2006/relationships/hyperlink" Target="https://www.city.osaka.lg.jp/kyoiku/cmsfiles/contents/0000615/615072/170.xlsx" TargetMode="External"/><Relationship Id="rId156" Type="http://schemas.openxmlformats.org/officeDocument/2006/relationships/hyperlink" Target="https://www.city.osaka.lg.jp/kyoiku/cmsfiles/contents/0000615/615072/177.xlsx" TargetMode="External"/><Relationship Id="rId164" Type="http://schemas.openxmlformats.org/officeDocument/2006/relationships/hyperlink" Target="https://www.city.osaka.lg.jp/kyoiku/cmsfiles/contents/0000615/615072/185.xlsx" TargetMode="External"/><Relationship Id="rId169" Type="http://schemas.openxmlformats.org/officeDocument/2006/relationships/hyperlink" Target="https://www.city.osaka.lg.jp/kyoiku/cmsfiles/contents/0000615/615072/175.xlsx" TargetMode="External"/><Relationship Id="rId4" Type="http://schemas.openxmlformats.org/officeDocument/2006/relationships/hyperlink" Target="https://www.city.osaka.lg.jp/kyoiku/cmsfiles/contents/0000615/615072/7.xlsx" TargetMode="External"/><Relationship Id="rId9" Type="http://schemas.openxmlformats.org/officeDocument/2006/relationships/hyperlink" Target="https://www.city.osaka.lg.jp/kyoiku/cmsfiles/contents/0000615/615072/12.xlsx" TargetMode="External"/><Relationship Id="rId172" Type="http://schemas.openxmlformats.org/officeDocument/2006/relationships/hyperlink" Target="https://www.city.osaka.lg.jp/kyoiku/cmsfiles/contents/0000615/615072/74.xlsx" TargetMode="External"/><Relationship Id="rId13" Type="http://schemas.openxmlformats.org/officeDocument/2006/relationships/hyperlink" Target="https://www.city.osaka.lg.jp/kyoiku/cmsfiles/contents/0000615/615072/16.xlsx" TargetMode="External"/><Relationship Id="rId18" Type="http://schemas.openxmlformats.org/officeDocument/2006/relationships/hyperlink" Target="https://www.city.osaka.lg.jp/kyoiku/cmsfiles/contents/0000615/615072/21.xlsx" TargetMode="External"/><Relationship Id="rId39" Type="http://schemas.openxmlformats.org/officeDocument/2006/relationships/hyperlink" Target="https://www.city.osaka.lg.jp/kyoiku/cmsfiles/contents/0000615/615072/42.xlsx" TargetMode="External"/><Relationship Id="rId109" Type="http://schemas.openxmlformats.org/officeDocument/2006/relationships/hyperlink" Target="https://www.city.osaka.lg.jp/kyoiku/cmsfiles/contents/0000615/615072/124.xlsx" TargetMode="External"/><Relationship Id="rId34" Type="http://schemas.openxmlformats.org/officeDocument/2006/relationships/hyperlink" Target="https://www.city.osaka.lg.jp/kyoiku/cmsfiles/contents/0000615/615072/37.xlsx" TargetMode="External"/><Relationship Id="rId50" Type="http://schemas.openxmlformats.org/officeDocument/2006/relationships/hyperlink" Target="https://www.city.osaka.lg.jp/kyoiku/cmsfiles/contents/0000615/615072/53.xlsx" TargetMode="External"/><Relationship Id="rId55" Type="http://schemas.openxmlformats.org/officeDocument/2006/relationships/hyperlink" Target="https://www.city.osaka.lg.jp/kyoiku/cmsfiles/contents/0000615/615072/61.xlsx" TargetMode="External"/><Relationship Id="rId76" Type="http://schemas.openxmlformats.org/officeDocument/2006/relationships/hyperlink" Target="https://www.city.osaka.lg.jp/kyoiku/cmsfiles/contents/0000615/615072/86.xlsx" TargetMode="External"/><Relationship Id="rId97" Type="http://schemas.openxmlformats.org/officeDocument/2006/relationships/hyperlink" Target="https://www.city.osaka.lg.jp/kyoiku/cmsfiles/contents/0000615/615072/112.xlsx" TargetMode="External"/><Relationship Id="rId104" Type="http://schemas.openxmlformats.org/officeDocument/2006/relationships/hyperlink" Target="https://www.city.osaka.lg.jp/kyoiku/cmsfiles/contents/0000615/615072/119.xlsx" TargetMode="External"/><Relationship Id="rId120" Type="http://schemas.openxmlformats.org/officeDocument/2006/relationships/hyperlink" Target="https://www.city.osaka.lg.jp/kyoiku/cmsfiles/contents/0000615/615072/137.xlsx" TargetMode="External"/><Relationship Id="rId125" Type="http://schemas.openxmlformats.org/officeDocument/2006/relationships/hyperlink" Target="https://www.city.osaka.lg.jp/kyoiku/cmsfiles/contents/0000615/615072/142.xlsx" TargetMode="External"/><Relationship Id="rId141" Type="http://schemas.openxmlformats.org/officeDocument/2006/relationships/hyperlink" Target="https://www.city.osaka.lg.jp/kyoiku/cmsfiles/contents/0000615/615072/158.xlsx" TargetMode="External"/><Relationship Id="rId146" Type="http://schemas.openxmlformats.org/officeDocument/2006/relationships/hyperlink" Target="https://www.city.osaka.lg.jp/kyoiku/cmsfiles/contents/0000615/615072/165.xlsx" TargetMode="External"/><Relationship Id="rId167" Type="http://schemas.openxmlformats.org/officeDocument/2006/relationships/hyperlink" Target="https://www.city.osaka.lg.jp/kyoiku/cmsfiles/contents/0000615/615072/87.xlsx" TargetMode="External"/><Relationship Id="rId7" Type="http://schemas.openxmlformats.org/officeDocument/2006/relationships/hyperlink" Target="https://www.city.osaka.lg.jp/kyoiku/cmsfiles/contents/0000615/615072/10.xlsx" TargetMode="External"/><Relationship Id="rId71" Type="http://schemas.openxmlformats.org/officeDocument/2006/relationships/hyperlink" Target="https://www.city.osaka.lg.jp/kyoiku/cmsfiles/contents/0000615/615072/81.xlsx" TargetMode="External"/><Relationship Id="rId92" Type="http://schemas.openxmlformats.org/officeDocument/2006/relationships/hyperlink" Target="https://www.city.osaka.lg.jp/kyoiku/cmsfiles/contents/0000615/615072/107.xlsx" TargetMode="External"/><Relationship Id="rId162" Type="http://schemas.openxmlformats.org/officeDocument/2006/relationships/hyperlink" Target="https://www.city.osaka.lg.jp/kyoiku/cmsfiles/contents/0000615/615072/183.xlsx" TargetMode="External"/><Relationship Id="rId2" Type="http://schemas.openxmlformats.org/officeDocument/2006/relationships/hyperlink" Target="https://www.city.osaka.lg.jp/kyoiku/cmsfiles/contents/0000615/615072/4.xlsx" TargetMode="External"/><Relationship Id="rId29" Type="http://schemas.openxmlformats.org/officeDocument/2006/relationships/hyperlink" Target="https://www.city.osaka.lg.jp/kyoiku/cmsfiles/contents/0000615/615072/32.xlsx" TargetMode="External"/><Relationship Id="rId24" Type="http://schemas.openxmlformats.org/officeDocument/2006/relationships/hyperlink" Target="https://www.city.osaka.lg.jp/kyoiku/cmsfiles/contents/0000615/615072/27.xlsx" TargetMode="External"/><Relationship Id="rId40" Type="http://schemas.openxmlformats.org/officeDocument/2006/relationships/hyperlink" Target="https://www.city.osaka.lg.jp/kyoiku/cmsfiles/contents/0000615/615072/43.xlsx" TargetMode="External"/><Relationship Id="rId45" Type="http://schemas.openxmlformats.org/officeDocument/2006/relationships/hyperlink" Target="https://www.city.osaka.lg.jp/kyoiku/cmsfiles/contents/0000615/615072/48.xlsx" TargetMode="External"/><Relationship Id="rId66" Type="http://schemas.openxmlformats.org/officeDocument/2006/relationships/hyperlink" Target="https://www.city.osaka.lg.jp/kyoiku/cmsfiles/contents/0000615/615072/73.xlsx" TargetMode="External"/><Relationship Id="rId87" Type="http://schemas.openxmlformats.org/officeDocument/2006/relationships/hyperlink" Target="https://www.city.osaka.lg.jp/kyoiku/cmsfiles/contents/0000615/615072/98.xlsx" TargetMode="External"/><Relationship Id="rId110" Type="http://schemas.openxmlformats.org/officeDocument/2006/relationships/hyperlink" Target="https://www.city.osaka.lg.jp/kyoiku/cmsfiles/contents/0000615/615072/125.xlsx" TargetMode="External"/><Relationship Id="rId115" Type="http://schemas.openxmlformats.org/officeDocument/2006/relationships/hyperlink" Target="https://www.city.osaka.lg.jp/kyoiku/cmsfiles/contents/0000615/615072/130.xlsx" TargetMode="External"/><Relationship Id="rId131" Type="http://schemas.openxmlformats.org/officeDocument/2006/relationships/hyperlink" Target="https://www.city.osaka.lg.jp/kyoiku/cmsfiles/contents/0000615/615072/148.xlsx" TargetMode="External"/><Relationship Id="rId136" Type="http://schemas.openxmlformats.org/officeDocument/2006/relationships/hyperlink" Target="https://www.city.osaka.lg.jp/kyoiku/cmsfiles/contents/0000615/615072/153.xlsx" TargetMode="External"/><Relationship Id="rId157" Type="http://schemas.openxmlformats.org/officeDocument/2006/relationships/hyperlink" Target="https://www.city.osaka.lg.jp/kyoiku/cmsfiles/contents/0000615/615072/178.xlsx" TargetMode="External"/><Relationship Id="rId61" Type="http://schemas.openxmlformats.org/officeDocument/2006/relationships/hyperlink" Target="https://www.city.osaka.lg.jp/kyoiku/cmsfiles/contents/0000615/615072/67.xlsx" TargetMode="External"/><Relationship Id="rId82" Type="http://schemas.openxmlformats.org/officeDocument/2006/relationships/hyperlink" Target="https://www.city.osaka.lg.jp/kyoiku/cmsfiles/contents/0000615/615072/93.xlsx" TargetMode="External"/><Relationship Id="rId152" Type="http://schemas.openxmlformats.org/officeDocument/2006/relationships/hyperlink" Target="https://www.city.osaka.lg.jp/kyoiku/cmsfiles/contents/0000615/615072/171.xlsx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www.city.osaka.lg.jp/kyoiku/cmsfiles/contents/0000615/615072/22.xlsx" TargetMode="External"/><Relationship Id="rId14" Type="http://schemas.openxmlformats.org/officeDocument/2006/relationships/hyperlink" Target="https://www.city.osaka.lg.jp/kyoiku/cmsfiles/contents/0000615/615072/17.xlsx" TargetMode="External"/><Relationship Id="rId30" Type="http://schemas.openxmlformats.org/officeDocument/2006/relationships/hyperlink" Target="https://www.city.osaka.lg.jp/kyoiku/cmsfiles/contents/0000615/615072/33.xlsx" TargetMode="External"/><Relationship Id="rId35" Type="http://schemas.openxmlformats.org/officeDocument/2006/relationships/hyperlink" Target="https://www.city.osaka.lg.jp/kyoiku/cmsfiles/contents/0000615/615072/38.xlsx" TargetMode="External"/><Relationship Id="rId56" Type="http://schemas.openxmlformats.org/officeDocument/2006/relationships/hyperlink" Target="https://www.city.osaka.lg.jp/kyoiku/cmsfiles/contents/0000615/615072/62.xlsx" TargetMode="External"/><Relationship Id="rId77" Type="http://schemas.openxmlformats.org/officeDocument/2006/relationships/hyperlink" Target="https://www.city.osaka.lg.jp/kyoiku/cmsfiles/contents/0000615/615072/88.xlsx" TargetMode="External"/><Relationship Id="rId100" Type="http://schemas.openxmlformats.org/officeDocument/2006/relationships/hyperlink" Target="https://www.city.osaka.lg.jp/kyoiku/cmsfiles/contents/0000615/615072/115.xlsx" TargetMode="External"/><Relationship Id="rId105" Type="http://schemas.openxmlformats.org/officeDocument/2006/relationships/hyperlink" Target="https://www.city.osaka.lg.jp/kyoiku/cmsfiles/contents/0000615/615072/120.xlsx" TargetMode="External"/><Relationship Id="rId126" Type="http://schemas.openxmlformats.org/officeDocument/2006/relationships/hyperlink" Target="https://www.city.osaka.lg.jp/kyoiku/cmsfiles/contents/0000615/615072/143.xlsx" TargetMode="External"/><Relationship Id="rId147" Type="http://schemas.openxmlformats.org/officeDocument/2006/relationships/hyperlink" Target="https://www.city.osaka.lg.jp/kyoiku/cmsfiles/contents/0000615/615072/166.xlsx" TargetMode="External"/><Relationship Id="rId168" Type="http://schemas.openxmlformats.org/officeDocument/2006/relationships/hyperlink" Target="https://www.city.osaka.lg.jp/kyoiku/cmsfiles/contents/0000615/615072/5.xlsx" TargetMode="External"/><Relationship Id="rId8" Type="http://schemas.openxmlformats.org/officeDocument/2006/relationships/hyperlink" Target="https://www.city.osaka.lg.jp/kyoiku/cmsfiles/contents/0000615/615072/11.xlsx" TargetMode="External"/><Relationship Id="rId51" Type="http://schemas.openxmlformats.org/officeDocument/2006/relationships/hyperlink" Target="https://www.city.osaka.lg.jp/kyoiku/cmsfiles/contents/0000615/615072/54.xlsx" TargetMode="External"/><Relationship Id="rId72" Type="http://schemas.openxmlformats.org/officeDocument/2006/relationships/hyperlink" Target="https://www.city.osaka.lg.jp/kyoiku/cmsfiles/contents/0000615/615072/82.xlsx" TargetMode="External"/><Relationship Id="rId93" Type="http://schemas.openxmlformats.org/officeDocument/2006/relationships/hyperlink" Target="https://www.city.osaka.lg.jp/kyoiku/cmsfiles/contents/0000615/615072/108.xlsx" TargetMode="External"/><Relationship Id="rId98" Type="http://schemas.openxmlformats.org/officeDocument/2006/relationships/hyperlink" Target="https://www.city.osaka.lg.jp/kyoiku/cmsfiles/contents/0000615/615072/113.xlsx" TargetMode="External"/><Relationship Id="rId121" Type="http://schemas.openxmlformats.org/officeDocument/2006/relationships/hyperlink" Target="https://www.city.osaka.lg.jp/kyoiku/cmsfiles/contents/0000615/615072/138.xlsx" TargetMode="External"/><Relationship Id="rId142" Type="http://schemas.openxmlformats.org/officeDocument/2006/relationships/hyperlink" Target="https://www.city.osaka.lg.jp/kyoiku/cmsfiles/contents/0000615/615072/160.xlsx" TargetMode="External"/><Relationship Id="rId163" Type="http://schemas.openxmlformats.org/officeDocument/2006/relationships/hyperlink" Target="https://www.city.osaka.lg.jp/kyoiku/cmsfiles/contents/0000615/615072/184.xlsx" TargetMode="External"/><Relationship Id="rId3" Type="http://schemas.openxmlformats.org/officeDocument/2006/relationships/hyperlink" Target="https://www.city.osaka.lg.jp/kyoiku/cmsfiles/contents/0000615/615072/6.xlsx" TargetMode="External"/><Relationship Id="rId25" Type="http://schemas.openxmlformats.org/officeDocument/2006/relationships/hyperlink" Target="https://www.city.osaka.lg.jp/kyoiku/cmsfiles/contents/0000615/615072/28.xlsx" TargetMode="External"/><Relationship Id="rId46" Type="http://schemas.openxmlformats.org/officeDocument/2006/relationships/hyperlink" Target="https://www.city.osaka.lg.jp/kyoiku/cmsfiles/contents/0000615/615072/49.xlsx" TargetMode="External"/><Relationship Id="rId67" Type="http://schemas.openxmlformats.org/officeDocument/2006/relationships/hyperlink" Target="https://www.city.osaka.lg.jp/kyoiku/cmsfiles/contents/0000615/615072/77.xlsx" TargetMode="External"/><Relationship Id="rId116" Type="http://schemas.openxmlformats.org/officeDocument/2006/relationships/hyperlink" Target="https://www.city.osaka.lg.jp/kyoiku/cmsfiles/contents/0000615/615072/131.xlsx" TargetMode="External"/><Relationship Id="rId137" Type="http://schemas.openxmlformats.org/officeDocument/2006/relationships/hyperlink" Target="https://www.city.osaka.lg.jp/kyoiku/cmsfiles/contents/0000615/615072/154.xlsx" TargetMode="External"/><Relationship Id="rId158" Type="http://schemas.openxmlformats.org/officeDocument/2006/relationships/hyperlink" Target="https://www.city.osaka.lg.jp/kyoiku/cmsfiles/contents/0000615/615072/179.xlsx" TargetMode="External"/><Relationship Id="rId20" Type="http://schemas.openxmlformats.org/officeDocument/2006/relationships/hyperlink" Target="https://www.city.osaka.lg.jp/kyoiku/cmsfiles/contents/0000615/615072/23.xlsx" TargetMode="External"/><Relationship Id="rId41" Type="http://schemas.openxmlformats.org/officeDocument/2006/relationships/hyperlink" Target="https://www.city.osaka.lg.jp/kyoiku/cmsfiles/contents/0000615/615072/44.xlsx" TargetMode="External"/><Relationship Id="rId62" Type="http://schemas.openxmlformats.org/officeDocument/2006/relationships/hyperlink" Target="https://www.city.osaka.lg.jp/kyoiku/cmsfiles/contents/0000615/615072/68.xlsx" TargetMode="External"/><Relationship Id="rId83" Type="http://schemas.openxmlformats.org/officeDocument/2006/relationships/hyperlink" Target="https://www.city.osaka.lg.jp/kyoiku/cmsfiles/contents/0000615/615072/94.xlsx" TargetMode="External"/><Relationship Id="rId88" Type="http://schemas.openxmlformats.org/officeDocument/2006/relationships/hyperlink" Target="https://www.city.osaka.lg.jp/kyoiku/cmsfiles/contents/0000615/615072/99.xlsx" TargetMode="External"/><Relationship Id="rId111" Type="http://schemas.openxmlformats.org/officeDocument/2006/relationships/hyperlink" Target="https://www.city.osaka.lg.jp/kyoiku/cmsfiles/contents/0000615/615072/126.xlsx" TargetMode="External"/><Relationship Id="rId132" Type="http://schemas.openxmlformats.org/officeDocument/2006/relationships/hyperlink" Target="https://www.city.osaka.lg.jp/kyoiku/cmsfiles/contents/0000615/615072/149.xlsx" TargetMode="External"/><Relationship Id="rId153" Type="http://schemas.openxmlformats.org/officeDocument/2006/relationships/hyperlink" Target="https://www.city.osaka.lg.jp/kyoiku/cmsfiles/contents/0000615/615072/17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85"/>
  <sheetViews>
    <sheetView tabSelected="1" view="pageBreakPreview" zoomScaleNormal="100" zoomScaleSheetLayoutView="100" workbookViewId="0">
      <selection activeCell="B2" sqref="B2"/>
    </sheetView>
  </sheetViews>
  <sheetFormatPr defaultColWidth="8.625" defaultRowHeight="18" customHeight="1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8" width="9.25" style="4" bestFit="1" customWidth="1"/>
    <col min="9" max="9" width="7.375" style="4" bestFit="1" customWidth="1"/>
    <col min="10" max="218" width="8.625" style="4" customWidth="1"/>
    <col min="219" max="16384" width="8.625" style="4"/>
  </cols>
  <sheetData>
    <row r="1" spans="1:9" ht="18" customHeight="1">
      <c r="A1" s="1" t="s">
        <v>9</v>
      </c>
      <c r="E1" s="2"/>
      <c r="F1" s="30"/>
      <c r="G1" s="30"/>
    </row>
    <row r="2" spans="1:9" ht="15" customHeight="1">
      <c r="E2" s="2"/>
    </row>
    <row r="3" spans="1:9" ht="18" customHeight="1">
      <c r="A3" s="5" t="s">
        <v>12</v>
      </c>
      <c r="B3" s="4"/>
      <c r="C3" s="4"/>
      <c r="D3" s="5"/>
      <c r="E3" s="5"/>
      <c r="G3" s="21" t="s">
        <v>13</v>
      </c>
    </row>
    <row r="4" spans="1:9" ht="10.5" customHeight="1">
      <c r="B4" s="4"/>
      <c r="C4" s="4"/>
      <c r="D4" s="5"/>
      <c r="E4" s="5"/>
    </row>
    <row r="5" spans="1:9" ht="27" customHeight="1" thickBot="1">
      <c r="C5" s="49" t="s">
        <v>0</v>
      </c>
      <c r="D5" s="49"/>
      <c r="E5" s="6"/>
      <c r="G5" s="8" t="s">
        <v>1</v>
      </c>
    </row>
    <row r="6" spans="1:9" ht="15" customHeight="1">
      <c r="A6" s="51" t="s">
        <v>5</v>
      </c>
      <c r="B6" s="53" t="s">
        <v>7</v>
      </c>
      <c r="C6" s="37" t="s">
        <v>204</v>
      </c>
      <c r="D6" s="9" t="s">
        <v>205</v>
      </c>
      <c r="E6" s="37" t="s">
        <v>3</v>
      </c>
      <c r="F6" s="55" t="s">
        <v>6</v>
      </c>
      <c r="G6" s="56"/>
    </row>
    <row r="7" spans="1:9" ht="15" customHeight="1">
      <c r="A7" s="52"/>
      <c r="B7" s="54"/>
      <c r="C7" s="38" t="s">
        <v>8</v>
      </c>
      <c r="D7" s="38" t="s">
        <v>195</v>
      </c>
      <c r="E7" s="38" t="s">
        <v>4</v>
      </c>
      <c r="F7" s="57"/>
      <c r="G7" s="58"/>
    </row>
    <row r="8" spans="1:9" ht="15" customHeight="1">
      <c r="A8" s="59" t="s">
        <v>14</v>
      </c>
      <c r="B8" s="44" t="s">
        <v>179</v>
      </c>
      <c r="C8" s="10">
        <v>380</v>
      </c>
      <c r="D8" s="10">
        <v>379</v>
      </c>
      <c r="E8" s="10">
        <f>+D8-C8</f>
        <v>-1</v>
      </c>
      <c r="F8" s="39"/>
      <c r="G8" s="27"/>
      <c r="H8" s="4" t="s">
        <v>10</v>
      </c>
    </row>
    <row r="9" spans="1:9" ht="15" customHeight="1">
      <c r="A9" s="59"/>
      <c r="B9" s="45"/>
      <c r="C9" s="11">
        <f>380</f>
        <v>380</v>
      </c>
      <c r="D9" s="11">
        <v>379</v>
      </c>
      <c r="E9" s="12">
        <f>+D9-C9</f>
        <v>-1</v>
      </c>
      <c r="F9" s="40"/>
      <c r="G9" s="28"/>
      <c r="H9" s="4" t="s">
        <v>11</v>
      </c>
    </row>
    <row r="10" spans="1:9" ht="15" customHeight="1">
      <c r="A10" s="48" t="s">
        <v>17</v>
      </c>
      <c r="B10" s="44" t="s">
        <v>180</v>
      </c>
      <c r="C10" s="13">
        <f>46544+1+114+5982+4156+3840+11754+2810+69+46813</f>
        <v>122083</v>
      </c>
      <c r="D10" s="13">
        <f>55536+113+6890+1+4159+4165+14463+3328+69+23247</f>
        <v>111971</v>
      </c>
      <c r="E10" s="10">
        <f t="shared" ref="E10:E59" si="0">+D10-C10</f>
        <v>-10112</v>
      </c>
      <c r="F10" s="39" t="s">
        <v>2</v>
      </c>
      <c r="G10" s="25"/>
      <c r="H10" s="4" t="s">
        <v>18</v>
      </c>
    </row>
    <row r="11" spans="1:9" ht="15" customHeight="1">
      <c r="A11" s="48"/>
      <c r="B11" s="45"/>
      <c r="C11" s="14">
        <f>C10-360-9</f>
        <v>121714</v>
      </c>
      <c r="D11" s="14">
        <f>D10-360-18</f>
        <v>111593</v>
      </c>
      <c r="E11" s="12">
        <f t="shared" si="0"/>
        <v>-10121</v>
      </c>
      <c r="F11" s="40"/>
      <c r="G11" s="15"/>
      <c r="H11" s="4" t="s">
        <v>19</v>
      </c>
    </row>
    <row r="12" spans="1:9" ht="15" customHeight="1">
      <c r="A12" s="50" t="s">
        <v>20</v>
      </c>
      <c r="B12" s="44" t="s">
        <v>21</v>
      </c>
      <c r="C12" s="10">
        <f>1756+477+81+4377+293+2095+8964+92+5581+2793+7357+351+22543</f>
        <v>56760</v>
      </c>
      <c r="D12" s="10">
        <f>3483+473+79+4554+467+1643+9717+92+6475+3044+8424+351+20743</f>
        <v>59545</v>
      </c>
      <c r="E12" s="10">
        <f t="shared" si="0"/>
        <v>2785</v>
      </c>
      <c r="F12" s="39" t="s">
        <v>22</v>
      </c>
      <c r="G12" s="25">
        <v>351</v>
      </c>
      <c r="H12" s="4" t="s">
        <v>18</v>
      </c>
      <c r="I12" s="4" t="s">
        <v>23</v>
      </c>
    </row>
    <row r="13" spans="1:9" ht="15" customHeight="1">
      <c r="A13" s="50"/>
      <c r="B13" s="45"/>
      <c r="C13" s="11">
        <f>C12-7077</f>
        <v>49683</v>
      </c>
      <c r="D13" s="11">
        <f>D12-624-7889</f>
        <v>51032</v>
      </c>
      <c r="E13" s="12">
        <f t="shared" si="0"/>
        <v>1349</v>
      </c>
      <c r="F13" s="40"/>
      <c r="G13" s="15">
        <v>351</v>
      </c>
      <c r="H13" s="4" t="s">
        <v>19</v>
      </c>
      <c r="I13" s="4" t="s">
        <v>24</v>
      </c>
    </row>
    <row r="14" spans="1:9" ht="22.5" customHeight="1">
      <c r="A14" s="48" t="s">
        <v>25</v>
      </c>
      <c r="B14" s="44" t="s">
        <v>26</v>
      </c>
      <c r="C14" s="13">
        <v>12635</v>
      </c>
      <c r="D14" s="13">
        <v>11680</v>
      </c>
      <c r="E14" s="10">
        <f t="shared" si="0"/>
        <v>-955</v>
      </c>
      <c r="F14" s="39" t="s">
        <v>2</v>
      </c>
      <c r="G14" s="25"/>
      <c r="H14" s="4" t="s">
        <v>18</v>
      </c>
    </row>
    <row r="15" spans="1:9" ht="22.5" customHeight="1">
      <c r="A15" s="48"/>
      <c r="B15" s="45"/>
      <c r="C15" s="14">
        <f>C14</f>
        <v>12635</v>
      </c>
      <c r="D15" s="14">
        <f>D14</f>
        <v>11680</v>
      </c>
      <c r="E15" s="12">
        <f t="shared" si="0"/>
        <v>-955</v>
      </c>
      <c r="F15" s="40"/>
      <c r="G15" s="15"/>
      <c r="H15" s="4" t="s">
        <v>19</v>
      </c>
    </row>
    <row r="16" spans="1:9" ht="15" customHeight="1">
      <c r="A16" s="48" t="s">
        <v>27</v>
      </c>
      <c r="B16" s="44" t="s">
        <v>28</v>
      </c>
      <c r="C16" s="13">
        <f>10660+4835+0+1683+14786+7393+481+185+1260+768+900+2588+771+4890+4080+43342+549+396</f>
        <v>99567</v>
      </c>
      <c r="D16" s="13">
        <f>11481+5350+4301+16345+16335+481+185+1260+9977+0+2589+504+5494+522+5207+50101+416</f>
        <v>130548</v>
      </c>
      <c r="E16" s="10">
        <f t="shared" si="0"/>
        <v>30981</v>
      </c>
      <c r="F16" s="39" t="s">
        <v>2</v>
      </c>
      <c r="G16" s="25"/>
      <c r="H16" s="4" t="s">
        <v>18</v>
      </c>
    </row>
    <row r="17" spans="1:8" ht="15" customHeight="1">
      <c r="A17" s="48"/>
      <c r="B17" s="45"/>
      <c r="C17" s="14">
        <f>C16-34</f>
        <v>99533</v>
      </c>
      <c r="D17" s="14">
        <f>D16-34</f>
        <v>130514</v>
      </c>
      <c r="E17" s="12">
        <f t="shared" si="0"/>
        <v>30981</v>
      </c>
      <c r="F17" s="40"/>
      <c r="G17" s="15"/>
      <c r="H17" s="4" t="s">
        <v>19</v>
      </c>
    </row>
    <row r="18" spans="1:8" ht="15" customHeight="1">
      <c r="A18" s="48" t="s">
        <v>62</v>
      </c>
      <c r="B18" s="44" t="s">
        <v>28</v>
      </c>
      <c r="C18" s="13">
        <f>33377+18631</f>
        <v>52008</v>
      </c>
      <c r="D18" s="13">
        <f>44852+21343</f>
        <v>66195</v>
      </c>
      <c r="E18" s="10">
        <f t="shared" si="0"/>
        <v>14187</v>
      </c>
      <c r="F18" s="39" t="s">
        <v>2</v>
      </c>
      <c r="G18" s="25"/>
      <c r="H18" s="4" t="s">
        <v>18</v>
      </c>
    </row>
    <row r="19" spans="1:8" ht="15" customHeight="1">
      <c r="A19" s="48"/>
      <c r="B19" s="45"/>
      <c r="C19" s="14">
        <f>C18</f>
        <v>52008</v>
      </c>
      <c r="D19" s="14">
        <f>D18</f>
        <v>66195</v>
      </c>
      <c r="E19" s="12">
        <f t="shared" si="0"/>
        <v>14187</v>
      </c>
      <c r="F19" s="40"/>
      <c r="G19" s="15"/>
      <c r="H19" s="4" t="s">
        <v>19</v>
      </c>
    </row>
    <row r="20" spans="1:8" ht="22.5" customHeight="1">
      <c r="A20" s="48" t="s">
        <v>29</v>
      </c>
      <c r="B20" s="44" t="s">
        <v>28</v>
      </c>
      <c r="C20" s="13">
        <f>7454</f>
        <v>7454</v>
      </c>
      <c r="D20" s="13">
        <v>8496</v>
      </c>
      <c r="E20" s="10">
        <f t="shared" si="0"/>
        <v>1042</v>
      </c>
      <c r="F20" s="39" t="s">
        <v>2</v>
      </c>
      <c r="G20" s="25"/>
      <c r="H20" s="4" t="s">
        <v>18</v>
      </c>
    </row>
    <row r="21" spans="1:8" ht="22.5" customHeight="1">
      <c r="A21" s="48"/>
      <c r="B21" s="45"/>
      <c r="C21" s="14">
        <f>C20</f>
        <v>7454</v>
      </c>
      <c r="D21" s="14">
        <f>D20</f>
        <v>8496</v>
      </c>
      <c r="E21" s="12">
        <f t="shared" si="0"/>
        <v>1042</v>
      </c>
      <c r="F21" s="40"/>
      <c r="G21" s="15"/>
      <c r="H21" s="4" t="s">
        <v>19</v>
      </c>
    </row>
    <row r="22" spans="1:8" ht="15" customHeight="1">
      <c r="A22" s="48" t="s">
        <v>30</v>
      </c>
      <c r="B22" s="44" t="s">
        <v>28</v>
      </c>
      <c r="C22" s="13">
        <v>208345</v>
      </c>
      <c r="D22" s="13">
        <v>242580</v>
      </c>
      <c r="E22" s="10">
        <f t="shared" si="0"/>
        <v>34235</v>
      </c>
      <c r="F22" s="39" t="s">
        <v>2</v>
      </c>
      <c r="G22" s="25"/>
      <c r="H22" s="4" t="s">
        <v>18</v>
      </c>
    </row>
    <row r="23" spans="1:8" ht="15" customHeight="1">
      <c r="A23" s="48"/>
      <c r="B23" s="45"/>
      <c r="C23" s="14">
        <f>C22</f>
        <v>208345</v>
      </c>
      <c r="D23" s="14">
        <f>D22-68461</f>
        <v>174119</v>
      </c>
      <c r="E23" s="12">
        <f t="shared" si="0"/>
        <v>-34226</v>
      </c>
      <c r="F23" s="40"/>
      <c r="G23" s="15"/>
      <c r="H23" s="4" t="s">
        <v>19</v>
      </c>
    </row>
    <row r="24" spans="1:8" ht="33.75" customHeight="1">
      <c r="A24" s="48" t="s">
        <v>31</v>
      </c>
      <c r="B24" s="44" t="s">
        <v>189</v>
      </c>
      <c r="C24" s="13">
        <f>1292+777+2962+8532+2837+18383+478</f>
        <v>35261</v>
      </c>
      <c r="D24" s="13">
        <f>21622+901+924+3393+11331+2858+360</f>
        <v>41389</v>
      </c>
      <c r="E24" s="10">
        <f t="shared" si="0"/>
        <v>6128</v>
      </c>
      <c r="F24" s="39" t="s">
        <v>2</v>
      </c>
      <c r="G24" s="25"/>
      <c r="H24" s="4" t="s">
        <v>18</v>
      </c>
    </row>
    <row r="25" spans="1:8" ht="33.75" customHeight="1">
      <c r="A25" s="48"/>
      <c r="B25" s="45"/>
      <c r="C25" s="14">
        <f>C24</f>
        <v>35261</v>
      </c>
      <c r="D25" s="14">
        <f>D24</f>
        <v>41389</v>
      </c>
      <c r="E25" s="12">
        <f t="shared" si="0"/>
        <v>6128</v>
      </c>
      <c r="F25" s="40"/>
      <c r="G25" s="15"/>
      <c r="H25" s="4" t="s">
        <v>19</v>
      </c>
    </row>
    <row r="26" spans="1:8" ht="22.5" customHeight="1">
      <c r="A26" s="48" t="s">
        <v>32</v>
      </c>
      <c r="B26" s="44" t="s">
        <v>33</v>
      </c>
      <c r="C26" s="10">
        <v>782180</v>
      </c>
      <c r="D26" s="10">
        <v>917820</v>
      </c>
      <c r="E26" s="10">
        <f t="shared" si="0"/>
        <v>135640</v>
      </c>
      <c r="F26" s="39" t="s">
        <v>2</v>
      </c>
      <c r="G26" s="25"/>
      <c r="H26" s="4" t="s">
        <v>18</v>
      </c>
    </row>
    <row r="27" spans="1:8" ht="22.5" customHeight="1">
      <c r="A27" s="48"/>
      <c r="B27" s="45"/>
      <c r="C27" s="11">
        <f>C26</f>
        <v>782180</v>
      </c>
      <c r="D27" s="11">
        <f>D26</f>
        <v>917820</v>
      </c>
      <c r="E27" s="12">
        <f t="shared" si="0"/>
        <v>135640</v>
      </c>
      <c r="F27" s="40"/>
      <c r="G27" s="15"/>
      <c r="H27" s="4" t="s">
        <v>19</v>
      </c>
    </row>
    <row r="28" spans="1:8" ht="15" customHeight="1">
      <c r="A28" s="41" t="s">
        <v>34</v>
      </c>
      <c r="B28" s="44" t="s">
        <v>16</v>
      </c>
      <c r="C28" s="13">
        <v>17977</v>
      </c>
      <c r="D28" s="13">
        <v>17892</v>
      </c>
      <c r="E28" s="10">
        <f t="shared" si="0"/>
        <v>-85</v>
      </c>
      <c r="F28" s="39" t="s">
        <v>2</v>
      </c>
      <c r="G28" s="25"/>
      <c r="H28" s="4" t="s">
        <v>18</v>
      </c>
    </row>
    <row r="29" spans="1:8" ht="15" customHeight="1">
      <c r="A29" s="42"/>
      <c r="B29" s="45"/>
      <c r="C29" s="14">
        <f>C28</f>
        <v>17977</v>
      </c>
      <c r="D29" s="14">
        <f>D28</f>
        <v>17892</v>
      </c>
      <c r="E29" s="12">
        <f t="shared" si="0"/>
        <v>-85</v>
      </c>
      <c r="F29" s="40"/>
      <c r="G29" s="15"/>
      <c r="H29" s="4" t="s">
        <v>19</v>
      </c>
    </row>
    <row r="30" spans="1:8" ht="15" customHeight="1">
      <c r="A30" s="41" t="s">
        <v>35</v>
      </c>
      <c r="B30" s="44" t="s">
        <v>16</v>
      </c>
      <c r="C30" s="13">
        <v>4336</v>
      </c>
      <c r="D30" s="13">
        <v>3654</v>
      </c>
      <c r="E30" s="10">
        <f t="shared" si="0"/>
        <v>-682</v>
      </c>
      <c r="F30" s="39" t="s">
        <v>2</v>
      </c>
      <c r="G30" s="25"/>
      <c r="H30" s="4" t="s">
        <v>18</v>
      </c>
    </row>
    <row r="31" spans="1:8" ht="15" customHeight="1">
      <c r="A31" s="42"/>
      <c r="B31" s="45"/>
      <c r="C31" s="14">
        <f>C30</f>
        <v>4336</v>
      </c>
      <c r="D31" s="14">
        <f>D30</f>
        <v>3654</v>
      </c>
      <c r="E31" s="12">
        <f t="shared" si="0"/>
        <v>-682</v>
      </c>
      <c r="F31" s="40"/>
      <c r="G31" s="15"/>
      <c r="H31" s="4" t="s">
        <v>19</v>
      </c>
    </row>
    <row r="32" spans="1:8" ht="26.25" customHeight="1">
      <c r="A32" s="41" t="s">
        <v>183</v>
      </c>
      <c r="B32" s="44" t="s">
        <v>181</v>
      </c>
      <c r="C32" s="13">
        <f>289549+300075+285114+1526</f>
        <v>876264</v>
      </c>
      <c r="D32" s="13">
        <f>92230+642+1500+1479+124995+285605+236799</f>
        <v>743250</v>
      </c>
      <c r="E32" s="10">
        <f t="shared" si="0"/>
        <v>-133014</v>
      </c>
      <c r="F32" s="39" t="s">
        <v>2</v>
      </c>
      <c r="G32" s="25"/>
      <c r="H32" s="4" t="s">
        <v>18</v>
      </c>
    </row>
    <row r="33" spans="1:8" ht="26.25" customHeight="1">
      <c r="A33" s="42"/>
      <c r="B33" s="45"/>
      <c r="C33" s="14">
        <f>C32</f>
        <v>876264</v>
      </c>
      <c r="D33" s="14">
        <f>D32</f>
        <v>743250</v>
      </c>
      <c r="E33" s="12">
        <f t="shared" si="0"/>
        <v>-133014</v>
      </c>
      <c r="F33" s="40"/>
      <c r="G33" s="15"/>
      <c r="H33" s="4" t="s">
        <v>19</v>
      </c>
    </row>
    <row r="34" spans="1:8" ht="22.5" customHeight="1">
      <c r="A34" s="41" t="s">
        <v>63</v>
      </c>
      <c r="B34" s="44" t="s">
        <v>33</v>
      </c>
      <c r="C34" s="13">
        <v>691101</v>
      </c>
      <c r="D34" s="13">
        <v>636608</v>
      </c>
      <c r="E34" s="10">
        <f t="shared" si="0"/>
        <v>-54493</v>
      </c>
      <c r="F34" s="39" t="s">
        <v>2</v>
      </c>
      <c r="G34" s="25"/>
      <c r="H34" s="4" t="s">
        <v>18</v>
      </c>
    </row>
    <row r="35" spans="1:8" ht="22.5" customHeight="1">
      <c r="A35" s="42"/>
      <c r="B35" s="45"/>
      <c r="C35" s="14">
        <f>C34</f>
        <v>691101</v>
      </c>
      <c r="D35" s="14">
        <f>D34</f>
        <v>636608</v>
      </c>
      <c r="E35" s="12">
        <f t="shared" si="0"/>
        <v>-54493</v>
      </c>
      <c r="F35" s="40"/>
      <c r="G35" s="15"/>
      <c r="H35" s="4" t="s">
        <v>19</v>
      </c>
    </row>
    <row r="36" spans="1:8" ht="15" customHeight="1">
      <c r="A36" s="41" t="s">
        <v>36</v>
      </c>
      <c r="B36" s="44" t="s">
        <v>37</v>
      </c>
      <c r="C36" s="13">
        <v>28299</v>
      </c>
      <c r="D36" s="13">
        <v>26309</v>
      </c>
      <c r="E36" s="10">
        <f t="shared" si="0"/>
        <v>-1990</v>
      </c>
      <c r="F36" s="39" t="s">
        <v>2</v>
      </c>
      <c r="G36" s="25"/>
      <c r="H36" s="4" t="s">
        <v>18</v>
      </c>
    </row>
    <row r="37" spans="1:8" ht="15" customHeight="1">
      <c r="A37" s="42"/>
      <c r="B37" s="45"/>
      <c r="C37" s="14">
        <f>C36</f>
        <v>28299</v>
      </c>
      <c r="D37" s="14">
        <f>D36</f>
        <v>26309</v>
      </c>
      <c r="E37" s="12">
        <f t="shared" si="0"/>
        <v>-1990</v>
      </c>
      <c r="F37" s="40"/>
      <c r="G37" s="15"/>
      <c r="H37" s="4" t="s">
        <v>19</v>
      </c>
    </row>
    <row r="38" spans="1:8" ht="15" customHeight="1">
      <c r="A38" s="41" t="s">
        <v>38</v>
      </c>
      <c r="B38" s="44" t="s">
        <v>39</v>
      </c>
      <c r="C38" s="13">
        <v>353410</v>
      </c>
      <c r="D38" s="13">
        <v>353410</v>
      </c>
      <c r="E38" s="10">
        <f t="shared" si="0"/>
        <v>0</v>
      </c>
      <c r="F38" s="39" t="s">
        <v>2</v>
      </c>
      <c r="G38" s="25"/>
      <c r="H38" s="4" t="s">
        <v>18</v>
      </c>
    </row>
    <row r="39" spans="1:8" ht="15" customHeight="1">
      <c r="A39" s="42"/>
      <c r="B39" s="45"/>
      <c r="C39" s="14">
        <f>C38</f>
        <v>353410</v>
      </c>
      <c r="D39" s="14">
        <f>D38</f>
        <v>353410</v>
      </c>
      <c r="E39" s="12">
        <f t="shared" si="0"/>
        <v>0</v>
      </c>
      <c r="F39" s="40"/>
      <c r="G39" s="15"/>
      <c r="H39" s="4" t="s">
        <v>19</v>
      </c>
    </row>
    <row r="40" spans="1:8" ht="22.5" customHeight="1">
      <c r="A40" s="41" t="s">
        <v>40</v>
      </c>
      <c r="B40" s="44" t="s">
        <v>182</v>
      </c>
      <c r="C40" s="13">
        <v>6972</v>
      </c>
      <c r="D40" s="13">
        <v>6680</v>
      </c>
      <c r="E40" s="10">
        <f t="shared" si="0"/>
        <v>-292</v>
      </c>
      <c r="F40" s="39" t="s">
        <v>2</v>
      </c>
      <c r="G40" s="25"/>
      <c r="H40" s="4" t="s">
        <v>18</v>
      </c>
    </row>
    <row r="41" spans="1:8" ht="22.5" customHeight="1">
      <c r="A41" s="42"/>
      <c r="B41" s="45"/>
      <c r="C41" s="14">
        <f>C40</f>
        <v>6972</v>
      </c>
      <c r="D41" s="14">
        <f>D40</f>
        <v>6680</v>
      </c>
      <c r="E41" s="12">
        <f t="shared" si="0"/>
        <v>-292</v>
      </c>
      <c r="F41" s="40"/>
      <c r="G41" s="15"/>
      <c r="H41" s="4" t="s">
        <v>19</v>
      </c>
    </row>
    <row r="42" spans="1:8" ht="22.5" customHeight="1">
      <c r="A42" s="41" t="s">
        <v>157</v>
      </c>
      <c r="B42" s="44" t="s">
        <v>33</v>
      </c>
      <c r="C42" s="13">
        <v>874</v>
      </c>
      <c r="D42" s="13">
        <v>346</v>
      </c>
      <c r="E42" s="10">
        <f t="shared" si="0"/>
        <v>-528</v>
      </c>
      <c r="F42" s="39" t="s">
        <v>2</v>
      </c>
      <c r="G42" s="25"/>
      <c r="H42" s="4" t="s">
        <v>18</v>
      </c>
    </row>
    <row r="43" spans="1:8" ht="22.5" customHeight="1">
      <c r="A43" s="42"/>
      <c r="B43" s="45"/>
      <c r="C43" s="14">
        <f>C42</f>
        <v>874</v>
      </c>
      <c r="D43" s="14">
        <f>D42</f>
        <v>346</v>
      </c>
      <c r="E43" s="12">
        <f t="shared" si="0"/>
        <v>-528</v>
      </c>
      <c r="F43" s="40"/>
      <c r="G43" s="15"/>
      <c r="H43" s="4" t="s">
        <v>19</v>
      </c>
    </row>
    <row r="44" spans="1:8" ht="15" customHeight="1">
      <c r="A44" s="65" t="s">
        <v>172</v>
      </c>
      <c r="B44" s="44" t="s">
        <v>173</v>
      </c>
      <c r="C44" s="13">
        <v>208461</v>
      </c>
      <c r="D44" s="13">
        <v>346009</v>
      </c>
      <c r="E44" s="13">
        <f t="shared" ref="E44:E47" si="1">+D44-C44</f>
        <v>137548</v>
      </c>
      <c r="F44" s="35" t="s">
        <v>2</v>
      </c>
      <c r="G44" s="31"/>
      <c r="H44" s="4" t="s">
        <v>18</v>
      </c>
    </row>
    <row r="45" spans="1:8" ht="15" customHeight="1">
      <c r="A45" s="66"/>
      <c r="B45" s="45"/>
      <c r="C45" s="14">
        <f>C44</f>
        <v>208461</v>
      </c>
      <c r="D45" s="14">
        <f>D44-97801</f>
        <v>248208</v>
      </c>
      <c r="E45" s="12">
        <f t="shared" si="1"/>
        <v>39747</v>
      </c>
      <c r="F45" s="36"/>
      <c r="G45" s="15"/>
      <c r="H45" s="4" t="s">
        <v>19</v>
      </c>
    </row>
    <row r="46" spans="1:8" ht="22.5" customHeight="1">
      <c r="A46" s="65" t="s">
        <v>206</v>
      </c>
      <c r="B46" s="44" t="s">
        <v>173</v>
      </c>
      <c r="C46" s="13">
        <v>0</v>
      </c>
      <c r="D46" s="13">
        <v>30812</v>
      </c>
      <c r="E46" s="13">
        <f t="shared" si="1"/>
        <v>30812</v>
      </c>
      <c r="F46" s="35" t="s">
        <v>2</v>
      </c>
      <c r="G46" s="31"/>
      <c r="H46" s="4" t="s">
        <v>18</v>
      </c>
    </row>
    <row r="47" spans="1:8" ht="22.5" customHeight="1">
      <c r="A47" s="66"/>
      <c r="B47" s="45"/>
      <c r="C47" s="14">
        <f>C46</f>
        <v>0</v>
      </c>
      <c r="D47" s="14">
        <f>D46</f>
        <v>30812</v>
      </c>
      <c r="E47" s="12">
        <f t="shared" si="1"/>
        <v>30812</v>
      </c>
      <c r="F47" s="36"/>
      <c r="G47" s="15"/>
      <c r="H47" s="4" t="s">
        <v>19</v>
      </c>
    </row>
    <row r="48" spans="1:8" ht="15" customHeight="1">
      <c r="A48" s="46" t="s">
        <v>64</v>
      </c>
      <c r="B48" s="44" t="s">
        <v>28</v>
      </c>
      <c r="C48" s="10">
        <v>122087</v>
      </c>
      <c r="D48" s="10">
        <v>60570</v>
      </c>
      <c r="E48" s="10">
        <f t="shared" si="0"/>
        <v>-61517</v>
      </c>
      <c r="F48" s="39"/>
      <c r="G48" s="25"/>
      <c r="H48" s="4" t="s">
        <v>18</v>
      </c>
    </row>
    <row r="49" spans="1:8" ht="15" customHeight="1">
      <c r="A49" s="47"/>
      <c r="B49" s="45"/>
      <c r="C49" s="11">
        <f>C48</f>
        <v>122087</v>
      </c>
      <c r="D49" s="11">
        <f>D48</f>
        <v>60570</v>
      </c>
      <c r="E49" s="12">
        <f t="shared" si="0"/>
        <v>-61517</v>
      </c>
      <c r="F49" s="40"/>
      <c r="G49" s="15"/>
      <c r="H49" s="4" t="s">
        <v>19</v>
      </c>
    </row>
    <row r="50" spans="1:8" ht="15" customHeight="1">
      <c r="A50" s="46" t="s">
        <v>44</v>
      </c>
      <c r="B50" s="44" t="s">
        <v>42</v>
      </c>
      <c r="C50" s="13">
        <v>105670</v>
      </c>
      <c r="D50" s="13">
        <v>105005</v>
      </c>
      <c r="E50" s="10">
        <f t="shared" si="0"/>
        <v>-665</v>
      </c>
      <c r="F50" s="39"/>
      <c r="G50" s="25"/>
      <c r="H50" s="4" t="s">
        <v>18</v>
      </c>
    </row>
    <row r="51" spans="1:8" ht="15" customHeight="1">
      <c r="A51" s="47"/>
      <c r="B51" s="45"/>
      <c r="C51" s="14">
        <f>C50-33263-5880</f>
        <v>66527</v>
      </c>
      <c r="D51" s="14">
        <f>D50-33010-5973</f>
        <v>66022</v>
      </c>
      <c r="E51" s="12">
        <f t="shared" si="0"/>
        <v>-505</v>
      </c>
      <c r="F51" s="40"/>
      <c r="G51" s="15"/>
      <c r="H51" s="4" t="s">
        <v>19</v>
      </c>
    </row>
    <row r="52" spans="1:8" ht="22.5" customHeight="1">
      <c r="A52" s="46" t="s">
        <v>45</v>
      </c>
      <c r="B52" s="44" t="s">
        <v>42</v>
      </c>
      <c r="C52" s="13">
        <v>46463</v>
      </c>
      <c r="D52" s="13">
        <v>53573</v>
      </c>
      <c r="E52" s="10">
        <f t="shared" si="0"/>
        <v>7110</v>
      </c>
      <c r="F52" s="39"/>
      <c r="G52" s="25"/>
      <c r="H52" s="4" t="s">
        <v>18</v>
      </c>
    </row>
    <row r="53" spans="1:8" ht="22.5" customHeight="1">
      <c r="A53" s="47"/>
      <c r="B53" s="45"/>
      <c r="C53" s="14">
        <f>C52</f>
        <v>46463</v>
      </c>
      <c r="D53" s="14">
        <f>D52</f>
        <v>53573</v>
      </c>
      <c r="E53" s="12">
        <f t="shared" si="0"/>
        <v>7110</v>
      </c>
      <c r="F53" s="40"/>
      <c r="G53" s="15"/>
      <c r="H53" s="4" t="s">
        <v>19</v>
      </c>
    </row>
    <row r="54" spans="1:8" ht="22.5" customHeight="1">
      <c r="A54" s="46" t="s">
        <v>46</v>
      </c>
      <c r="B54" s="44" t="s">
        <v>187</v>
      </c>
      <c r="C54" s="13">
        <f>49189+3274+3552</f>
        <v>56015</v>
      </c>
      <c r="D54" s="13">
        <f>53662+3993+0</f>
        <v>57655</v>
      </c>
      <c r="E54" s="10">
        <f t="shared" si="0"/>
        <v>1640</v>
      </c>
      <c r="F54" s="39"/>
      <c r="G54" s="25"/>
      <c r="H54" s="4" t="s">
        <v>18</v>
      </c>
    </row>
    <row r="55" spans="1:8" ht="22.5" customHeight="1">
      <c r="A55" s="47"/>
      <c r="B55" s="45"/>
      <c r="C55" s="14">
        <f>C54-71-5000-3000-3552</f>
        <v>44392</v>
      </c>
      <c r="D55" s="14">
        <f>D54-71-3900</f>
        <v>53684</v>
      </c>
      <c r="E55" s="12">
        <f t="shared" si="0"/>
        <v>9292</v>
      </c>
      <c r="F55" s="40"/>
      <c r="G55" s="15"/>
      <c r="H55" s="4" t="s">
        <v>19</v>
      </c>
    </row>
    <row r="56" spans="1:8" ht="15" customHeight="1">
      <c r="A56" s="46" t="s">
        <v>47</v>
      </c>
      <c r="B56" s="44" t="s">
        <v>184</v>
      </c>
      <c r="C56" s="13">
        <f>231+2193</f>
        <v>2424</v>
      </c>
      <c r="D56" s="13">
        <f>231+2171</f>
        <v>2402</v>
      </c>
      <c r="E56" s="10">
        <f t="shared" si="0"/>
        <v>-22</v>
      </c>
      <c r="F56" s="39"/>
      <c r="G56" s="25"/>
      <c r="H56" s="4" t="s">
        <v>18</v>
      </c>
    </row>
    <row r="57" spans="1:8" ht="15" customHeight="1">
      <c r="A57" s="47"/>
      <c r="B57" s="45"/>
      <c r="C57" s="14">
        <f>C56</f>
        <v>2424</v>
      </c>
      <c r="D57" s="14">
        <f>D56</f>
        <v>2402</v>
      </c>
      <c r="E57" s="12">
        <f t="shared" si="0"/>
        <v>-22</v>
      </c>
      <c r="F57" s="40"/>
      <c r="G57" s="15"/>
      <c r="H57" s="4" t="s">
        <v>19</v>
      </c>
    </row>
    <row r="58" spans="1:8" ht="15" customHeight="1">
      <c r="A58" s="43" t="s">
        <v>163</v>
      </c>
      <c r="B58" s="44" t="s">
        <v>185</v>
      </c>
      <c r="C58" s="13">
        <v>42783</v>
      </c>
      <c r="D58" s="13">
        <v>48960</v>
      </c>
      <c r="E58" s="10">
        <f t="shared" si="0"/>
        <v>6177</v>
      </c>
      <c r="F58" s="39"/>
      <c r="G58" s="25"/>
      <c r="H58" s="4" t="s">
        <v>18</v>
      </c>
    </row>
    <row r="59" spans="1:8" ht="15" customHeight="1">
      <c r="A59" s="43"/>
      <c r="B59" s="45"/>
      <c r="C59" s="14">
        <f>C58-12173</f>
        <v>30610</v>
      </c>
      <c r="D59" s="14">
        <f>D58-14362</f>
        <v>34598</v>
      </c>
      <c r="E59" s="12">
        <f t="shared" si="0"/>
        <v>3988</v>
      </c>
      <c r="F59" s="40"/>
      <c r="G59" s="15"/>
      <c r="H59" s="4" t="s">
        <v>19</v>
      </c>
    </row>
    <row r="60" spans="1:8" ht="22.5" customHeight="1">
      <c r="A60" s="43" t="s">
        <v>48</v>
      </c>
      <c r="B60" s="44" t="s">
        <v>145</v>
      </c>
      <c r="C60" s="10">
        <v>705</v>
      </c>
      <c r="D60" s="10">
        <v>920</v>
      </c>
      <c r="E60" s="10">
        <f t="shared" ref="E60:E97" si="2">+D60-C60</f>
        <v>215</v>
      </c>
      <c r="F60" s="39"/>
      <c r="G60" s="25"/>
      <c r="H60" s="4" t="s">
        <v>18</v>
      </c>
    </row>
    <row r="61" spans="1:8" ht="22.5" customHeight="1">
      <c r="A61" s="43"/>
      <c r="B61" s="45"/>
      <c r="C61" s="11">
        <f>C60</f>
        <v>705</v>
      </c>
      <c r="D61" s="11">
        <f>D60</f>
        <v>920</v>
      </c>
      <c r="E61" s="12">
        <f t="shared" si="2"/>
        <v>215</v>
      </c>
      <c r="F61" s="40"/>
      <c r="G61" s="15"/>
      <c r="H61" s="4" t="s">
        <v>19</v>
      </c>
    </row>
    <row r="62" spans="1:8" ht="22.5" customHeight="1">
      <c r="A62" s="43" t="s">
        <v>49</v>
      </c>
      <c r="B62" s="44" t="s">
        <v>188</v>
      </c>
      <c r="C62" s="13">
        <f>78206+716645</f>
        <v>794851</v>
      </c>
      <c r="D62" s="13">
        <f>74317+720756</f>
        <v>795073</v>
      </c>
      <c r="E62" s="10">
        <f t="shared" si="2"/>
        <v>222</v>
      </c>
      <c r="F62" s="39"/>
      <c r="G62" s="25"/>
      <c r="H62" s="4" t="s">
        <v>18</v>
      </c>
    </row>
    <row r="63" spans="1:8" ht="22.5" customHeight="1">
      <c r="A63" s="43"/>
      <c r="B63" s="45"/>
      <c r="C63" s="14">
        <f>C62</f>
        <v>794851</v>
      </c>
      <c r="D63" s="14">
        <f>D62-170300</f>
        <v>624773</v>
      </c>
      <c r="E63" s="12">
        <f t="shared" si="2"/>
        <v>-170078</v>
      </c>
      <c r="F63" s="40"/>
      <c r="G63" s="15"/>
      <c r="H63" s="4" t="s">
        <v>19</v>
      </c>
    </row>
    <row r="64" spans="1:8" ht="15" customHeight="1">
      <c r="A64" s="43" t="s">
        <v>50</v>
      </c>
      <c r="B64" s="44" t="s">
        <v>176</v>
      </c>
      <c r="C64" s="13">
        <f>13191+4408</f>
        <v>17599</v>
      </c>
      <c r="D64" s="13">
        <f>1816+1080+1859+136+500+3839+6220+2481+95+4363</f>
        <v>22389</v>
      </c>
      <c r="E64" s="10">
        <f t="shared" si="2"/>
        <v>4790</v>
      </c>
      <c r="F64" s="39"/>
      <c r="G64" s="25"/>
      <c r="H64" s="4" t="s">
        <v>18</v>
      </c>
    </row>
    <row r="65" spans="1:8" ht="15" customHeight="1">
      <c r="A65" s="43"/>
      <c r="B65" s="45"/>
      <c r="C65" s="14">
        <f>C64-1080-650</f>
        <v>15869</v>
      </c>
      <c r="D65" s="14">
        <f>D64-1080-500</f>
        <v>20809</v>
      </c>
      <c r="E65" s="12">
        <f t="shared" si="2"/>
        <v>4940</v>
      </c>
      <c r="F65" s="40"/>
      <c r="G65" s="15"/>
      <c r="H65" s="4" t="s">
        <v>19</v>
      </c>
    </row>
    <row r="66" spans="1:8" ht="22.5" customHeight="1">
      <c r="A66" s="43" t="s">
        <v>51</v>
      </c>
      <c r="B66" s="44" t="s">
        <v>42</v>
      </c>
      <c r="C66" s="13">
        <f>158970+1015</f>
        <v>159985</v>
      </c>
      <c r="D66" s="13">
        <f>24405+102598+47664+1015</f>
        <v>175682</v>
      </c>
      <c r="E66" s="10">
        <f t="shared" si="2"/>
        <v>15697</v>
      </c>
      <c r="F66" s="39"/>
      <c r="G66" s="25"/>
      <c r="H66" s="4" t="s">
        <v>18</v>
      </c>
    </row>
    <row r="67" spans="1:8" ht="22.5" customHeight="1">
      <c r="A67" s="43"/>
      <c r="B67" s="45"/>
      <c r="C67" s="14">
        <f>C66-30614-7904</f>
        <v>121467</v>
      </c>
      <c r="D67" s="14">
        <f>D66-34199-10873-7904</f>
        <v>122706</v>
      </c>
      <c r="E67" s="12">
        <f t="shared" si="2"/>
        <v>1239</v>
      </c>
      <c r="F67" s="40"/>
      <c r="G67" s="15"/>
      <c r="H67" s="4" t="s">
        <v>19</v>
      </c>
    </row>
    <row r="68" spans="1:8" ht="22.5" customHeight="1">
      <c r="A68" s="43" t="s">
        <v>52</v>
      </c>
      <c r="B68" s="44" t="s">
        <v>53</v>
      </c>
      <c r="C68" s="13">
        <v>644</v>
      </c>
      <c r="D68" s="13">
        <v>714</v>
      </c>
      <c r="E68" s="10">
        <f t="shared" si="2"/>
        <v>70</v>
      </c>
      <c r="F68" s="39"/>
      <c r="G68" s="25"/>
      <c r="H68" s="4" t="s">
        <v>18</v>
      </c>
    </row>
    <row r="69" spans="1:8" ht="22.5" customHeight="1">
      <c r="A69" s="43"/>
      <c r="B69" s="45"/>
      <c r="C69" s="14">
        <f>C68</f>
        <v>644</v>
      </c>
      <c r="D69" s="14">
        <f>D68</f>
        <v>714</v>
      </c>
      <c r="E69" s="12">
        <f t="shared" si="2"/>
        <v>70</v>
      </c>
      <c r="F69" s="40"/>
      <c r="G69" s="15"/>
      <c r="H69" s="4" t="s">
        <v>19</v>
      </c>
    </row>
    <row r="70" spans="1:8" ht="15" customHeight="1">
      <c r="A70" s="43" t="s">
        <v>146</v>
      </c>
      <c r="B70" s="44" t="s">
        <v>42</v>
      </c>
      <c r="C70" s="13">
        <v>252205</v>
      </c>
      <c r="D70" s="13">
        <v>291078</v>
      </c>
      <c r="E70" s="10">
        <f t="shared" si="2"/>
        <v>38873</v>
      </c>
      <c r="F70" s="39"/>
      <c r="G70" s="25"/>
      <c r="H70" s="4" t="s">
        <v>18</v>
      </c>
    </row>
    <row r="71" spans="1:8" ht="15" customHeight="1">
      <c r="A71" s="43"/>
      <c r="B71" s="45"/>
      <c r="C71" s="14">
        <f>C70</f>
        <v>252205</v>
      </c>
      <c r="D71" s="14">
        <f>D70</f>
        <v>291078</v>
      </c>
      <c r="E71" s="12">
        <f t="shared" si="2"/>
        <v>38873</v>
      </c>
      <c r="F71" s="40"/>
      <c r="G71" s="15"/>
      <c r="H71" s="4" t="s">
        <v>19</v>
      </c>
    </row>
    <row r="72" spans="1:8" ht="15" customHeight="1">
      <c r="A72" s="43" t="s">
        <v>54</v>
      </c>
      <c r="B72" s="44" t="s">
        <v>42</v>
      </c>
      <c r="C72" s="13">
        <f>21680+1798</f>
        <v>23478</v>
      </c>
      <c r="D72" s="13">
        <f>24692+1885</f>
        <v>26577</v>
      </c>
      <c r="E72" s="10">
        <f t="shared" si="2"/>
        <v>3099</v>
      </c>
      <c r="F72" s="24"/>
      <c r="G72" s="25"/>
      <c r="H72" s="4" t="s">
        <v>18</v>
      </c>
    </row>
    <row r="73" spans="1:8" ht="15" customHeight="1">
      <c r="A73" s="43"/>
      <c r="B73" s="45"/>
      <c r="C73" s="14">
        <f>C72</f>
        <v>23478</v>
      </c>
      <c r="D73" s="14">
        <f>D72</f>
        <v>26577</v>
      </c>
      <c r="E73" s="12">
        <f t="shared" si="2"/>
        <v>3099</v>
      </c>
      <c r="F73" s="24"/>
      <c r="G73" s="15"/>
      <c r="H73" s="4" t="s">
        <v>19</v>
      </c>
    </row>
    <row r="74" spans="1:8" ht="15" customHeight="1">
      <c r="A74" s="43" t="s">
        <v>55</v>
      </c>
      <c r="B74" s="44" t="s">
        <v>56</v>
      </c>
      <c r="C74" s="13">
        <v>888542</v>
      </c>
      <c r="D74" s="13">
        <v>976737</v>
      </c>
      <c r="E74" s="10">
        <f t="shared" si="2"/>
        <v>88195</v>
      </c>
      <c r="F74" s="39"/>
      <c r="G74" s="25"/>
      <c r="H74" s="4" t="s">
        <v>18</v>
      </c>
    </row>
    <row r="75" spans="1:8" ht="15" customHeight="1">
      <c r="A75" s="43"/>
      <c r="B75" s="45"/>
      <c r="C75" s="14">
        <f>C74-154080</f>
        <v>734462</v>
      </c>
      <c r="D75" s="14">
        <f>D74-180480</f>
        <v>796257</v>
      </c>
      <c r="E75" s="12">
        <f t="shared" si="2"/>
        <v>61795</v>
      </c>
      <c r="F75" s="40"/>
      <c r="G75" s="15"/>
      <c r="H75" s="4" t="s">
        <v>19</v>
      </c>
    </row>
    <row r="76" spans="1:8" ht="15" customHeight="1">
      <c r="A76" s="43" t="s">
        <v>57</v>
      </c>
      <c r="B76" s="44" t="s">
        <v>42</v>
      </c>
      <c r="C76" s="10">
        <v>78181</v>
      </c>
      <c r="D76" s="10">
        <v>77399</v>
      </c>
      <c r="E76" s="10">
        <f t="shared" si="2"/>
        <v>-782</v>
      </c>
      <c r="F76" s="39"/>
      <c r="G76" s="25"/>
      <c r="H76" s="4" t="s">
        <v>18</v>
      </c>
    </row>
    <row r="77" spans="1:8" ht="15" customHeight="1">
      <c r="A77" s="43"/>
      <c r="B77" s="45"/>
      <c r="C77" s="11">
        <f>C76</f>
        <v>78181</v>
      </c>
      <c r="D77" s="11">
        <f>D76</f>
        <v>77399</v>
      </c>
      <c r="E77" s="12">
        <f t="shared" si="2"/>
        <v>-782</v>
      </c>
      <c r="F77" s="40"/>
      <c r="G77" s="15"/>
      <c r="H77" s="4" t="s">
        <v>19</v>
      </c>
    </row>
    <row r="78" spans="1:8" ht="15" customHeight="1">
      <c r="A78" s="43" t="s">
        <v>220</v>
      </c>
      <c r="B78" s="44" t="s">
        <v>42</v>
      </c>
      <c r="C78" s="13">
        <v>12679</v>
      </c>
      <c r="D78" s="13">
        <v>12679</v>
      </c>
      <c r="E78" s="10">
        <f t="shared" si="2"/>
        <v>0</v>
      </c>
      <c r="F78" s="39"/>
      <c r="G78" s="25"/>
      <c r="H78" s="4" t="s">
        <v>18</v>
      </c>
    </row>
    <row r="79" spans="1:8" ht="15" customHeight="1">
      <c r="A79" s="43"/>
      <c r="B79" s="45"/>
      <c r="C79" s="14">
        <f>C78-4226</f>
        <v>8453</v>
      </c>
      <c r="D79" s="14">
        <f>D78-4226</f>
        <v>8453</v>
      </c>
      <c r="E79" s="12">
        <f t="shared" si="2"/>
        <v>0</v>
      </c>
      <c r="F79" s="40"/>
      <c r="G79" s="15"/>
      <c r="H79" s="4" t="s">
        <v>19</v>
      </c>
    </row>
    <row r="80" spans="1:8" ht="15" customHeight="1">
      <c r="A80" s="43" t="s">
        <v>58</v>
      </c>
      <c r="B80" s="44" t="s">
        <v>37</v>
      </c>
      <c r="C80" s="13">
        <v>370</v>
      </c>
      <c r="D80" s="13">
        <v>824</v>
      </c>
      <c r="E80" s="10">
        <f t="shared" si="2"/>
        <v>454</v>
      </c>
      <c r="F80" s="39"/>
      <c r="G80" s="25"/>
      <c r="H80" s="4" t="s">
        <v>18</v>
      </c>
    </row>
    <row r="81" spans="1:8" ht="15" customHeight="1">
      <c r="A81" s="43"/>
      <c r="B81" s="45"/>
      <c r="C81" s="14">
        <f>C80</f>
        <v>370</v>
      </c>
      <c r="D81" s="14">
        <f>D80</f>
        <v>824</v>
      </c>
      <c r="E81" s="12">
        <f t="shared" si="2"/>
        <v>454</v>
      </c>
      <c r="F81" s="40"/>
      <c r="G81" s="15"/>
      <c r="H81" s="4" t="s">
        <v>19</v>
      </c>
    </row>
    <row r="82" spans="1:8" ht="22.5" customHeight="1">
      <c r="A82" s="43" t="s">
        <v>198</v>
      </c>
      <c r="B82" s="44" t="s">
        <v>42</v>
      </c>
      <c r="C82" s="13">
        <v>285854</v>
      </c>
      <c r="D82" s="13">
        <v>335128</v>
      </c>
      <c r="E82" s="10">
        <f t="shared" si="2"/>
        <v>49274</v>
      </c>
      <c r="F82" s="39"/>
      <c r="G82" s="25"/>
      <c r="H82" s="4" t="s">
        <v>18</v>
      </c>
    </row>
    <row r="83" spans="1:8" ht="22.5" customHeight="1">
      <c r="A83" s="43"/>
      <c r="B83" s="45"/>
      <c r="C83" s="14">
        <f>C82-60697</f>
        <v>225157</v>
      </c>
      <c r="D83" s="14">
        <f>D82-71154</f>
        <v>263974</v>
      </c>
      <c r="E83" s="12">
        <f t="shared" si="2"/>
        <v>38817</v>
      </c>
      <c r="F83" s="40"/>
      <c r="G83" s="15"/>
      <c r="H83" s="4" t="s">
        <v>19</v>
      </c>
    </row>
    <row r="84" spans="1:8" ht="15" customHeight="1">
      <c r="A84" s="43" t="s">
        <v>59</v>
      </c>
      <c r="B84" s="44" t="s">
        <v>42</v>
      </c>
      <c r="C84" s="10">
        <v>8127</v>
      </c>
      <c r="D84" s="10">
        <v>7922</v>
      </c>
      <c r="E84" s="10">
        <f t="shared" si="2"/>
        <v>-205</v>
      </c>
      <c r="F84" s="39"/>
      <c r="G84" s="25"/>
      <c r="H84" s="4" t="s">
        <v>18</v>
      </c>
    </row>
    <row r="85" spans="1:8" ht="15" customHeight="1">
      <c r="A85" s="43"/>
      <c r="B85" s="45"/>
      <c r="C85" s="11">
        <f>C84</f>
        <v>8127</v>
      </c>
      <c r="D85" s="11">
        <f>D84</f>
        <v>7922</v>
      </c>
      <c r="E85" s="12">
        <f t="shared" si="2"/>
        <v>-205</v>
      </c>
      <c r="F85" s="40"/>
      <c r="G85" s="15"/>
      <c r="H85" s="4" t="s">
        <v>19</v>
      </c>
    </row>
    <row r="86" spans="1:8" ht="15" customHeight="1">
      <c r="A86" s="43" t="s">
        <v>60</v>
      </c>
      <c r="B86" s="44" t="s">
        <v>42</v>
      </c>
      <c r="C86" s="13">
        <v>445078</v>
      </c>
      <c r="D86" s="13">
        <v>794762</v>
      </c>
      <c r="E86" s="10">
        <f t="shared" si="2"/>
        <v>349684</v>
      </c>
      <c r="F86" s="39"/>
      <c r="G86" s="25"/>
      <c r="H86" s="4" t="s">
        <v>18</v>
      </c>
    </row>
    <row r="87" spans="1:8" ht="15" customHeight="1">
      <c r="A87" s="43"/>
      <c r="B87" s="45"/>
      <c r="C87" s="14">
        <f>C86-74333</f>
        <v>370745</v>
      </c>
      <c r="D87" s="14">
        <f>D86-188490</f>
        <v>606272</v>
      </c>
      <c r="E87" s="12">
        <f t="shared" si="2"/>
        <v>235527</v>
      </c>
      <c r="F87" s="40"/>
      <c r="G87" s="15"/>
      <c r="H87" s="4" t="s">
        <v>19</v>
      </c>
    </row>
    <row r="88" spans="1:8" ht="22.5" customHeight="1">
      <c r="A88" s="43" t="s">
        <v>147</v>
      </c>
      <c r="B88" s="44" t="s">
        <v>42</v>
      </c>
      <c r="C88" s="13">
        <v>224025</v>
      </c>
      <c r="D88" s="13">
        <v>303445</v>
      </c>
      <c r="E88" s="10">
        <f t="shared" si="2"/>
        <v>79420</v>
      </c>
      <c r="F88" s="39"/>
      <c r="G88" s="25"/>
      <c r="H88" s="4" t="s">
        <v>18</v>
      </c>
    </row>
    <row r="89" spans="1:8" ht="22.5" customHeight="1">
      <c r="A89" s="43"/>
      <c r="B89" s="45"/>
      <c r="C89" s="14">
        <f>C88-74675</f>
        <v>149350</v>
      </c>
      <c r="D89" s="14">
        <f>D88-101148</f>
        <v>202297</v>
      </c>
      <c r="E89" s="12">
        <f t="shared" si="2"/>
        <v>52947</v>
      </c>
      <c r="F89" s="40"/>
      <c r="G89" s="15"/>
      <c r="H89" s="4" t="s">
        <v>19</v>
      </c>
    </row>
    <row r="90" spans="1:8" ht="15" customHeight="1">
      <c r="A90" s="43" t="s">
        <v>164</v>
      </c>
      <c r="B90" s="44" t="s">
        <v>42</v>
      </c>
      <c r="C90" s="13">
        <v>89926</v>
      </c>
      <c r="D90" s="13">
        <v>98211</v>
      </c>
      <c r="E90" s="10">
        <f t="shared" si="2"/>
        <v>8285</v>
      </c>
      <c r="F90" s="39"/>
      <c r="G90" s="25"/>
      <c r="H90" s="4" t="s">
        <v>18</v>
      </c>
    </row>
    <row r="91" spans="1:8" ht="15" customHeight="1">
      <c r="A91" s="43"/>
      <c r="B91" s="45"/>
      <c r="C91" s="14">
        <f>C90-24968</f>
        <v>64958</v>
      </c>
      <c r="D91" s="14">
        <f>D90-27729</f>
        <v>70482</v>
      </c>
      <c r="E91" s="12">
        <f t="shared" si="2"/>
        <v>5524</v>
      </c>
      <c r="F91" s="40"/>
      <c r="G91" s="15"/>
      <c r="H91" s="4" t="s">
        <v>19</v>
      </c>
    </row>
    <row r="92" spans="1:8" ht="26.25" customHeight="1">
      <c r="A92" s="43" t="s">
        <v>61</v>
      </c>
      <c r="B92" s="44" t="s">
        <v>33</v>
      </c>
      <c r="C92" s="13">
        <v>621305</v>
      </c>
      <c r="D92" s="13">
        <v>612775</v>
      </c>
      <c r="E92" s="10">
        <f t="shared" si="2"/>
        <v>-8530</v>
      </c>
      <c r="F92" s="39"/>
      <c r="G92" s="25"/>
      <c r="H92" s="4" t="s">
        <v>18</v>
      </c>
    </row>
    <row r="93" spans="1:8" ht="26.25" customHeight="1">
      <c r="A93" s="43"/>
      <c r="B93" s="45"/>
      <c r="C93" s="14">
        <f>C92</f>
        <v>621305</v>
      </c>
      <c r="D93" s="14">
        <f>D92</f>
        <v>612775</v>
      </c>
      <c r="E93" s="12">
        <f t="shared" si="2"/>
        <v>-8530</v>
      </c>
      <c r="F93" s="40"/>
      <c r="G93" s="15"/>
      <c r="H93" s="4" t="s">
        <v>19</v>
      </c>
    </row>
    <row r="94" spans="1:8" ht="15" customHeight="1">
      <c r="A94" s="43" t="s">
        <v>153</v>
      </c>
      <c r="B94" s="44" t="s">
        <v>154</v>
      </c>
      <c r="C94" s="13">
        <v>4803</v>
      </c>
      <c r="D94" s="13">
        <v>5108</v>
      </c>
      <c r="E94" s="10">
        <f t="shared" si="2"/>
        <v>305</v>
      </c>
      <c r="F94" s="39"/>
      <c r="G94" s="25"/>
      <c r="H94" s="4" t="s">
        <v>18</v>
      </c>
    </row>
    <row r="95" spans="1:8" ht="15" customHeight="1">
      <c r="A95" s="43"/>
      <c r="B95" s="45"/>
      <c r="C95" s="14">
        <f>C94</f>
        <v>4803</v>
      </c>
      <c r="D95" s="14">
        <f>D94-197</f>
        <v>4911</v>
      </c>
      <c r="E95" s="12">
        <f t="shared" si="2"/>
        <v>108</v>
      </c>
      <c r="F95" s="40"/>
      <c r="G95" s="15"/>
      <c r="H95" s="4" t="s">
        <v>19</v>
      </c>
    </row>
    <row r="96" spans="1:8" ht="15" customHeight="1">
      <c r="A96" s="43" t="s">
        <v>155</v>
      </c>
      <c r="B96" s="44" t="s">
        <v>154</v>
      </c>
      <c r="C96" s="13">
        <v>2232</v>
      </c>
      <c r="D96" s="13">
        <v>1100</v>
      </c>
      <c r="E96" s="10">
        <f t="shared" si="2"/>
        <v>-1132</v>
      </c>
      <c r="F96" s="24"/>
      <c r="G96" s="25"/>
      <c r="H96" s="4" t="s">
        <v>18</v>
      </c>
    </row>
    <row r="97" spans="1:8" ht="15" customHeight="1">
      <c r="A97" s="43"/>
      <c r="B97" s="45"/>
      <c r="C97" s="14">
        <f>C96</f>
        <v>2232</v>
      </c>
      <c r="D97" s="14">
        <f>D96</f>
        <v>1100</v>
      </c>
      <c r="E97" s="12">
        <f t="shared" si="2"/>
        <v>-1132</v>
      </c>
      <c r="F97" s="24"/>
      <c r="G97" s="15"/>
      <c r="H97" s="4" t="s">
        <v>19</v>
      </c>
    </row>
    <row r="98" spans="1:8" ht="22.5" customHeight="1">
      <c r="A98" s="43" t="s">
        <v>159</v>
      </c>
      <c r="B98" s="44" t="s">
        <v>161</v>
      </c>
      <c r="C98" s="13">
        <v>570936</v>
      </c>
      <c r="D98" s="13">
        <v>637613</v>
      </c>
      <c r="E98" s="10">
        <f t="shared" ref="E98:E109" si="3">+D98-C98</f>
        <v>66677</v>
      </c>
      <c r="F98" s="39" t="s">
        <v>2</v>
      </c>
      <c r="G98" s="25"/>
      <c r="H98" s="4" t="s">
        <v>18</v>
      </c>
    </row>
    <row r="99" spans="1:8" ht="22.5" customHeight="1">
      <c r="A99" s="43"/>
      <c r="B99" s="45"/>
      <c r="C99" s="14">
        <f>C98-46431</f>
        <v>524505</v>
      </c>
      <c r="D99" s="14">
        <f>D98-48163</f>
        <v>589450</v>
      </c>
      <c r="E99" s="12">
        <f t="shared" si="3"/>
        <v>64945</v>
      </c>
      <c r="F99" s="40"/>
      <c r="G99" s="15"/>
      <c r="H99" s="4" t="s">
        <v>19</v>
      </c>
    </row>
    <row r="100" spans="1:8" ht="22.5" customHeight="1">
      <c r="A100" s="48" t="s">
        <v>165</v>
      </c>
      <c r="B100" s="44" t="s">
        <v>42</v>
      </c>
      <c r="C100" s="13">
        <v>169528</v>
      </c>
      <c r="D100" s="13">
        <v>200579</v>
      </c>
      <c r="E100" s="10">
        <f t="shared" si="3"/>
        <v>31051</v>
      </c>
      <c r="F100" s="39"/>
      <c r="G100" s="25"/>
      <c r="H100" s="4" t="s">
        <v>18</v>
      </c>
    </row>
    <row r="101" spans="1:8" ht="22.5" customHeight="1">
      <c r="A101" s="48"/>
      <c r="B101" s="45"/>
      <c r="C101" s="14">
        <f>C100-56316</f>
        <v>113212</v>
      </c>
      <c r="D101" s="14">
        <f>D100-66837</f>
        <v>133742</v>
      </c>
      <c r="E101" s="12">
        <f t="shared" si="3"/>
        <v>20530</v>
      </c>
      <c r="F101" s="40"/>
      <c r="G101" s="15"/>
      <c r="H101" s="4" t="s">
        <v>19</v>
      </c>
    </row>
    <row r="102" spans="1:8" ht="15" customHeight="1">
      <c r="A102" s="48" t="s">
        <v>166</v>
      </c>
      <c r="B102" s="44" t="s">
        <v>42</v>
      </c>
      <c r="C102" s="13">
        <v>57193</v>
      </c>
      <c r="D102" s="13">
        <v>67356</v>
      </c>
      <c r="E102" s="10">
        <f t="shared" si="3"/>
        <v>10163</v>
      </c>
      <c r="F102" s="39"/>
      <c r="G102" s="25"/>
      <c r="H102" s="4" t="s">
        <v>18</v>
      </c>
    </row>
    <row r="103" spans="1:8" ht="15" customHeight="1">
      <c r="A103" s="48"/>
      <c r="B103" s="45"/>
      <c r="C103" s="14">
        <f>C102-18888</f>
        <v>38305</v>
      </c>
      <c r="D103" s="14">
        <f>D102-22276</f>
        <v>45080</v>
      </c>
      <c r="E103" s="12">
        <f t="shared" si="3"/>
        <v>6775</v>
      </c>
      <c r="F103" s="40"/>
      <c r="G103" s="15"/>
      <c r="H103" s="4" t="s">
        <v>19</v>
      </c>
    </row>
    <row r="104" spans="1:8" ht="15" customHeight="1">
      <c r="A104" s="48" t="s">
        <v>167</v>
      </c>
      <c r="B104" s="44" t="s">
        <v>42</v>
      </c>
      <c r="C104" s="13">
        <v>1117</v>
      </c>
      <c r="D104" s="13">
        <v>5077</v>
      </c>
      <c r="E104" s="10">
        <f t="shared" si="3"/>
        <v>3960</v>
      </c>
      <c r="F104" s="39"/>
      <c r="G104" s="25"/>
      <c r="H104" s="4" t="s">
        <v>18</v>
      </c>
    </row>
    <row r="105" spans="1:8" ht="15" customHeight="1">
      <c r="A105" s="48"/>
      <c r="B105" s="45"/>
      <c r="C105" s="14">
        <f>C104</f>
        <v>1117</v>
      </c>
      <c r="D105" s="14">
        <f>D104</f>
        <v>5077</v>
      </c>
      <c r="E105" s="12">
        <f t="shared" si="3"/>
        <v>3960</v>
      </c>
      <c r="F105" s="40"/>
      <c r="G105" s="15"/>
      <c r="H105" s="4" t="s">
        <v>19</v>
      </c>
    </row>
    <row r="106" spans="1:8" ht="15" customHeight="1">
      <c r="A106" s="48" t="s">
        <v>168</v>
      </c>
      <c r="B106" s="44" t="s">
        <v>169</v>
      </c>
      <c r="C106" s="10">
        <v>10990</v>
      </c>
      <c r="D106" s="10">
        <v>25544</v>
      </c>
      <c r="E106" s="10">
        <f t="shared" si="3"/>
        <v>14554</v>
      </c>
      <c r="F106" s="39"/>
      <c r="G106" s="25"/>
      <c r="H106" s="4" t="s">
        <v>18</v>
      </c>
    </row>
    <row r="107" spans="1:8" ht="15" customHeight="1">
      <c r="A107" s="48"/>
      <c r="B107" s="45"/>
      <c r="C107" s="11">
        <f>C106-3617</f>
        <v>7373</v>
      </c>
      <c r="D107" s="11">
        <f>D106-10300</f>
        <v>15244</v>
      </c>
      <c r="E107" s="12">
        <f t="shared" si="3"/>
        <v>7871</v>
      </c>
      <c r="F107" s="40"/>
      <c r="G107" s="15"/>
      <c r="H107" s="4" t="s">
        <v>19</v>
      </c>
    </row>
    <row r="108" spans="1:8" ht="22.5" customHeight="1">
      <c r="A108" s="48" t="s">
        <v>170</v>
      </c>
      <c r="B108" s="44" t="s">
        <v>171</v>
      </c>
      <c r="C108" s="13">
        <v>54648</v>
      </c>
      <c r="D108" s="13">
        <v>37569</v>
      </c>
      <c r="E108" s="10">
        <f t="shared" si="3"/>
        <v>-17079</v>
      </c>
      <c r="F108" s="39"/>
      <c r="G108" s="25"/>
      <c r="H108" s="4" t="s">
        <v>18</v>
      </c>
    </row>
    <row r="109" spans="1:8" ht="22.5" customHeight="1">
      <c r="A109" s="48"/>
      <c r="B109" s="45"/>
      <c r="C109" s="14">
        <f>C108</f>
        <v>54648</v>
      </c>
      <c r="D109" s="14">
        <f>D108</f>
        <v>37569</v>
      </c>
      <c r="E109" s="12">
        <f t="shared" si="3"/>
        <v>-17079</v>
      </c>
      <c r="F109" s="40"/>
      <c r="G109" s="15"/>
      <c r="H109" s="4" t="s">
        <v>19</v>
      </c>
    </row>
    <row r="110" spans="1:8" ht="15" customHeight="1">
      <c r="A110" s="43" t="s">
        <v>207</v>
      </c>
      <c r="B110" s="44" t="s">
        <v>208</v>
      </c>
      <c r="C110" s="13">
        <v>0</v>
      </c>
      <c r="D110" s="13">
        <v>21448</v>
      </c>
      <c r="E110" s="10">
        <f t="shared" ref="E110:E117" si="4">+D110-C110</f>
        <v>21448</v>
      </c>
      <c r="F110" s="39"/>
      <c r="G110" s="25"/>
      <c r="H110" s="4" t="s">
        <v>18</v>
      </c>
    </row>
    <row r="111" spans="1:8" ht="15" customHeight="1">
      <c r="A111" s="43"/>
      <c r="B111" s="45"/>
      <c r="C111" s="14">
        <v>0</v>
      </c>
      <c r="D111" s="14">
        <f>D110-6547</f>
        <v>14901</v>
      </c>
      <c r="E111" s="12">
        <f t="shared" si="4"/>
        <v>14901</v>
      </c>
      <c r="F111" s="40"/>
      <c r="G111" s="15"/>
      <c r="H111" s="4" t="s">
        <v>19</v>
      </c>
    </row>
    <row r="112" spans="1:8" ht="22.5" customHeight="1">
      <c r="A112" s="43" t="s">
        <v>209</v>
      </c>
      <c r="B112" s="44" t="s">
        <v>208</v>
      </c>
      <c r="C112" s="13">
        <v>0</v>
      </c>
      <c r="D112" s="13">
        <v>105863</v>
      </c>
      <c r="E112" s="10">
        <f t="shared" si="4"/>
        <v>105863</v>
      </c>
      <c r="F112" s="39"/>
      <c r="G112" s="25"/>
      <c r="H112" s="4" t="s">
        <v>18</v>
      </c>
    </row>
    <row r="113" spans="1:8" ht="22.5" customHeight="1">
      <c r="A113" s="43"/>
      <c r="B113" s="45"/>
      <c r="C113" s="14">
        <v>0</v>
      </c>
      <c r="D113" s="14">
        <f>D112-35287</f>
        <v>70576</v>
      </c>
      <c r="E113" s="12">
        <f t="shared" si="4"/>
        <v>70576</v>
      </c>
      <c r="F113" s="40"/>
      <c r="G113" s="15"/>
      <c r="H113" s="4" t="s">
        <v>19</v>
      </c>
    </row>
    <row r="114" spans="1:8" ht="22.5" customHeight="1">
      <c r="A114" s="43" t="s">
        <v>206</v>
      </c>
      <c r="B114" s="44" t="s">
        <v>210</v>
      </c>
      <c r="C114" s="13">
        <v>0</v>
      </c>
      <c r="D114" s="13">
        <f>22046+4000+48991</f>
        <v>75037</v>
      </c>
      <c r="E114" s="10">
        <f t="shared" si="4"/>
        <v>75037</v>
      </c>
      <c r="F114" s="39"/>
      <c r="G114" s="25"/>
      <c r="H114" s="4" t="s">
        <v>18</v>
      </c>
    </row>
    <row r="115" spans="1:8" ht="22.5" customHeight="1">
      <c r="A115" s="43"/>
      <c r="B115" s="45"/>
      <c r="C115" s="14">
        <v>0</v>
      </c>
      <c r="D115" s="14">
        <f>D114-4281</f>
        <v>70756</v>
      </c>
      <c r="E115" s="12">
        <f t="shared" si="4"/>
        <v>70756</v>
      </c>
      <c r="F115" s="40"/>
      <c r="G115" s="15"/>
      <c r="H115" s="4" t="s">
        <v>19</v>
      </c>
    </row>
    <row r="116" spans="1:8" ht="22.5" customHeight="1">
      <c r="A116" s="67" t="s">
        <v>197</v>
      </c>
      <c r="B116" s="44" t="s">
        <v>43</v>
      </c>
      <c r="C116" s="13">
        <v>36116</v>
      </c>
      <c r="D116" s="13">
        <v>0</v>
      </c>
      <c r="E116" s="10">
        <f t="shared" si="4"/>
        <v>-36116</v>
      </c>
      <c r="F116" s="39"/>
      <c r="G116" s="25"/>
      <c r="H116" s="4" t="s">
        <v>18</v>
      </c>
    </row>
    <row r="117" spans="1:8" ht="22.5" customHeight="1">
      <c r="A117" s="67"/>
      <c r="B117" s="45"/>
      <c r="C117" s="14">
        <f>C116</f>
        <v>36116</v>
      </c>
      <c r="D117" s="14">
        <f>D116</f>
        <v>0</v>
      </c>
      <c r="E117" s="12">
        <f t="shared" si="4"/>
        <v>-36116</v>
      </c>
      <c r="F117" s="40"/>
      <c r="G117" s="15"/>
      <c r="H117" s="4" t="s">
        <v>19</v>
      </c>
    </row>
    <row r="118" spans="1:8" ht="15" customHeight="1">
      <c r="A118" s="67" t="s">
        <v>151</v>
      </c>
      <c r="B118" s="44" t="s">
        <v>42</v>
      </c>
      <c r="C118" s="13">
        <v>340</v>
      </c>
      <c r="D118" s="13">
        <v>0</v>
      </c>
      <c r="E118" s="10">
        <f t="shared" ref="E118:E119" si="5">+D118-C118</f>
        <v>-340</v>
      </c>
      <c r="F118" s="39"/>
      <c r="G118" s="25"/>
      <c r="H118" s="4" t="s">
        <v>18</v>
      </c>
    </row>
    <row r="119" spans="1:8" ht="15" customHeight="1">
      <c r="A119" s="67"/>
      <c r="B119" s="45"/>
      <c r="C119" s="14">
        <f>C118</f>
        <v>340</v>
      </c>
      <c r="D119" s="14">
        <f>D118</f>
        <v>0</v>
      </c>
      <c r="E119" s="12">
        <f t="shared" si="5"/>
        <v>-340</v>
      </c>
      <c r="F119" s="40"/>
      <c r="G119" s="15"/>
      <c r="H119" s="4" t="s">
        <v>19</v>
      </c>
    </row>
    <row r="120" spans="1:8" ht="26.25" customHeight="1">
      <c r="A120" s="67" t="s">
        <v>65</v>
      </c>
      <c r="B120" s="44" t="s">
        <v>42</v>
      </c>
      <c r="C120" s="13">
        <v>318602</v>
      </c>
      <c r="D120" s="13">
        <v>0</v>
      </c>
      <c r="E120" s="10">
        <f>+D120-C120</f>
        <v>-318602</v>
      </c>
      <c r="F120" s="39"/>
      <c r="G120" s="25"/>
      <c r="H120" s="4" t="s">
        <v>18</v>
      </c>
    </row>
    <row r="121" spans="1:8" ht="26.25" customHeight="1">
      <c r="A121" s="67"/>
      <c r="B121" s="45"/>
      <c r="C121" s="14">
        <f>C120-105759</f>
        <v>212843</v>
      </c>
      <c r="D121" s="14">
        <f>D120</f>
        <v>0</v>
      </c>
      <c r="E121" s="12">
        <f>+D121-C121</f>
        <v>-212843</v>
      </c>
      <c r="F121" s="40"/>
      <c r="G121" s="15"/>
      <c r="H121" s="4" t="s">
        <v>19</v>
      </c>
    </row>
    <row r="122" spans="1:8" ht="15" customHeight="1">
      <c r="A122" s="43" t="s">
        <v>66</v>
      </c>
      <c r="B122" s="44" t="s">
        <v>67</v>
      </c>
      <c r="C122" s="13">
        <v>16531</v>
      </c>
      <c r="D122" s="13">
        <v>17177</v>
      </c>
      <c r="E122" s="10">
        <f t="shared" ref="E122:E179" si="6">+D122-C122</f>
        <v>646</v>
      </c>
      <c r="F122" s="39"/>
      <c r="G122" s="25"/>
      <c r="H122" s="4" t="s">
        <v>18</v>
      </c>
    </row>
    <row r="123" spans="1:8" ht="15" customHeight="1">
      <c r="A123" s="43"/>
      <c r="B123" s="45"/>
      <c r="C123" s="14">
        <f>C122</f>
        <v>16531</v>
      </c>
      <c r="D123" s="14">
        <f>D122</f>
        <v>17177</v>
      </c>
      <c r="E123" s="12">
        <f t="shared" si="6"/>
        <v>646</v>
      </c>
      <c r="F123" s="40"/>
      <c r="G123" s="15"/>
      <c r="H123" s="4" t="s">
        <v>19</v>
      </c>
    </row>
    <row r="124" spans="1:8" ht="15" customHeight="1">
      <c r="A124" s="43" t="s">
        <v>68</v>
      </c>
      <c r="B124" s="44" t="s">
        <v>67</v>
      </c>
      <c r="C124" s="10">
        <v>4450</v>
      </c>
      <c r="D124" s="10">
        <v>6337</v>
      </c>
      <c r="E124" s="10">
        <f t="shared" si="6"/>
        <v>1887</v>
      </c>
      <c r="F124" s="39"/>
      <c r="G124" s="25"/>
      <c r="H124" s="4" t="s">
        <v>18</v>
      </c>
    </row>
    <row r="125" spans="1:8" ht="15" customHeight="1">
      <c r="A125" s="43"/>
      <c r="B125" s="45"/>
      <c r="C125" s="11">
        <f>C124</f>
        <v>4450</v>
      </c>
      <c r="D125" s="11">
        <f>D124</f>
        <v>6337</v>
      </c>
      <c r="E125" s="12">
        <f t="shared" si="6"/>
        <v>1887</v>
      </c>
      <c r="F125" s="40"/>
      <c r="G125" s="15"/>
      <c r="H125" s="4" t="s">
        <v>19</v>
      </c>
    </row>
    <row r="126" spans="1:8" ht="15" customHeight="1">
      <c r="A126" s="43" t="s">
        <v>69</v>
      </c>
      <c r="B126" s="44" t="s">
        <v>67</v>
      </c>
      <c r="C126" s="13">
        <v>275</v>
      </c>
      <c r="D126" s="13">
        <v>275</v>
      </c>
      <c r="E126" s="10">
        <f t="shared" si="6"/>
        <v>0</v>
      </c>
      <c r="F126" s="39"/>
      <c r="G126" s="25"/>
      <c r="H126" s="4" t="s">
        <v>18</v>
      </c>
    </row>
    <row r="127" spans="1:8" ht="15" customHeight="1">
      <c r="A127" s="43"/>
      <c r="B127" s="45"/>
      <c r="C127" s="14">
        <f>C126</f>
        <v>275</v>
      </c>
      <c r="D127" s="14">
        <f>D126</f>
        <v>275</v>
      </c>
      <c r="E127" s="12">
        <f t="shared" si="6"/>
        <v>0</v>
      </c>
      <c r="F127" s="40"/>
      <c r="G127" s="15"/>
      <c r="H127" s="4" t="s">
        <v>19</v>
      </c>
    </row>
    <row r="128" spans="1:8" ht="15" customHeight="1">
      <c r="A128" s="43" t="s">
        <v>71</v>
      </c>
      <c r="B128" s="44" t="s">
        <v>67</v>
      </c>
      <c r="C128" s="13">
        <v>4724</v>
      </c>
      <c r="D128" s="13">
        <v>5224</v>
      </c>
      <c r="E128" s="10">
        <f t="shared" si="6"/>
        <v>500</v>
      </c>
      <c r="F128" s="39"/>
      <c r="G128" s="25"/>
      <c r="H128" s="4" t="s">
        <v>18</v>
      </c>
    </row>
    <row r="129" spans="1:8" ht="15" customHeight="1">
      <c r="A129" s="43"/>
      <c r="B129" s="45"/>
      <c r="C129" s="14">
        <f>C128-4500</f>
        <v>224</v>
      </c>
      <c r="D129" s="14">
        <f>D128-5000</f>
        <v>224</v>
      </c>
      <c r="E129" s="12">
        <f t="shared" si="6"/>
        <v>0</v>
      </c>
      <c r="F129" s="40"/>
      <c r="G129" s="15"/>
      <c r="H129" s="4" t="s">
        <v>19</v>
      </c>
    </row>
    <row r="130" spans="1:8" ht="15" customHeight="1">
      <c r="A130" s="43" t="s">
        <v>72</v>
      </c>
      <c r="B130" s="44" t="s">
        <v>67</v>
      </c>
      <c r="C130" s="13">
        <v>2085</v>
      </c>
      <c r="D130" s="13">
        <v>1742</v>
      </c>
      <c r="E130" s="10">
        <f t="shared" si="6"/>
        <v>-343</v>
      </c>
      <c r="F130" s="39"/>
      <c r="G130" s="25"/>
      <c r="H130" s="4" t="s">
        <v>18</v>
      </c>
    </row>
    <row r="131" spans="1:8" ht="15" customHeight="1">
      <c r="A131" s="43"/>
      <c r="B131" s="45"/>
      <c r="C131" s="14">
        <f>C130-2085</f>
        <v>0</v>
      </c>
      <c r="D131" s="12">
        <f>D130-1742</f>
        <v>0</v>
      </c>
      <c r="E131" s="12">
        <f t="shared" si="6"/>
        <v>0</v>
      </c>
      <c r="F131" s="40"/>
      <c r="G131" s="15"/>
      <c r="H131" s="4" t="s">
        <v>19</v>
      </c>
    </row>
    <row r="132" spans="1:8" ht="15" customHeight="1">
      <c r="A132" s="43" t="s">
        <v>199</v>
      </c>
      <c r="B132" s="44" t="s">
        <v>67</v>
      </c>
      <c r="C132" s="13">
        <v>294774</v>
      </c>
      <c r="D132" s="13">
        <v>308082</v>
      </c>
      <c r="E132" s="10">
        <f t="shared" si="6"/>
        <v>13308</v>
      </c>
      <c r="F132" s="39"/>
      <c r="G132" s="25"/>
      <c r="H132" s="4" t="s">
        <v>18</v>
      </c>
    </row>
    <row r="133" spans="1:8" ht="15" customHeight="1">
      <c r="A133" s="43"/>
      <c r="B133" s="45"/>
      <c r="C133" s="14">
        <f>C132</f>
        <v>294774</v>
      </c>
      <c r="D133" s="14">
        <f>D132</f>
        <v>308082</v>
      </c>
      <c r="E133" s="12">
        <f t="shared" si="6"/>
        <v>13308</v>
      </c>
      <c r="F133" s="40"/>
      <c r="G133" s="15"/>
      <c r="H133" s="4" t="s">
        <v>19</v>
      </c>
    </row>
    <row r="134" spans="1:8" ht="15" customHeight="1">
      <c r="A134" s="43" t="s">
        <v>73</v>
      </c>
      <c r="B134" s="44" t="s">
        <v>67</v>
      </c>
      <c r="C134" s="13">
        <v>17864</v>
      </c>
      <c r="D134" s="13">
        <v>18030</v>
      </c>
      <c r="E134" s="10">
        <f t="shared" si="6"/>
        <v>166</v>
      </c>
      <c r="F134" s="39"/>
      <c r="G134" s="25"/>
      <c r="H134" s="4" t="s">
        <v>18</v>
      </c>
    </row>
    <row r="135" spans="1:8" ht="15" customHeight="1">
      <c r="A135" s="43"/>
      <c r="B135" s="45"/>
      <c r="C135" s="14">
        <f>C134</f>
        <v>17864</v>
      </c>
      <c r="D135" s="14">
        <f>D134</f>
        <v>18030</v>
      </c>
      <c r="E135" s="12">
        <f t="shared" si="6"/>
        <v>166</v>
      </c>
      <c r="F135" s="40"/>
      <c r="G135" s="15"/>
      <c r="H135" s="4" t="s">
        <v>19</v>
      </c>
    </row>
    <row r="136" spans="1:8" ht="15" customHeight="1">
      <c r="A136" s="43" t="s">
        <v>74</v>
      </c>
      <c r="B136" s="44" t="s">
        <v>67</v>
      </c>
      <c r="C136" s="10">
        <f>63977+19896</f>
        <v>83873</v>
      </c>
      <c r="D136" s="10">
        <f>50772+6060</f>
        <v>56832</v>
      </c>
      <c r="E136" s="10">
        <f t="shared" si="6"/>
        <v>-27041</v>
      </c>
      <c r="F136" s="39"/>
      <c r="G136" s="25"/>
      <c r="H136" s="4" t="s">
        <v>18</v>
      </c>
    </row>
    <row r="137" spans="1:8" ht="15" customHeight="1">
      <c r="A137" s="43"/>
      <c r="B137" s="45"/>
      <c r="C137" s="11">
        <f>C136-81-26</f>
        <v>83766</v>
      </c>
      <c r="D137" s="11">
        <f>D136-36-13</f>
        <v>56783</v>
      </c>
      <c r="E137" s="32">
        <f t="shared" si="6"/>
        <v>-26983</v>
      </c>
      <c r="F137" s="40"/>
      <c r="G137" s="15"/>
      <c r="H137" s="4" t="s">
        <v>19</v>
      </c>
    </row>
    <row r="138" spans="1:8" ht="15" customHeight="1">
      <c r="A138" s="43" t="s">
        <v>211</v>
      </c>
      <c r="B138" s="44" t="s">
        <v>67</v>
      </c>
      <c r="C138" s="13">
        <v>0</v>
      </c>
      <c r="D138" s="13">
        <v>14945</v>
      </c>
      <c r="E138" s="13">
        <f t="shared" ref="E138:E139" si="7">+D138-C138</f>
        <v>14945</v>
      </c>
      <c r="F138" s="39"/>
      <c r="G138" s="25"/>
      <c r="H138" s="4" t="s">
        <v>18</v>
      </c>
    </row>
    <row r="139" spans="1:8" ht="15" customHeight="1">
      <c r="A139" s="43"/>
      <c r="B139" s="45"/>
      <c r="C139" s="14">
        <f>C138</f>
        <v>0</v>
      </c>
      <c r="D139" s="14">
        <f>D138</f>
        <v>14945</v>
      </c>
      <c r="E139" s="12">
        <f t="shared" si="7"/>
        <v>14945</v>
      </c>
      <c r="F139" s="40"/>
      <c r="G139" s="15"/>
      <c r="H139" s="4" t="s">
        <v>19</v>
      </c>
    </row>
    <row r="140" spans="1:8" ht="22.5" customHeight="1">
      <c r="A140" s="43" t="s">
        <v>206</v>
      </c>
      <c r="B140" s="44" t="s">
        <v>210</v>
      </c>
      <c r="C140" s="10">
        <v>0</v>
      </c>
      <c r="D140" s="10">
        <f>5208+700+31600</f>
        <v>37508</v>
      </c>
      <c r="E140" s="10">
        <f t="shared" ref="E140:E141" si="8">+D140-C140</f>
        <v>37508</v>
      </c>
      <c r="F140" s="39"/>
      <c r="G140" s="25"/>
      <c r="H140" s="4" t="s">
        <v>18</v>
      </c>
    </row>
    <row r="141" spans="1:8" ht="22.5" customHeight="1">
      <c r="A141" s="43"/>
      <c r="B141" s="45"/>
      <c r="C141" s="11">
        <f>C140</f>
        <v>0</v>
      </c>
      <c r="D141" s="11">
        <f>D140</f>
        <v>37508</v>
      </c>
      <c r="E141" s="12">
        <f t="shared" si="8"/>
        <v>37508</v>
      </c>
      <c r="F141" s="40"/>
      <c r="G141" s="15"/>
      <c r="H141" s="4" t="s">
        <v>19</v>
      </c>
    </row>
    <row r="142" spans="1:8" ht="15" customHeight="1">
      <c r="A142" s="67" t="s">
        <v>70</v>
      </c>
      <c r="B142" s="44" t="s">
        <v>67</v>
      </c>
      <c r="C142" s="13">
        <v>1685</v>
      </c>
      <c r="D142" s="13">
        <v>0</v>
      </c>
      <c r="E142" s="10">
        <f>+D142-C142</f>
        <v>-1685</v>
      </c>
      <c r="F142" s="39"/>
      <c r="G142" s="25"/>
      <c r="H142" s="4" t="s">
        <v>18</v>
      </c>
    </row>
    <row r="143" spans="1:8" ht="15" customHeight="1">
      <c r="A143" s="67"/>
      <c r="B143" s="45"/>
      <c r="C143" s="14">
        <f>C142</f>
        <v>1685</v>
      </c>
      <c r="D143" s="14">
        <f>D142</f>
        <v>0</v>
      </c>
      <c r="E143" s="12">
        <f>+D143-C143</f>
        <v>-1685</v>
      </c>
      <c r="F143" s="40"/>
      <c r="G143" s="15"/>
      <c r="H143" s="4" t="s">
        <v>19</v>
      </c>
    </row>
    <row r="144" spans="1:8" ht="22.5" customHeight="1">
      <c r="A144" s="68" t="s">
        <v>50</v>
      </c>
      <c r="B144" s="44" t="s">
        <v>196</v>
      </c>
      <c r="C144" s="13">
        <v>15079</v>
      </c>
      <c r="D144" s="13">
        <v>15119</v>
      </c>
      <c r="E144" s="10">
        <f t="shared" si="6"/>
        <v>40</v>
      </c>
      <c r="F144" s="39"/>
      <c r="G144" s="25"/>
      <c r="H144" s="4" t="s">
        <v>18</v>
      </c>
    </row>
    <row r="145" spans="1:9" ht="22.5" customHeight="1">
      <c r="A145" s="68"/>
      <c r="B145" s="45"/>
      <c r="C145" s="14">
        <f>C144</f>
        <v>15079</v>
      </c>
      <c r="D145" s="14">
        <f>D144</f>
        <v>15119</v>
      </c>
      <c r="E145" s="12">
        <f t="shared" si="6"/>
        <v>40</v>
      </c>
      <c r="F145" s="40"/>
      <c r="G145" s="15"/>
      <c r="H145" s="4" t="s">
        <v>19</v>
      </c>
    </row>
    <row r="146" spans="1:9" ht="15" customHeight="1">
      <c r="A146" s="68" t="s">
        <v>74</v>
      </c>
      <c r="B146" s="44" t="s">
        <v>162</v>
      </c>
      <c r="C146" s="13">
        <v>28291</v>
      </c>
      <c r="D146" s="13">
        <v>28299</v>
      </c>
      <c r="E146" s="10">
        <f t="shared" si="6"/>
        <v>8</v>
      </c>
      <c r="F146" s="39"/>
      <c r="G146" s="25"/>
      <c r="H146" s="4" t="s">
        <v>18</v>
      </c>
    </row>
    <row r="147" spans="1:9" ht="15" customHeight="1">
      <c r="A147" s="68"/>
      <c r="B147" s="45"/>
      <c r="C147" s="14">
        <f>C146</f>
        <v>28291</v>
      </c>
      <c r="D147" s="14">
        <f>D146</f>
        <v>28299</v>
      </c>
      <c r="E147" s="12">
        <f t="shared" si="6"/>
        <v>8</v>
      </c>
      <c r="F147" s="40"/>
      <c r="G147" s="15"/>
      <c r="H147" s="4" t="s">
        <v>19</v>
      </c>
    </row>
    <row r="148" spans="1:9" ht="15" customHeight="1">
      <c r="A148" s="43" t="s">
        <v>190</v>
      </c>
      <c r="B148" s="44" t="s">
        <v>192</v>
      </c>
      <c r="C148" s="10">
        <f>192647</f>
        <v>192647</v>
      </c>
      <c r="D148" s="10">
        <v>110519</v>
      </c>
      <c r="E148" s="10">
        <f t="shared" ref="E148:E149" si="9">+D148-C148</f>
        <v>-82128</v>
      </c>
      <c r="F148" s="39"/>
      <c r="G148" s="25"/>
      <c r="H148" s="4" t="s">
        <v>18</v>
      </c>
    </row>
    <row r="149" spans="1:9" ht="15" customHeight="1">
      <c r="A149" s="43"/>
      <c r="B149" s="45"/>
      <c r="C149" s="11">
        <f>C148-15160</f>
        <v>177487</v>
      </c>
      <c r="D149" s="11">
        <v>0</v>
      </c>
      <c r="E149" s="12">
        <f t="shared" si="9"/>
        <v>-177487</v>
      </c>
      <c r="F149" s="40"/>
      <c r="G149" s="15"/>
      <c r="H149" s="4" t="s">
        <v>19</v>
      </c>
    </row>
    <row r="150" spans="1:9" ht="15" customHeight="1">
      <c r="A150" s="50" t="s">
        <v>191</v>
      </c>
      <c r="B150" s="44" t="s">
        <v>192</v>
      </c>
      <c r="C150" s="13">
        <v>11</v>
      </c>
      <c r="D150" s="13">
        <v>6</v>
      </c>
      <c r="E150" s="10">
        <f t="shared" ref="E150:E151" si="10">+D150-C150</f>
        <v>-5</v>
      </c>
      <c r="F150" s="39"/>
      <c r="G150" s="25"/>
      <c r="H150" s="4" t="s">
        <v>18</v>
      </c>
    </row>
    <row r="151" spans="1:9" ht="15" customHeight="1">
      <c r="A151" s="50"/>
      <c r="B151" s="45"/>
      <c r="C151" s="14">
        <f>C150-11</f>
        <v>0</v>
      </c>
      <c r="D151" s="14">
        <v>0</v>
      </c>
      <c r="E151" s="12">
        <f t="shared" si="10"/>
        <v>0</v>
      </c>
      <c r="F151" s="40"/>
      <c r="G151" s="15"/>
      <c r="H151" s="4" t="s">
        <v>19</v>
      </c>
    </row>
    <row r="152" spans="1:9" ht="15" customHeight="1">
      <c r="A152" s="43" t="s">
        <v>75</v>
      </c>
      <c r="B152" s="44" t="s">
        <v>28</v>
      </c>
      <c r="C152" s="13">
        <v>569753</v>
      </c>
      <c r="D152" s="13">
        <v>607799</v>
      </c>
      <c r="E152" s="10">
        <f t="shared" si="6"/>
        <v>38046</v>
      </c>
      <c r="F152" s="39"/>
      <c r="G152" s="25"/>
      <c r="H152" s="4" t="s">
        <v>18</v>
      </c>
    </row>
    <row r="153" spans="1:9" ht="15" customHeight="1">
      <c r="A153" s="43"/>
      <c r="B153" s="45"/>
      <c r="C153" s="14">
        <f>C152-172361</f>
        <v>397392</v>
      </c>
      <c r="D153" s="14">
        <f>D152-184051</f>
        <v>423748</v>
      </c>
      <c r="E153" s="12">
        <f t="shared" si="6"/>
        <v>26356</v>
      </c>
      <c r="F153" s="40"/>
      <c r="G153" s="15"/>
      <c r="H153" s="4" t="s">
        <v>19</v>
      </c>
    </row>
    <row r="154" spans="1:9" ht="15" customHeight="1">
      <c r="A154" s="43" t="s">
        <v>76</v>
      </c>
      <c r="B154" s="44" t="s">
        <v>28</v>
      </c>
      <c r="C154" s="13">
        <v>52903</v>
      </c>
      <c r="D154" s="13">
        <v>53071</v>
      </c>
      <c r="E154" s="10">
        <f t="shared" si="6"/>
        <v>168</v>
      </c>
      <c r="F154" s="39"/>
      <c r="G154" s="25"/>
      <c r="H154" s="4" t="s">
        <v>18</v>
      </c>
    </row>
    <row r="155" spans="1:9" ht="15" customHeight="1">
      <c r="A155" s="43"/>
      <c r="B155" s="45"/>
      <c r="C155" s="14">
        <f>C154-17573</f>
        <v>35330</v>
      </c>
      <c r="D155" s="14">
        <f>D154-17629</f>
        <v>35442</v>
      </c>
      <c r="E155" s="12">
        <f t="shared" si="6"/>
        <v>112</v>
      </c>
      <c r="F155" s="40"/>
      <c r="G155" s="15"/>
      <c r="H155" s="4" t="s">
        <v>19</v>
      </c>
    </row>
    <row r="156" spans="1:9" ht="15" customHeight="1">
      <c r="A156" s="43" t="s">
        <v>77</v>
      </c>
      <c r="B156" s="44" t="s">
        <v>78</v>
      </c>
      <c r="C156" s="13">
        <f>5547+377+4653</f>
        <v>10577</v>
      </c>
      <c r="D156" s="13">
        <f>6549+251+4670</f>
        <v>11470</v>
      </c>
      <c r="E156" s="10">
        <f t="shared" si="6"/>
        <v>893</v>
      </c>
      <c r="F156" s="39"/>
      <c r="G156" s="25"/>
      <c r="H156" s="4" t="s">
        <v>18</v>
      </c>
      <c r="I156" s="4" t="s">
        <v>212</v>
      </c>
    </row>
    <row r="157" spans="1:9" ht="15" customHeight="1">
      <c r="A157" s="43"/>
      <c r="B157" s="45"/>
      <c r="C157" s="14">
        <f>C156</f>
        <v>10577</v>
      </c>
      <c r="D157" s="14">
        <f>D156</f>
        <v>11470</v>
      </c>
      <c r="E157" s="12">
        <f t="shared" si="6"/>
        <v>893</v>
      </c>
      <c r="F157" s="40"/>
      <c r="G157" s="15"/>
      <c r="H157" s="4" t="s">
        <v>19</v>
      </c>
    </row>
    <row r="158" spans="1:9" ht="15" customHeight="1">
      <c r="A158" s="43" t="s">
        <v>79</v>
      </c>
      <c r="B158" s="44" t="s">
        <v>80</v>
      </c>
      <c r="C158" s="13">
        <v>121592</v>
      </c>
      <c r="D158" s="13">
        <v>110375</v>
      </c>
      <c r="E158" s="10">
        <f t="shared" si="6"/>
        <v>-11217</v>
      </c>
      <c r="F158" s="24"/>
      <c r="G158" s="25"/>
      <c r="H158" s="4" t="s">
        <v>18</v>
      </c>
    </row>
    <row r="159" spans="1:9" ht="15" customHeight="1">
      <c r="A159" s="43"/>
      <c r="B159" s="45"/>
      <c r="C159" s="14">
        <f>C158</f>
        <v>121592</v>
      </c>
      <c r="D159" s="14">
        <f>D158</f>
        <v>110375</v>
      </c>
      <c r="E159" s="12">
        <f t="shared" si="6"/>
        <v>-11217</v>
      </c>
      <c r="F159" s="24"/>
      <c r="G159" s="15"/>
      <c r="H159" s="4" t="s">
        <v>19</v>
      </c>
    </row>
    <row r="160" spans="1:9" ht="22.5" customHeight="1">
      <c r="A160" s="43" t="s">
        <v>81</v>
      </c>
      <c r="B160" s="44" t="s">
        <v>33</v>
      </c>
      <c r="C160" s="13">
        <v>122368</v>
      </c>
      <c r="D160" s="13">
        <v>121681</v>
      </c>
      <c r="E160" s="10">
        <f t="shared" si="6"/>
        <v>-687</v>
      </c>
      <c r="F160" s="39"/>
      <c r="G160" s="25"/>
      <c r="H160" s="4" t="s">
        <v>18</v>
      </c>
    </row>
    <row r="161" spans="1:9" ht="22.5" customHeight="1">
      <c r="A161" s="43"/>
      <c r="B161" s="45"/>
      <c r="C161" s="14">
        <f>C160</f>
        <v>122368</v>
      </c>
      <c r="D161" s="14">
        <f>D160</f>
        <v>121681</v>
      </c>
      <c r="E161" s="12">
        <f t="shared" si="6"/>
        <v>-687</v>
      </c>
      <c r="F161" s="40"/>
      <c r="G161" s="15"/>
      <c r="H161" s="4" t="s">
        <v>19</v>
      </c>
    </row>
    <row r="162" spans="1:9" ht="22.5" customHeight="1">
      <c r="A162" s="43" t="s">
        <v>82</v>
      </c>
      <c r="B162" s="44" t="s">
        <v>83</v>
      </c>
      <c r="C162" s="13">
        <f>1443003+1890</f>
        <v>1444893</v>
      </c>
      <c r="D162" s="13">
        <f>1457103+1785</f>
        <v>1458888</v>
      </c>
      <c r="E162" s="13">
        <f t="shared" si="6"/>
        <v>13995</v>
      </c>
      <c r="F162" s="39"/>
      <c r="G162" s="31"/>
      <c r="H162" s="4" t="s">
        <v>18</v>
      </c>
      <c r="I162" s="4" t="s">
        <v>213</v>
      </c>
    </row>
    <row r="163" spans="1:9" ht="22.5" customHeight="1">
      <c r="A163" s="43"/>
      <c r="B163" s="45"/>
      <c r="C163" s="14">
        <f>C162-29766</f>
        <v>1415127</v>
      </c>
      <c r="D163" s="14">
        <f>D162-34019</f>
        <v>1424869</v>
      </c>
      <c r="E163" s="12">
        <f t="shared" si="6"/>
        <v>9742</v>
      </c>
      <c r="F163" s="40"/>
      <c r="G163" s="15"/>
      <c r="H163" s="4" t="s">
        <v>19</v>
      </c>
    </row>
    <row r="164" spans="1:9" ht="15" customHeight="1">
      <c r="A164" s="43" t="s">
        <v>84</v>
      </c>
      <c r="B164" s="44" t="s">
        <v>56</v>
      </c>
      <c r="C164" s="13">
        <v>103094</v>
      </c>
      <c r="D164" s="13">
        <v>101462</v>
      </c>
      <c r="E164" s="10">
        <f t="shared" si="6"/>
        <v>-1632</v>
      </c>
      <c r="F164" s="39"/>
      <c r="G164" s="25"/>
      <c r="H164" s="4" t="s">
        <v>18</v>
      </c>
    </row>
    <row r="165" spans="1:9" ht="15" customHeight="1">
      <c r="A165" s="43"/>
      <c r="B165" s="45"/>
      <c r="C165" s="14">
        <f>C164-48786</f>
        <v>54308</v>
      </c>
      <c r="D165" s="14">
        <f>D164-47957</f>
        <v>53505</v>
      </c>
      <c r="E165" s="12">
        <f t="shared" si="6"/>
        <v>-803</v>
      </c>
      <c r="F165" s="40"/>
      <c r="G165" s="15"/>
      <c r="H165" s="4" t="s">
        <v>19</v>
      </c>
    </row>
    <row r="166" spans="1:9" ht="15" customHeight="1">
      <c r="A166" s="43" t="s">
        <v>85</v>
      </c>
      <c r="B166" s="44" t="s">
        <v>42</v>
      </c>
      <c r="C166" s="10">
        <v>7283</v>
      </c>
      <c r="D166" s="10">
        <v>7283</v>
      </c>
      <c r="E166" s="10">
        <f t="shared" si="6"/>
        <v>0</v>
      </c>
      <c r="F166" s="39"/>
      <c r="G166" s="25"/>
      <c r="H166" s="4" t="s">
        <v>18</v>
      </c>
    </row>
    <row r="167" spans="1:9" ht="15" customHeight="1">
      <c r="A167" s="43"/>
      <c r="B167" s="45"/>
      <c r="C167" s="14">
        <f>C166-3641</f>
        <v>3642</v>
      </c>
      <c r="D167" s="14">
        <f>D166-3641</f>
        <v>3642</v>
      </c>
      <c r="E167" s="12">
        <f t="shared" si="6"/>
        <v>0</v>
      </c>
      <c r="F167" s="40"/>
      <c r="G167" s="15"/>
      <c r="H167" s="4" t="s">
        <v>19</v>
      </c>
    </row>
    <row r="168" spans="1:9" ht="15" customHeight="1">
      <c r="A168" s="43" t="s">
        <v>86</v>
      </c>
      <c r="B168" s="44" t="s">
        <v>80</v>
      </c>
      <c r="C168" s="13">
        <v>434193</v>
      </c>
      <c r="D168" s="13">
        <v>445359</v>
      </c>
      <c r="E168" s="10">
        <f t="shared" si="6"/>
        <v>11166</v>
      </c>
      <c r="F168" s="39"/>
      <c r="G168" s="25"/>
      <c r="H168" s="4" t="s">
        <v>18</v>
      </c>
    </row>
    <row r="169" spans="1:9" ht="15" customHeight="1">
      <c r="A169" s="43"/>
      <c r="B169" s="45"/>
      <c r="C169" s="14">
        <f>C168</f>
        <v>434193</v>
      </c>
      <c r="D169" s="14">
        <f>D168</f>
        <v>445359</v>
      </c>
      <c r="E169" s="12">
        <f t="shared" si="6"/>
        <v>11166</v>
      </c>
      <c r="F169" s="40"/>
      <c r="G169" s="15"/>
      <c r="H169" s="4" t="s">
        <v>19</v>
      </c>
    </row>
    <row r="170" spans="1:9" ht="15" customHeight="1">
      <c r="A170" s="43" t="s">
        <v>40</v>
      </c>
      <c r="B170" s="44" t="s">
        <v>56</v>
      </c>
      <c r="C170" s="13">
        <v>6229370</v>
      </c>
      <c r="D170" s="13">
        <v>6919364</v>
      </c>
      <c r="E170" s="10">
        <f t="shared" si="6"/>
        <v>689994</v>
      </c>
      <c r="F170" s="39"/>
      <c r="G170" s="25"/>
      <c r="H170" s="4" t="s">
        <v>18</v>
      </c>
    </row>
    <row r="171" spans="1:9" ht="15" customHeight="1">
      <c r="A171" s="43"/>
      <c r="B171" s="45"/>
      <c r="C171" s="14">
        <f>C170-6229370</f>
        <v>0</v>
      </c>
      <c r="D171" s="14">
        <f>D170-6919364</f>
        <v>0</v>
      </c>
      <c r="E171" s="12">
        <f t="shared" si="6"/>
        <v>0</v>
      </c>
      <c r="F171" s="40"/>
      <c r="G171" s="15"/>
      <c r="H171" s="4" t="s">
        <v>19</v>
      </c>
    </row>
    <row r="172" spans="1:9" ht="15" customHeight="1">
      <c r="A172" s="69" t="s">
        <v>178</v>
      </c>
      <c r="B172" s="44" t="s">
        <v>56</v>
      </c>
      <c r="C172" s="13">
        <v>0</v>
      </c>
      <c r="D172" s="13">
        <v>0</v>
      </c>
      <c r="E172" s="10">
        <f t="shared" ref="E172:E173" si="11">+D172-C172</f>
        <v>0</v>
      </c>
      <c r="F172" s="39"/>
      <c r="G172" s="25"/>
      <c r="H172" s="4" t="s">
        <v>18</v>
      </c>
    </row>
    <row r="173" spans="1:9" ht="15" customHeight="1">
      <c r="A173" s="70"/>
      <c r="B173" s="45"/>
      <c r="C173" s="12">
        <f>C172-(-4569703)</f>
        <v>4569703</v>
      </c>
      <c r="D173" s="12">
        <f>D172-(-5164945)</f>
        <v>5164945</v>
      </c>
      <c r="E173" s="12">
        <f t="shared" si="11"/>
        <v>595242</v>
      </c>
      <c r="F173" s="40"/>
      <c r="G173" s="15"/>
      <c r="H173" s="4" t="s">
        <v>19</v>
      </c>
    </row>
    <row r="174" spans="1:9" ht="15" customHeight="1">
      <c r="A174" s="43" t="s">
        <v>87</v>
      </c>
      <c r="B174" s="44" t="s">
        <v>56</v>
      </c>
      <c r="C174" s="13">
        <v>122654</v>
      </c>
      <c r="D174" s="13">
        <v>122654</v>
      </c>
      <c r="E174" s="10">
        <f t="shared" si="6"/>
        <v>0</v>
      </c>
      <c r="F174" s="39"/>
      <c r="G174" s="25"/>
      <c r="H174" s="4" t="s">
        <v>18</v>
      </c>
    </row>
    <row r="175" spans="1:9" ht="15" customHeight="1">
      <c r="A175" s="43"/>
      <c r="B175" s="45"/>
      <c r="C175" s="14">
        <f>C174-7657</f>
        <v>114997</v>
      </c>
      <c r="D175" s="14">
        <f>D174-7634</f>
        <v>115020</v>
      </c>
      <c r="E175" s="12">
        <f t="shared" si="6"/>
        <v>23</v>
      </c>
      <c r="F175" s="40"/>
      <c r="G175" s="15"/>
      <c r="H175" s="4" t="s">
        <v>19</v>
      </c>
    </row>
    <row r="176" spans="1:9" ht="15" customHeight="1">
      <c r="A176" s="43" t="s">
        <v>88</v>
      </c>
      <c r="B176" s="44" t="s">
        <v>56</v>
      </c>
      <c r="C176" s="13">
        <v>3233474</v>
      </c>
      <c r="D176" s="13">
        <v>3381077</v>
      </c>
      <c r="E176" s="10">
        <f t="shared" si="6"/>
        <v>147603</v>
      </c>
      <c r="F176" s="39"/>
      <c r="G176" s="25"/>
      <c r="H176" s="4" t="s">
        <v>18</v>
      </c>
    </row>
    <row r="177" spans="1:8" ht="15" customHeight="1">
      <c r="A177" s="43"/>
      <c r="B177" s="45"/>
      <c r="C177" s="14">
        <f>C176</f>
        <v>3233474</v>
      </c>
      <c r="D177" s="14">
        <f>D176</f>
        <v>3381077</v>
      </c>
      <c r="E177" s="12">
        <f t="shared" si="6"/>
        <v>147603</v>
      </c>
      <c r="F177" s="40"/>
      <c r="G177" s="15"/>
      <c r="H177" s="4" t="s">
        <v>19</v>
      </c>
    </row>
    <row r="178" spans="1:8" ht="22.5" customHeight="1">
      <c r="A178" s="43" t="s">
        <v>63</v>
      </c>
      <c r="B178" s="44" t="s">
        <v>222</v>
      </c>
      <c r="C178" s="13">
        <f>507878+2552187</f>
        <v>3060065</v>
      </c>
      <c r="D178" s="13">
        <f>513509+1797302+612603</f>
        <v>2923414</v>
      </c>
      <c r="E178" s="13">
        <f t="shared" si="6"/>
        <v>-136651</v>
      </c>
      <c r="F178" s="39"/>
      <c r="G178" s="31"/>
      <c r="H178" s="4" t="s">
        <v>18</v>
      </c>
    </row>
    <row r="179" spans="1:8" ht="22.5" customHeight="1">
      <c r="A179" s="43"/>
      <c r="B179" s="45"/>
      <c r="C179" s="14">
        <f>C178-169055</f>
        <v>2891010</v>
      </c>
      <c r="D179" s="14">
        <f>D178-161193-110026</f>
        <v>2652195</v>
      </c>
      <c r="E179" s="12">
        <f t="shared" si="6"/>
        <v>-238815</v>
      </c>
      <c r="F179" s="40"/>
      <c r="G179" s="15"/>
      <c r="H179" s="4" t="s">
        <v>19</v>
      </c>
    </row>
    <row r="180" spans="1:8" ht="15" customHeight="1">
      <c r="A180" s="43" t="s">
        <v>49</v>
      </c>
      <c r="B180" s="44" t="s">
        <v>42</v>
      </c>
      <c r="C180" s="13">
        <v>362377</v>
      </c>
      <c r="D180" s="13">
        <v>390582</v>
      </c>
      <c r="E180" s="10">
        <f t="shared" ref="E180:E195" si="12">+D180-C180</f>
        <v>28205</v>
      </c>
      <c r="F180" s="39"/>
      <c r="G180" s="25"/>
      <c r="H180" s="4" t="s">
        <v>18</v>
      </c>
    </row>
    <row r="181" spans="1:8" ht="15" customHeight="1">
      <c r="A181" s="43"/>
      <c r="B181" s="45"/>
      <c r="C181" s="14">
        <f>C180-8419</f>
        <v>353958</v>
      </c>
      <c r="D181" s="14">
        <f>D180-8618</f>
        <v>381964</v>
      </c>
      <c r="E181" s="12">
        <f t="shared" si="12"/>
        <v>28006</v>
      </c>
      <c r="F181" s="40"/>
      <c r="G181" s="15"/>
      <c r="H181" s="4" t="s">
        <v>19</v>
      </c>
    </row>
    <row r="182" spans="1:8" ht="15" customHeight="1">
      <c r="A182" s="43" t="s">
        <v>51</v>
      </c>
      <c r="B182" s="44" t="s">
        <v>42</v>
      </c>
      <c r="C182" s="13">
        <v>637450</v>
      </c>
      <c r="D182" s="13">
        <v>662892</v>
      </c>
      <c r="E182" s="10">
        <f t="shared" si="12"/>
        <v>25442</v>
      </c>
      <c r="F182" s="39"/>
      <c r="G182" s="25"/>
      <c r="H182" s="4" t="s">
        <v>18</v>
      </c>
    </row>
    <row r="183" spans="1:8" ht="15" customHeight="1">
      <c r="A183" s="43"/>
      <c r="B183" s="45"/>
      <c r="C183" s="14">
        <f>C182</f>
        <v>637450</v>
      </c>
      <c r="D183" s="14">
        <f>D182</f>
        <v>662892</v>
      </c>
      <c r="E183" s="12">
        <f t="shared" si="12"/>
        <v>25442</v>
      </c>
      <c r="F183" s="40"/>
      <c r="G183" s="15"/>
      <c r="H183" s="4" t="s">
        <v>19</v>
      </c>
    </row>
    <row r="184" spans="1:8" ht="15" customHeight="1">
      <c r="A184" s="43" t="s">
        <v>57</v>
      </c>
      <c r="B184" s="44" t="s">
        <v>42</v>
      </c>
      <c r="C184" s="13">
        <v>189679</v>
      </c>
      <c r="D184" s="13">
        <v>193353</v>
      </c>
      <c r="E184" s="10">
        <f t="shared" si="12"/>
        <v>3674</v>
      </c>
      <c r="F184" s="39"/>
      <c r="G184" s="25"/>
      <c r="H184" s="4" t="s">
        <v>18</v>
      </c>
    </row>
    <row r="185" spans="1:8" ht="15" customHeight="1">
      <c r="A185" s="43"/>
      <c r="B185" s="45"/>
      <c r="C185" s="14">
        <f>C184</f>
        <v>189679</v>
      </c>
      <c r="D185" s="14">
        <f>D184</f>
        <v>193353</v>
      </c>
      <c r="E185" s="12">
        <f t="shared" si="12"/>
        <v>3674</v>
      </c>
      <c r="F185" s="40"/>
      <c r="G185" s="15"/>
      <c r="H185" s="4" t="s">
        <v>19</v>
      </c>
    </row>
    <row r="186" spans="1:8" ht="22.5" customHeight="1">
      <c r="A186" s="43" t="s">
        <v>89</v>
      </c>
      <c r="B186" s="44" t="s">
        <v>90</v>
      </c>
      <c r="C186" s="13">
        <f>6662489+270434+758416+556689+277660</f>
        <v>8525688</v>
      </c>
      <c r="D186" s="13">
        <f>6556750+788946+653151+142289</f>
        <v>8141136</v>
      </c>
      <c r="E186" s="10">
        <f t="shared" si="12"/>
        <v>-384552</v>
      </c>
      <c r="F186" s="39"/>
      <c r="G186" s="25"/>
      <c r="H186" s="4" t="s">
        <v>18</v>
      </c>
    </row>
    <row r="187" spans="1:8" ht="22.5" customHeight="1">
      <c r="A187" s="43"/>
      <c r="B187" s="45"/>
      <c r="C187" s="14">
        <f>C186-10034-407</f>
        <v>8515247</v>
      </c>
      <c r="D187" s="14">
        <f>D186-12549</f>
        <v>8128587</v>
      </c>
      <c r="E187" s="12">
        <f t="shared" si="12"/>
        <v>-386660</v>
      </c>
      <c r="F187" s="40"/>
      <c r="G187" s="15"/>
      <c r="H187" s="4" t="s">
        <v>19</v>
      </c>
    </row>
    <row r="188" spans="1:8" ht="15" customHeight="1">
      <c r="A188" s="43" t="s">
        <v>91</v>
      </c>
      <c r="B188" s="44" t="s">
        <v>56</v>
      </c>
      <c r="C188" s="13">
        <v>8180</v>
      </c>
      <c r="D188" s="13">
        <v>9838</v>
      </c>
      <c r="E188" s="10">
        <f t="shared" si="12"/>
        <v>1658</v>
      </c>
      <c r="F188" s="39"/>
      <c r="G188" s="25"/>
      <c r="H188" s="4" t="s">
        <v>18</v>
      </c>
    </row>
    <row r="189" spans="1:8" ht="15" customHeight="1">
      <c r="A189" s="43"/>
      <c r="B189" s="45"/>
      <c r="C189" s="14">
        <f>C188</f>
        <v>8180</v>
      </c>
      <c r="D189" s="14">
        <f>D188</f>
        <v>9838</v>
      </c>
      <c r="E189" s="12">
        <f t="shared" si="12"/>
        <v>1658</v>
      </c>
      <c r="F189" s="40"/>
      <c r="G189" s="15"/>
      <c r="H189" s="4" t="s">
        <v>19</v>
      </c>
    </row>
    <row r="190" spans="1:8" ht="15" customHeight="1">
      <c r="A190" s="43" t="s">
        <v>92</v>
      </c>
      <c r="B190" s="44" t="s">
        <v>80</v>
      </c>
      <c r="C190" s="13">
        <v>1870</v>
      </c>
      <c r="D190" s="13">
        <v>1891</v>
      </c>
      <c r="E190" s="10">
        <f t="shared" si="12"/>
        <v>21</v>
      </c>
      <c r="F190" s="24"/>
      <c r="G190" s="25"/>
      <c r="H190" s="4" t="s">
        <v>18</v>
      </c>
    </row>
    <row r="191" spans="1:8" ht="15" customHeight="1">
      <c r="A191" s="43"/>
      <c r="B191" s="45"/>
      <c r="C191" s="14">
        <f>C190</f>
        <v>1870</v>
      </c>
      <c r="D191" s="14">
        <f>D190</f>
        <v>1891</v>
      </c>
      <c r="E191" s="12">
        <f t="shared" si="12"/>
        <v>21</v>
      </c>
      <c r="F191" s="24"/>
      <c r="G191" s="15"/>
      <c r="H191" s="4" t="s">
        <v>19</v>
      </c>
    </row>
    <row r="192" spans="1:8" ht="15" customHeight="1">
      <c r="A192" s="43" t="s">
        <v>93</v>
      </c>
      <c r="B192" s="44" t="s">
        <v>28</v>
      </c>
      <c r="C192" s="13">
        <v>387018</v>
      </c>
      <c r="D192" s="13">
        <v>783862</v>
      </c>
      <c r="E192" s="10">
        <f t="shared" si="12"/>
        <v>396844</v>
      </c>
      <c r="F192" s="39"/>
      <c r="G192" s="25"/>
      <c r="H192" s="4" t="s">
        <v>18</v>
      </c>
    </row>
    <row r="193" spans="1:8" ht="15" customHeight="1">
      <c r="A193" s="43"/>
      <c r="B193" s="45"/>
      <c r="C193" s="14">
        <f>C192-80040</f>
        <v>306978</v>
      </c>
      <c r="D193" s="14">
        <f>D192-167707</f>
        <v>616155</v>
      </c>
      <c r="E193" s="12">
        <f t="shared" si="12"/>
        <v>309177</v>
      </c>
      <c r="F193" s="40"/>
      <c r="G193" s="15"/>
      <c r="H193" s="4" t="s">
        <v>19</v>
      </c>
    </row>
    <row r="194" spans="1:8" ht="15" customHeight="1">
      <c r="A194" s="43" t="s">
        <v>95</v>
      </c>
      <c r="B194" s="44" t="s">
        <v>15</v>
      </c>
      <c r="C194" s="10">
        <v>2000</v>
      </c>
      <c r="D194" s="10">
        <v>2000</v>
      </c>
      <c r="E194" s="10">
        <f t="shared" si="12"/>
        <v>0</v>
      </c>
      <c r="F194" s="39"/>
      <c r="G194" s="25"/>
      <c r="H194" s="4" t="s">
        <v>18</v>
      </c>
    </row>
    <row r="195" spans="1:8" ht="15" customHeight="1">
      <c r="A195" s="43"/>
      <c r="B195" s="45"/>
      <c r="C195" s="14">
        <f>C194-2000</f>
        <v>0</v>
      </c>
      <c r="D195" s="14">
        <f>D194-2000</f>
        <v>0</v>
      </c>
      <c r="E195" s="12">
        <f t="shared" si="12"/>
        <v>0</v>
      </c>
      <c r="F195" s="40"/>
      <c r="G195" s="15"/>
      <c r="H195" s="4" t="s">
        <v>19</v>
      </c>
    </row>
    <row r="196" spans="1:8" ht="15" customHeight="1">
      <c r="A196" s="43" t="s">
        <v>152</v>
      </c>
      <c r="B196" s="44" t="s">
        <v>28</v>
      </c>
      <c r="C196" s="13">
        <v>1054</v>
      </c>
      <c r="D196" s="13">
        <v>1054</v>
      </c>
      <c r="E196" s="10">
        <f t="shared" ref="E196:E197" si="13">+D196-C196</f>
        <v>0</v>
      </c>
      <c r="F196" s="39"/>
      <c r="G196" s="25"/>
      <c r="H196" s="4" t="s">
        <v>18</v>
      </c>
    </row>
    <row r="197" spans="1:8" ht="15" customHeight="1">
      <c r="A197" s="43"/>
      <c r="B197" s="45"/>
      <c r="C197" s="14">
        <f>C196</f>
        <v>1054</v>
      </c>
      <c r="D197" s="14">
        <f>D196</f>
        <v>1054</v>
      </c>
      <c r="E197" s="12">
        <f t="shared" si="13"/>
        <v>0</v>
      </c>
      <c r="F197" s="40"/>
      <c r="G197" s="15"/>
      <c r="H197" s="4" t="s">
        <v>19</v>
      </c>
    </row>
    <row r="198" spans="1:8" ht="15" customHeight="1">
      <c r="A198" s="43" t="s">
        <v>177</v>
      </c>
      <c r="B198" s="44" t="s">
        <v>42</v>
      </c>
      <c r="C198" s="13">
        <v>43823</v>
      </c>
      <c r="D198" s="13">
        <v>43771</v>
      </c>
      <c r="E198" s="10">
        <f t="shared" ref="E198:E199" si="14">+D198-C198</f>
        <v>-52</v>
      </c>
      <c r="F198" s="39"/>
      <c r="G198" s="25"/>
      <c r="H198" s="4" t="s">
        <v>18</v>
      </c>
    </row>
    <row r="199" spans="1:8" ht="15" customHeight="1">
      <c r="A199" s="43"/>
      <c r="B199" s="45"/>
      <c r="C199" s="14">
        <f>C198</f>
        <v>43823</v>
      </c>
      <c r="D199" s="14">
        <f>D198</f>
        <v>43771</v>
      </c>
      <c r="E199" s="12">
        <f t="shared" si="14"/>
        <v>-52</v>
      </c>
      <c r="F199" s="40"/>
      <c r="G199" s="15"/>
      <c r="H199" s="4" t="s">
        <v>19</v>
      </c>
    </row>
    <row r="200" spans="1:8" ht="15" customHeight="1">
      <c r="A200" s="43" t="s">
        <v>214</v>
      </c>
      <c r="B200" s="44" t="s">
        <v>208</v>
      </c>
      <c r="C200" s="13">
        <v>0</v>
      </c>
      <c r="D200" s="13">
        <v>31967</v>
      </c>
      <c r="E200" s="10">
        <f t="shared" ref="E200:E205" si="15">+D200-C200</f>
        <v>31967</v>
      </c>
      <c r="F200" s="39"/>
      <c r="G200" s="25"/>
      <c r="H200" s="4" t="s">
        <v>18</v>
      </c>
    </row>
    <row r="201" spans="1:8" ht="15" customHeight="1">
      <c r="A201" s="43"/>
      <c r="B201" s="45"/>
      <c r="C201" s="14">
        <f>C200</f>
        <v>0</v>
      </c>
      <c r="D201" s="14">
        <f>D200</f>
        <v>31967</v>
      </c>
      <c r="E201" s="12">
        <f t="shared" si="15"/>
        <v>31967</v>
      </c>
      <c r="F201" s="40"/>
      <c r="G201" s="15"/>
      <c r="H201" s="4" t="s">
        <v>19</v>
      </c>
    </row>
    <row r="202" spans="1:8" ht="22.5" customHeight="1">
      <c r="A202" s="67" t="s">
        <v>148</v>
      </c>
      <c r="B202" s="44" t="s">
        <v>33</v>
      </c>
      <c r="C202" s="13">
        <v>248911</v>
      </c>
      <c r="D202" s="13">
        <v>0</v>
      </c>
      <c r="E202" s="10">
        <f t="shared" si="15"/>
        <v>-248911</v>
      </c>
      <c r="F202" s="39"/>
      <c r="G202" s="25"/>
      <c r="H202" s="4" t="s">
        <v>18</v>
      </c>
    </row>
    <row r="203" spans="1:8" ht="22.5" customHeight="1">
      <c r="A203" s="67"/>
      <c r="B203" s="45"/>
      <c r="C203" s="14">
        <f>C202</f>
        <v>248911</v>
      </c>
      <c r="D203" s="14">
        <f>D202</f>
        <v>0</v>
      </c>
      <c r="E203" s="12">
        <f t="shared" si="15"/>
        <v>-248911</v>
      </c>
      <c r="F203" s="40"/>
      <c r="G203" s="15"/>
      <c r="H203" s="4" t="s">
        <v>19</v>
      </c>
    </row>
    <row r="204" spans="1:8" ht="26.25" customHeight="1">
      <c r="A204" s="67" t="s">
        <v>94</v>
      </c>
      <c r="B204" s="44" t="s">
        <v>28</v>
      </c>
      <c r="C204" s="13">
        <v>146612</v>
      </c>
      <c r="D204" s="13">
        <v>0</v>
      </c>
      <c r="E204" s="10">
        <f t="shared" si="15"/>
        <v>-146612</v>
      </c>
      <c r="F204" s="39"/>
      <c r="G204" s="25"/>
      <c r="H204" s="4" t="s">
        <v>18</v>
      </c>
    </row>
    <row r="205" spans="1:8" ht="26.25" customHeight="1">
      <c r="A205" s="67"/>
      <c r="B205" s="45"/>
      <c r="C205" s="14">
        <f>C204-34560</f>
        <v>112052</v>
      </c>
      <c r="D205" s="14">
        <f>D204</f>
        <v>0</v>
      </c>
      <c r="E205" s="12">
        <f t="shared" si="15"/>
        <v>-112052</v>
      </c>
      <c r="F205" s="40"/>
      <c r="G205" s="15"/>
      <c r="H205" s="4" t="s">
        <v>19</v>
      </c>
    </row>
    <row r="206" spans="1:8" ht="15" customHeight="1">
      <c r="A206" s="43" t="s">
        <v>75</v>
      </c>
      <c r="B206" s="44" t="s">
        <v>28</v>
      </c>
      <c r="C206" s="13">
        <v>169813</v>
      </c>
      <c r="D206" s="13">
        <v>177930</v>
      </c>
      <c r="E206" s="10">
        <f t="shared" ref="E206:E251" si="16">+D206-C206</f>
        <v>8117</v>
      </c>
      <c r="F206" s="39"/>
      <c r="G206" s="25"/>
      <c r="H206" s="4" t="s">
        <v>18</v>
      </c>
    </row>
    <row r="207" spans="1:8" ht="15" customHeight="1">
      <c r="A207" s="43"/>
      <c r="B207" s="45"/>
      <c r="C207" s="14">
        <f>C206-54136</f>
        <v>115677</v>
      </c>
      <c r="D207" s="14">
        <f>D206-56506</f>
        <v>121424</v>
      </c>
      <c r="E207" s="12">
        <f t="shared" si="16"/>
        <v>5747</v>
      </c>
      <c r="F207" s="40"/>
      <c r="G207" s="15"/>
      <c r="H207" s="4" t="s">
        <v>19</v>
      </c>
    </row>
    <row r="208" spans="1:8" ht="15" customHeight="1">
      <c r="A208" s="43" t="s">
        <v>76</v>
      </c>
      <c r="B208" s="44" t="s">
        <v>28</v>
      </c>
      <c r="C208" s="13">
        <v>1322</v>
      </c>
      <c r="D208" s="13">
        <v>1326</v>
      </c>
      <c r="E208" s="10">
        <f t="shared" si="16"/>
        <v>4</v>
      </c>
      <c r="F208" s="39"/>
      <c r="G208" s="25"/>
      <c r="H208" s="4" t="s">
        <v>18</v>
      </c>
    </row>
    <row r="209" spans="1:8" ht="15" customHeight="1">
      <c r="A209" s="43"/>
      <c r="B209" s="45"/>
      <c r="C209" s="14">
        <f>C208-439</f>
        <v>883</v>
      </c>
      <c r="D209" s="14">
        <f>D208-441</f>
        <v>885</v>
      </c>
      <c r="E209" s="12">
        <f t="shared" si="16"/>
        <v>2</v>
      </c>
      <c r="F209" s="40"/>
      <c r="G209" s="15"/>
      <c r="H209" s="4" t="s">
        <v>19</v>
      </c>
    </row>
    <row r="210" spans="1:8" ht="15" customHeight="1">
      <c r="A210" s="43" t="s">
        <v>77</v>
      </c>
      <c r="B210" s="44" t="s">
        <v>78</v>
      </c>
      <c r="C210" s="13">
        <f>5547+2842</f>
        <v>8389</v>
      </c>
      <c r="D210" s="13">
        <f>6549+2886</f>
        <v>9435</v>
      </c>
      <c r="E210" s="10">
        <f t="shared" si="16"/>
        <v>1046</v>
      </c>
      <c r="F210" s="39"/>
      <c r="G210" s="25"/>
      <c r="H210" s="4" t="s">
        <v>18</v>
      </c>
    </row>
    <row r="211" spans="1:8" ht="15" customHeight="1">
      <c r="A211" s="43"/>
      <c r="B211" s="45"/>
      <c r="C211" s="14">
        <f>C210</f>
        <v>8389</v>
      </c>
      <c r="D211" s="14">
        <f>D210</f>
        <v>9435</v>
      </c>
      <c r="E211" s="12">
        <f t="shared" si="16"/>
        <v>1046</v>
      </c>
      <c r="F211" s="40"/>
      <c r="G211" s="15"/>
      <c r="H211" s="4" t="s">
        <v>19</v>
      </c>
    </row>
    <row r="212" spans="1:8" ht="22.5" customHeight="1">
      <c r="A212" s="43" t="s">
        <v>79</v>
      </c>
      <c r="B212" s="44" t="s">
        <v>80</v>
      </c>
      <c r="C212" s="13">
        <v>62427</v>
      </c>
      <c r="D212" s="13">
        <v>70051</v>
      </c>
      <c r="E212" s="10">
        <f t="shared" si="16"/>
        <v>7624</v>
      </c>
      <c r="F212" s="39"/>
      <c r="G212" s="25"/>
      <c r="H212" s="4" t="s">
        <v>18</v>
      </c>
    </row>
    <row r="213" spans="1:8" ht="22.5" customHeight="1">
      <c r="A213" s="43"/>
      <c r="B213" s="45"/>
      <c r="C213" s="14">
        <f>C212</f>
        <v>62427</v>
      </c>
      <c r="D213" s="14">
        <f>D212</f>
        <v>70051</v>
      </c>
      <c r="E213" s="12">
        <f t="shared" si="16"/>
        <v>7624</v>
      </c>
      <c r="F213" s="40"/>
      <c r="G213" s="15"/>
      <c r="H213" s="4" t="s">
        <v>19</v>
      </c>
    </row>
    <row r="214" spans="1:8" ht="22.5" customHeight="1">
      <c r="A214" s="43" t="s">
        <v>81</v>
      </c>
      <c r="B214" s="44" t="s">
        <v>33</v>
      </c>
      <c r="C214" s="10">
        <v>109879</v>
      </c>
      <c r="D214" s="10">
        <v>108286</v>
      </c>
      <c r="E214" s="10">
        <f t="shared" si="16"/>
        <v>-1593</v>
      </c>
      <c r="F214" s="39"/>
      <c r="G214" s="25"/>
      <c r="H214" s="4" t="s">
        <v>18</v>
      </c>
    </row>
    <row r="215" spans="1:8" ht="22.5" customHeight="1">
      <c r="A215" s="43"/>
      <c r="B215" s="45"/>
      <c r="C215" s="14">
        <f>C214</f>
        <v>109879</v>
      </c>
      <c r="D215" s="14">
        <f>D214</f>
        <v>108286</v>
      </c>
      <c r="E215" s="12">
        <f t="shared" si="16"/>
        <v>-1593</v>
      </c>
      <c r="F215" s="40"/>
      <c r="G215" s="15"/>
      <c r="H215" s="4" t="s">
        <v>19</v>
      </c>
    </row>
    <row r="216" spans="1:8" ht="22.5" customHeight="1">
      <c r="A216" s="43" t="s">
        <v>82</v>
      </c>
      <c r="B216" s="44" t="s">
        <v>83</v>
      </c>
      <c r="C216" s="13">
        <f>1327361+106</f>
        <v>1327467</v>
      </c>
      <c r="D216" s="13">
        <f>1383053+177</f>
        <v>1383230</v>
      </c>
      <c r="E216" s="10">
        <f t="shared" si="16"/>
        <v>55763</v>
      </c>
      <c r="F216" s="39"/>
      <c r="G216" s="25"/>
      <c r="H216" s="4" t="s">
        <v>18</v>
      </c>
    </row>
    <row r="217" spans="1:8" ht="22.5" customHeight="1">
      <c r="A217" s="43"/>
      <c r="B217" s="45"/>
      <c r="C217" s="14">
        <f>C216-40046</f>
        <v>1287421</v>
      </c>
      <c r="D217" s="14">
        <f>D216-47177</f>
        <v>1336053</v>
      </c>
      <c r="E217" s="12">
        <f t="shared" si="16"/>
        <v>48632</v>
      </c>
      <c r="F217" s="40"/>
      <c r="G217" s="15"/>
      <c r="H217" s="4" t="s">
        <v>19</v>
      </c>
    </row>
    <row r="218" spans="1:8" ht="15" customHeight="1">
      <c r="A218" s="43" t="s">
        <v>84</v>
      </c>
      <c r="B218" s="44" t="s">
        <v>56</v>
      </c>
      <c r="C218" s="13">
        <v>48133</v>
      </c>
      <c r="D218" s="13">
        <v>46527</v>
      </c>
      <c r="E218" s="10">
        <f t="shared" si="16"/>
        <v>-1606</v>
      </c>
      <c r="F218" s="39"/>
      <c r="G218" s="25"/>
      <c r="H218" s="4" t="s">
        <v>18</v>
      </c>
    </row>
    <row r="219" spans="1:8" ht="15" customHeight="1">
      <c r="A219" s="43"/>
      <c r="B219" s="45"/>
      <c r="C219" s="14">
        <f>C218-22726</f>
        <v>25407</v>
      </c>
      <c r="D219" s="14">
        <f>D218-21911</f>
        <v>24616</v>
      </c>
      <c r="E219" s="12">
        <f t="shared" si="16"/>
        <v>-791</v>
      </c>
      <c r="F219" s="40"/>
      <c r="G219" s="15"/>
      <c r="H219" s="4" t="s">
        <v>19</v>
      </c>
    </row>
    <row r="220" spans="1:8" ht="15" customHeight="1">
      <c r="A220" s="43" t="s">
        <v>85</v>
      </c>
      <c r="B220" s="44" t="s">
        <v>42</v>
      </c>
      <c r="C220" s="13">
        <v>2338</v>
      </c>
      <c r="D220" s="13">
        <v>2338</v>
      </c>
      <c r="E220" s="10">
        <f t="shared" si="16"/>
        <v>0</v>
      </c>
      <c r="F220" s="39"/>
      <c r="G220" s="25"/>
      <c r="H220" s="4" t="s">
        <v>18</v>
      </c>
    </row>
    <row r="221" spans="1:8" ht="15" customHeight="1">
      <c r="A221" s="43"/>
      <c r="B221" s="45"/>
      <c r="C221" s="14">
        <f>C220-1169</f>
        <v>1169</v>
      </c>
      <c r="D221" s="14">
        <f>D220-1169</f>
        <v>1169</v>
      </c>
      <c r="E221" s="12">
        <f t="shared" si="16"/>
        <v>0</v>
      </c>
      <c r="F221" s="40"/>
      <c r="G221" s="15"/>
      <c r="H221" s="4" t="s">
        <v>19</v>
      </c>
    </row>
    <row r="222" spans="1:8" ht="15" customHeight="1">
      <c r="A222" s="43" t="s">
        <v>86</v>
      </c>
      <c r="B222" s="44" t="s">
        <v>80</v>
      </c>
      <c r="C222" s="13">
        <v>179474</v>
      </c>
      <c r="D222" s="13">
        <v>185531</v>
      </c>
      <c r="E222" s="10">
        <f t="shared" si="16"/>
        <v>6057</v>
      </c>
      <c r="F222" s="39"/>
      <c r="G222" s="25"/>
      <c r="H222" s="4" t="s">
        <v>18</v>
      </c>
    </row>
    <row r="223" spans="1:8" ht="15" customHeight="1">
      <c r="A223" s="43"/>
      <c r="B223" s="45"/>
      <c r="C223" s="14">
        <f>C222</f>
        <v>179474</v>
      </c>
      <c r="D223" s="14">
        <f>D222</f>
        <v>185531</v>
      </c>
      <c r="E223" s="12">
        <f t="shared" si="16"/>
        <v>6057</v>
      </c>
      <c r="F223" s="40"/>
      <c r="G223" s="15"/>
      <c r="H223" s="4" t="s">
        <v>19</v>
      </c>
    </row>
    <row r="224" spans="1:8" ht="15" customHeight="1">
      <c r="A224" s="43" t="s">
        <v>40</v>
      </c>
      <c r="B224" s="44" t="s">
        <v>56</v>
      </c>
      <c r="C224" s="13">
        <v>3364145</v>
      </c>
      <c r="D224" s="13">
        <v>3598029</v>
      </c>
      <c r="E224" s="10">
        <f t="shared" si="16"/>
        <v>233884</v>
      </c>
      <c r="F224" s="39"/>
      <c r="G224" s="25"/>
      <c r="H224" s="4" t="s">
        <v>18</v>
      </c>
    </row>
    <row r="225" spans="1:8" ht="15" customHeight="1">
      <c r="A225" s="43"/>
      <c r="B225" s="45"/>
      <c r="C225" s="14">
        <f>C224-3364145</f>
        <v>0</v>
      </c>
      <c r="D225" s="14">
        <f>D224-3598029</f>
        <v>0</v>
      </c>
      <c r="E225" s="12">
        <f t="shared" si="16"/>
        <v>0</v>
      </c>
      <c r="F225" s="40"/>
      <c r="G225" s="15"/>
      <c r="H225" s="4" t="s">
        <v>19</v>
      </c>
    </row>
    <row r="226" spans="1:8" ht="15" customHeight="1">
      <c r="A226" s="43" t="s">
        <v>178</v>
      </c>
      <c r="B226" s="44" t="s">
        <v>56</v>
      </c>
      <c r="C226" s="13">
        <v>0</v>
      </c>
      <c r="D226" s="13">
        <v>0</v>
      </c>
      <c r="E226" s="10">
        <f>+D226-C226</f>
        <v>0</v>
      </c>
      <c r="F226" s="39"/>
      <c r="G226" s="25"/>
      <c r="H226" s="4" t="s">
        <v>18</v>
      </c>
    </row>
    <row r="227" spans="1:8" ht="15" customHeight="1">
      <c r="A227" s="43"/>
      <c r="B227" s="45"/>
      <c r="C227" s="12">
        <f>C226-(-2288024)</f>
        <v>2288024</v>
      </c>
      <c r="D227" s="12">
        <f>D226-(-2484359)</f>
        <v>2484359</v>
      </c>
      <c r="E227" s="12">
        <f>+D227-C227</f>
        <v>196335</v>
      </c>
      <c r="F227" s="40"/>
      <c r="G227" s="15"/>
      <c r="H227" s="4" t="s">
        <v>19</v>
      </c>
    </row>
    <row r="228" spans="1:8" ht="15" customHeight="1">
      <c r="A228" s="43" t="s">
        <v>88</v>
      </c>
      <c r="B228" s="44" t="s">
        <v>56</v>
      </c>
      <c r="C228" s="13">
        <v>304852</v>
      </c>
      <c r="D228" s="13">
        <v>359044</v>
      </c>
      <c r="E228" s="10">
        <f t="shared" si="16"/>
        <v>54192</v>
      </c>
      <c r="F228" s="24"/>
      <c r="G228" s="25"/>
      <c r="H228" s="4" t="s">
        <v>18</v>
      </c>
    </row>
    <row r="229" spans="1:8" ht="15" customHeight="1">
      <c r="A229" s="43"/>
      <c r="B229" s="45"/>
      <c r="C229" s="14">
        <f>C228</f>
        <v>304852</v>
      </c>
      <c r="D229" s="14">
        <f>D228</f>
        <v>359044</v>
      </c>
      <c r="E229" s="12">
        <f t="shared" si="16"/>
        <v>54192</v>
      </c>
      <c r="F229" s="24"/>
      <c r="G229" s="15"/>
      <c r="H229" s="4" t="s">
        <v>19</v>
      </c>
    </row>
    <row r="230" spans="1:8" ht="15" customHeight="1">
      <c r="A230" s="43" t="s">
        <v>48</v>
      </c>
      <c r="B230" s="44" t="s">
        <v>56</v>
      </c>
      <c r="C230" s="13">
        <v>3496179</v>
      </c>
      <c r="D230" s="13">
        <v>3494987</v>
      </c>
      <c r="E230" s="10">
        <f t="shared" si="16"/>
        <v>-1192</v>
      </c>
      <c r="F230" s="39"/>
      <c r="G230" s="25"/>
      <c r="H230" s="4" t="s">
        <v>18</v>
      </c>
    </row>
    <row r="231" spans="1:8" ht="15" customHeight="1">
      <c r="A231" s="43"/>
      <c r="B231" s="45"/>
      <c r="C231" s="14">
        <f>C230</f>
        <v>3496179</v>
      </c>
      <c r="D231" s="14">
        <f>D230</f>
        <v>3494987</v>
      </c>
      <c r="E231" s="12">
        <f t="shared" si="16"/>
        <v>-1192</v>
      </c>
      <c r="F231" s="40"/>
      <c r="G231" s="15"/>
      <c r="H231" s="4" t="s">
        <v>19</v>
      </c>
    </row>
    <row r="232" spans="1:8" ht="22.5" customHeight="1">
      <c r="A232" s="43" t="s">
        <v>63</v>
      </c>
      <c r="B232" s="44" t="s">
        <v>33</v>
      </c>
      <c r="C232" s="13">
        <f>267755+1256680</f>
        <v>1524435</v>
      </c>
      <c r="D232" s="13">
        <f>269375+879650+300238</f>
        <v>1449263</v>
      </c>
      <c r="E232" s="10">
        <f t="shared" si="16"/>
        <v>-75172</v>
      </c>
      <c r="F232" s="39"/>
      <c r="G232" s="25"/>
      <c r="H232" s="4" t="s">
        <v>18</v>
      </c>
    </row>
    <row r="233" spans="1:8" ht="22.5" customHeight="1">
      <c r="A233" s="43"/>
      <c r="B233" s="45"/>
      <c r="C233" s="14">
        <f>C232-84861</f>
        <v>1439574</v>
      </c>
      <c r="D233" s="14">
        <f>D232-89334-50542</f>
        <v>1309387</v>
      </c>
      <c r="E233" s="12">
        <f t="shared" si="16"/>
        <v>-130187</v>
      </c>
      <c r="F233" s="40"/>
      <c r="G233" s="15"/>
      <c r="H233" s="4" t="s">
        <v>19</v>
      </c>
    </row>
    <row r="234" spans="1:8" ht="15" customHeight="1">
      <c r="A234" s="43" t="s">
        <v>49</v>
      </c>
      <c r="B234" s="44" t="s">
        <v>42</v>
      </c>
      <c r="C234" s="13">
        <v>164714</v>
      </c>
      <c r="D234" s="13">
        <v>192108</v>
      </c>
      <c r="E234" s="10">
        <f t="shared" si="16"/>
        <v>27394</v>
      </c>
      <c r="F234" s="39"/>
      <c r="G234" s="25"/>
      <c r="H234" s="4" t="s">
        <v>18</v>
      </c>
    </row>
    <row r="235" spans="1:8" ht="15" customHeight="1">
      <c r="A235" s="43"/>
      <c r="B235" s="45"/>
      <c r="C235" s="14">
        <f>C234-2729-1482</f>
        <v>160503</v>
      </c>
      <c r="D235" s="14">
        <f>D234-4372</f>
        <v>187736</v>
      </c>
      <c r="E235" s="12">
        <f t="shared" si="16"/>
        <v>27233</v>
      </c>
      <c r="F235" s="40"/>
      <c r="G235" s="15"/>
      <c r="H235" s="4" t="s">
        <v>19</v>
      </c>
    </row>
    <row r="236" spans="1:8" ht="15" customHeight="1">
      <c r="A236" s="43" t="s">
        <v>51</v>
      </c>
      <c r="B236" s="44" t="s">
        <v>42</v>
      </c>
      <c r="C236" s="13">
        <v>185472</v>
      </c>
      <c r="D236" s="13">
        <v>184948</v>
      </c>
      <c r="E236" s="10">
        <f t="shared" si="16"/>
        <v>-524</v>
      </c>
      <c r="F236" s="39"/>
      <c r="G236" s="25"/>
      <c r="H236" s="4" t="s">
        <v>18</v>
      </c>
    </row>
    <row r="237" spans="1:8" ht="15" customHeight="1">
      <c r="A237" s="43"/>
      <c r="B237" s="45"/>
      <c r="C237" s="14">
        <f>C236</f>
        <v>185472</v>
      </c>
      <c r="D237" s="14">
        <f>D236</f>
        <v>184948</v>
      </c>
      <c r="E237" s="12">
        <f t="shared" si="16"/>
        <v>-524</v>
      </c>
      <c r="F237" s="40"/>
      <c r="G237" s="15"/>
      <c r="H237" s="4" t="s">
        <v>19</v>
      </c>
    </row>
    <row r="238" spans="1:8" ht="22.5" customHeight="1">
      <c r="A238" s="43" t="s">
        <v>89</v>
      </c>
      <c r="B238" s="44" t="s">
        <v>41</v>
      </c>
      <c r="C238" s="13">
        <f>2502788+436266+392631+267042+112741</f>
        <v>3711468</v>
      </c>
      <c r="D238" s="13">
        <f>2783595+427480+304002+58988</f>
        <v>3574065</v>
      </c>
      <c r="E238" s="10">
        <f t="shared" si="16"/>
        <v>-137403</v>
      </c>
      <c r="F238" s="39"/>
      <c r="G238" s="25"/>
      <c r="H238" s="4" t="s">
        <v>18</v>
      </c>
    </row>
    <row r="239" spans="1:8" ht="22.5" customHeight="1">
      <c r="A239" s="43"/>
      <c r="B239" s="45"/>
      <c r="C239" s="14">
        <f>C238-6784-1183</f>
        <v>3703501</v>
      </c>
      <c r="D239" s="14">
        <f>D238-9051</f>
        <v>3565014</v>
      </c>
      <c r="E239" s="12">
        <f t="shared" si="16"/>
        <v>-138487</v>
      </c>
      <c r="F239" s="40"/>
      <c r="G239" s="15"/>
      <c r="H239" s="4" t="s">
        <v>19</v>
      </c>
    </row>
    <row r="240" spans="1:8" ht="15" customHeight="1">
      <c r="A240" s="43" t="s">
        <v>96</v>
      </c>
      <c r="B240" s="44" t="s">
        <v>42</v>
      </c>
      <c r="C240" s="10">
        <v>4281</v>
      </c>
      <c r="D240" s="10">
        <v>4241</v>
      </c>
      <c r="E240" s="10">
        <f t="shared" si="16"/>
        <v>-40</v>
      </c>
      <c r="F240" s="39"/>
      <c r="G240" s="25"/>
      <c r="H240" s="4" t="s">
        <v>18</v>
      </c>
    </row>
    <row r="241" spans="1:8" ht="15" customHeight="1">
      <c r="A241" s="43"/>
      <c r="B241" s="45"/>
      <c r="C241" s="11">
        <f>C240</f>
        <v>4281</v>
      </c>
      <c r="D241" s="11">
        <f>D240</f>
        <v>4241</v>
      </c>
      <c r="E241" s="12">
        <f t="shared" si="16"/>
        <v>-40</v>
      </c>
      <c r="F241" s="40"/>
      <c r="G241" s="15"/>
      <c r="H241" s="4" t="s">
        <v>19</v>
      </c>
    </row>
    <row r="242" spans="1:8" ht="15" customHeight="1">
      <c r="A242" s="43" t="s">
        <v>91</v>
      </c>
      <c r="B242" s="44" t="s">
        <v>56</v>
      </c>
      <c r="C242" s="13">
        <v>4137</v>
      </c>
      <c r="D242" s="13">
        <v>4941</v>
      </c>
      <c r="E242" s="10">
        <f t="shared" si="16"/>
        <v>804</v>
      </c>
      <c r="F242" s="39"/>
      <c r="G242" s="25"/>
      <c r="H242" s="4" t="s">
        <v>18</v>
      </c>
    </row>
    <row r="243" spans="1:8" ht="15" customHeight="1">
      <c r="A243" s="43"/>
      <c r="B243" s="45"/>
      <c r="C243" s="14">
        <f>C242</f>
        <v>4137</v>
      </c>
      <c r="D243" s="14">
        <f>D242</f>
        <v>4941</v>
      </c>
      <c r="E243" s="12">
        <f t="shared" si="16"/>
        <v>804</v>
      </c>
      <c r="F243" s="40"/>
      <c r="G243" s="15"/>
      <c r="H243" s="4" t="s">
        <v>19</v>
      </c>
    </row>
    <row r="244" spans="1:8" ht="15" customHeight="1">
      <c r="A244" s="43" t="s">
        <v>92</v>
      </c>
      <c r="B244" s="44" t="s">
        <v>80</v>
      </c>
      <c r="C244" s="13">
        <v>805</v>
      </c>
      <c r="D244" s="13">
        <v>741</v>
      </c>
      <c r="E244" s="10">
        <f t="shared" si="16"/>
        <v>-64</v>
      </c>
      <c r="F244" s="39"/>
      <c r="G244" s="25"/>
      <c r="H244" s="4" t="s">
        <v>18</v>
      </c>
    </row>
    <row r="245" spans="1:8" ht="15" customHeight="1">
      <c r="A245" s="43"/>
      <c r="B245" s="45"/>
      <c r="C245" s="14">
        <f>C244</f>
        <v>805</v>
      </c>
      <c r="D245" s="14">
        <f>D244</f>
        <v>741</v>
      </c>
      <c r="E245" s="12">
        <f t="shared" si="16"/>
        <v>-64</v>
      </c>
      <c r="F245" s="40"/>
      <c r="G245" s="15"/>
      <c r="H245" s="4" t="s">
        <v>19</v>
      </c>
    </row>
    <row r="246" spans="1:8" ht="15" customHeight="1">
      <c r="A246" s="43" t="s">
        <v>97</v>
      </c>
      <c r="B246" s="44" t="s">
        <v>42</v>
      </c>
      <c r="C246" s="13">
        <v>15282</v>
      </c>
      <c r="D246" s="13">
        <v>15282</v>
      </c>
      <c r="E246" s="10">
        <f t="shared" si="16"/>
        <v>0</v>
      </c>
      <c r="F246" s="39"/>
      <c r="G246" s="25"/>
      <c r="H246" s="4" t="s">
        <v>18</v>
      </c>
    </row>
    <row r="247" spans="1:8" ht="15" customHeight="1">
      <c r="A247" s="43"/>
      <c r="B247" s="45"/>
      <c r="C247" s="14">
        <f>C246</f>
        <v>15282</v>
      </c>
      <c r="D247" s="14">
        <f>D246</f>
        <v>15282</v>
      </c>
      <c r="E247" s="12">
        <f t="shared" si="16"/>
        <v>0</v>
      </c>
      <c r="F247" s="40"/>
      <c r="G247" s="15"/>
      <c r="H247" s="4" t="s">
        <v>19</v>
      </c>
    </row>
    <row r="248" spans="1:8" ht="15" customHeight="1">
      <c r="A248" s="43" t="s">
        <v>93</v>
      </c>
      <c r="B248" s="44" t="s">
        <v>28</v>
      </c>
      <c r="C248" s="13">
        <v>154247</v>
      </c>
      <c r="D248" s="13">
        <v>355610</v>
      </c>
      <c r="E248" s="10">
        <f t="shared" si="16"/>
        <v>201363</v>
      </c>
      <c r="F248" s="39"/>
      <c r="G248" s="25"/>
      <c r="H248" s="4" t="s">
        <v>18</v>
      </c>
    </row>
    <row r="249" spans="1:8" ht="15" customHeight="1">
      <c r="A249" s="43"/>
      <c r="B249" s="45"/>
      <c r="C249" s="14">
        <f>C248-31900</f>
        <v>122347</v>
      </c>
      <c r="D249" s="14">
        <f>D248-76097</f>
        <v>279513</v>
      </c>
      <c r="E249" s="12">
        <f t="shared" si="16"/>
        <v>157166</v>
      </c>
      <c r="F249" s="40"/>
      <c r="G249" s="15"/>
      <c r="H249" s="4" t="s">
        <v>19</v>
      </c>
    </row>
    <row r="250" spans="1:8" ht="15" customHeight="1">
      <c r="A250" s="43" t="s">
        <v>95</v>
      </c>
      <c r="B250" s="44" t="s">
        <v>15</v>
      </c>
      <c r="C250" s="13">
        <v>2000</v>
      </c>
      <c r="D250" s="13">
        <v>2000</v>
      </c>
      <c r="E250" s="10">
        <f t="shared" si="16"/>
        <v>0</v>
      </c>
      <c r="F250" s="39"/>
      <c r="G250" s="25"/>
      <c r="H250" s="4" t="s">
        <v>18</v>
      </c>
    </row>
    <row r="251" spans="1:8" ht="15" customHeight="1">
      <c r="A251" s="43"/>
      <c r="B251" s="45"/>
      <c r="C251" s="14">
        <f>C250-2000</f>
        <v>0</v>
      </c>
      <c r="D251" s="14">
        <f>D250-2000</f>
        <v>0</v>
      </c>
      <c r="E251" s="12">
        <f t="shared" si="16"/>
        <v>0</v>
      </c>
      <c r="F251" s="40"/>
      <c r="G251" s="15"/>
      <c r="H251" s="4" t="s">
        <v>19</v>
      </c>
    </row>
    <row r="252" spans="1:8" ht="15" customHeight="1">
      <c r="A252" s="43" t="s">
        <v>152</v>
      </c>
      <c r="B252" s="44" t="s">
        <v>28</v>
      </c>
      <c r="C252" s="13">
        <v>1177</v>
      </c>
      <c r="D252" s="13">
        <v>1178</v>
      </c>
      <c r="E252" s="10">
        <f t="shared" ref="E252:E253" si="17">+D252-C252</f>
        <v>1</v>
      </c>
      <c r="F252" s="39"/>
      <c r="G252" s="25"/>
      <c r="H252" s="4" t="s">
        <v>18</v>
      </c>
    </row>
    <row r="253" spans="1:8" ht="15" customHeight="1">
      <c r="A253" s="43"/>
      <c r="B253" s="45"/>
      <c r="C253" s="14">
        <f>C252</f>
        <v>1177</v>
      </c>
      <c r="D253" s="14">
        <f>D252</f>
        <v>1178</v>
      </c>
      <c r="E253" s="12">
        <f t="shared" si="17"/>
        <v>1</v>
      </c>
      <c r="F253" s="40"/>
      <c r="G253" s="15"/>
      <c r="H253" s="4" t="s">
        <v>19</v>
      </c>
    </row>
    <row r="254" spans="1:8" ht="15" customHeight="1">
      <c r="A254" s="42" t="s">
        <v>177</v>
      </c>
      <c r="B254" s="44" t="s">
        <v>42</v>
      </c>
      <c r="C254" s="13">
        <v>20414</v>
      </c>
      <c r="D254" s="13">
        <v>20507</v>
      </c>
      <c r="E254" s="10">
        <f t="shared" ref="E254:E261" si="18">+D254-C254</f>
        <v>93</v>
      </c>
      <c r="F254" s="39"/>
      <c r="G254" s="25"/>
      <c r="H254" s="4" t="s">
        <v>18</v>
      </c>
    </row>
    <row r="255" spans="1:8" ht="15" customHeight="1">
      <c r="A255" s="48"/>
      <c r="B255" s="45"/>
      <c r="C255" s="14">
        <f>C254</f>
        <v>20414</v>
      </c>
      <c r="D255" s="14">
        <f>D254</f>
        <v>20507</v>
      </c>
      <c r="E255" s="12">
        <f t="shared" si="18"/>
        <v>93</v>
      </c>
      <c r="F255" s="40"/>
      <c r="G255" s="15"/>
      <c r="H255" s="4" t="s">
        <v>19</v>
      </c>
    </row>
    <row r="256" spans="1:8" ht="15" customHeight="1">
      <c r="A256" s="43" t="s">
        <v>214</v>
      </c>
      <c r="B256" s="44" t="s">
        <v>215</v>
      </c>
      <c r="C256" s="13">
        <v>0</v>
      </c>
      <c r="D256" s="13">
        <v>33723</v>
      </c>
      <c r="E256" s="10">
        <f t="shared" si="18"/>
        <v>33723</v>
      </c>
      <c r="F256" s="39"/>
      <c r="G256" s="25"/>
      <c r="H256" s="4" t="s">
        <v>18</v>
      </c>
    </row>
    <row r="257" spans="1:9" ht="15" customHeight="1">
      <c r="A257" s="43"/>
      <c r="B257" s="45"/>
      <c r="C257" s="14">
        <f>C256</f>
        <v>0</v>
      </c>
      <c r="D257" s="14">
        <f>D256</f>
        <v>33723</v>
      </c>
      <c r="E257" s="12">
        <f t="shared" si="18"/>
        <v>33723</v>
      </c>
      <c r="F257" s="40"/>
      <c r="G257" s="15"/>
      <c r="H257" s="4" t="s">
        <v>19</v>
      </c>
    </row>
    <row r="258" spans="1:9" ht="22.5" customHeight="1">
      <c r="A258" s="67" t="s">
        <v>149</v>
      </c>
      <c r="B258" s="44" t="s">
        <v>33</v>
      </c>
      <c r="C258" s="13">
        <v>93580</v>
      </c>
      <c r="D258" s="13">
        <v>0</v>
      </c>
      <c r="E258" s="10">
        <f t="shared" si="18"/>
        <v>-93580</v>
      </c>
      <c r="F258" s="39"/>
      <c r="G258" s="25"/>
      <c r="H258" s="4" t="s">
        <v>18</v>
      </c>
    </row>
    <row r="259" spans="1:9" ht="22.5" customHeight="1">
      <c r="A259" s="67"/>
      <c r="B259" s="45"/>
      <c r="C259" s="14">
        <f>C258</f>
        <v>93580</v>
      </c>
      <c r="D259" s="14">
        <f>D258</f>
        <v>0</v>
      </c>
      <c r="E259" s="12">
        <f t="shared" si="18"/>
        <v>-93580</v>
      </c>
      <c r="F259" s="40"/>
      <c r="G259" s="15"/>
      <c r="H259" s="4" t="s">
        <v>19</v>
      </c>
    </row>
    <row r="260" spans="1:9" ht="26.25" customHeight="1">
      <c r="A260" s="67" t="s">
        <v>94</v>
      </c>
      <c r="B260" s="44" t="s">
        <v>28</v>
      </c>
      <c r="C260" s="13">
        <v>74325</v>
      </c>
      <c r="D260" s="13">
        <v>0</v>
      </c>
      <c r="E260" s="10">
        <f t="shared" si="18"/>
        <v>-74325</v>
      </c>
      <c r="F260" s="39"/>
      <c r="G260" s="25"/>
      <c r="H260" s="4" t="s">
        <v>18</v>
      </c>
    </row>
    <row r="261" spans="1:9" ht="26.25" customHeight="1">
      <c r="A261" s="67"/>
      <c r="B261" s="45"/>
      <c r="C261" s="14">
        <f>C260-17520</f>
        <v>56805</v>
      </c>
      <c r="D261" s="14">
        <f>D260</f>
        <v>0</v>
      </c>
      <c r="E261" s="12">
        <f t="shared" si="18"/>
        <v>-56805</v>
      </c>
      <c r="F261" s="40"/>
      <c r="G261" s="15"/>
      <c r="H261" s="4" t="s">
        <v>19</v>
      </c>
    </row>
    <row r="262" spans="1:9" ht="15" customHeight="1">
      <c r="A262" s="43" t="s">
        <v>98</v>
      </c>
      <c r="B262" s="44" t="s">
        <v>39</v>
      </c>
      <c r="C262" s="13">
        <v>1000</v>
      </c>
      <c r="D262" s="13">
        <v>988</v>
      </c>
      <c r="E262" s="10">
        <f t="shared" ref="E262:E275" si="19">+D262-C262</f>
        <v>-12</v>
      </c>
      <c r="F262" s="39"/>
      <c r="G262" s="25"/>
      <c r="H262" s="4" t="s">
        <v>18</v>
      </c>
    </row>
    <row r="263" spans="1:9" ht="15" customHeight="1">
      <c r="A263" s="43"/>
      <c r="B263" s="45"/>
      <c r="C263" s="14">
        <f>C262</f>
        <v>1000</v>
      </c>
      <c r="D263" s="14">
        <f>D262</f>
        <v>988</v>
      </c>
      <c r="E263" s="12">
        <f t="shared" si="19"/>
        <v>-12</v>
      </c>
      <c r="F263" s="40"/>
      <c r="G263" s="15"/>
      <c r="H263" s="4" t="s">
        <v>19</v>
      </c>
    </row>
    <row r="264" spans="1:9" ht="15" customHeight="1">
      <c r="A264" s="43" t="s">
        <v>99</v>
      </c>
      <c r="B264" s="44" t="s">
        <v>39</v>
      </c>
      <c r="C264" s="10">
        <f>482+28196+4789+239+3063+2221+9999+890+3122+4696</f>
        <v>57697</v>
      </c>
      <c r="D264" s="10">
        <f>474+25539+4830+239+726+3063+2221+10214+2952+4696</f>
        <v>54954</v>
      </c>
      <c r="E264" s="10">
        <f t="shared" si="19"/>
        <v>-2743</v>
      </c>
      <c r="F264" s="39" t="s">
        <v>22</v>
      </c>
      <c r="G264" s="25">
        <f>239+2221</f>
        <v>2460</v>
      </c>
      <c r="H264" s="4" t="s">
        <v>18</v>
      </c>
      <c r="I264" s="4" t="s">
        <v>23</v>
      </c>
    </row>
    <row r="265" spans="1:9" ht="15" customHeight="1">
      <c r="A265" s="43"/>
      <c r="B265" s="45"/>
      <c r="C265" s="11">
        <f>C264-189</f>
        <v>57508</v>
      </c>
      <c r="D265" s="11">
        <f>D264-182</f>
        <v>54772</v>
      </c>
      <c r="E265" s="12">
        <f t="shared" si="19"/>
        <v>-2736</v>
      </c>
      <c r="F265" s="40"/>
      <c r="G265" s="15">
        <f>G264</f>
        <v>2460</v>
      </c>
      <c r="H265" s="4" t="s">
        <v>19</v>
      </c>
      <c r="I265" s="4" t="s">
        <v>24</v>
      </c>
    </row>
    <row r="266" spans="1:9" ht="15" customHeight="1">
      <c r="A266" s="43" t="s">
        <v>100</v>
      </c>
      <c r="B266" s="44" t="s">
        <v>39</v>
      </c>
      <c r="C266" s="13">
        <v>4619</v>
      </c>
      <c r="D266" s="13">
        <f>4482+474</f>
        <v>4956</v>
      </c>
      <c r="E266" s="10">
        <f t="shared" si="19"/>
        <v>337</v>
      </c>
      <c r="F266" s="39" t="s">
        <v>22</v>
      </c>
      <c r="G266" s="25">
        <v>474</v>
      </c>
      <c r="H266" s="4" t="s">
        <v>18</v>
      </c>
      <c r="I266" s="4" t="s">
        <v>216</v>
      </c>
    </row>
    <row r="267" spans="1:9" ht="15" customHeight="1">
      <c r="A267" s="43"/>
      <c r="B267" s="45"/>
      <c r="C267" s="14">
        <f>C266</f>
        <v>4619</v>
      </c>
      <c r="D267" s="14">
        <f>D266</f>
        <v>4956</v>
      </c>
      <c r="E267" s="12">
        <f t="shared" si="19"/>
        <v>337</v>
      </c>
      <c r="F267" s="40"/>
      <c r="G267" s="15">
        <f>G266</f>
        <v>474</v>
      </c>
      <c r="H267" s="4" t="s">
        <v>19</v>
      </c>
      <c r="I267" s="4" t="s">
        <v>24</v>
      </c>
    </row>
    <row r="268" spans="1:9" ht="15" customHeight="1">
      <c r="A268" s="43" t="s">
        <v>101</v>
      </c>
      <c r="B268" s="44" t="s">
        <v>39</v>
      </c>
      <c r="C268" s="13">
        <f>1664+8549+5124+880</f>
        <v>16217</v>
      </c>
      <c r="D268" s="13">
        <f>1639+12186+5124+831</f>
        <v>19780</v>
      </c>
      <c r="E268" s="10">
        <f t="shared" si="19"/>
        <v>3563</v>
      </c>
      <c r="F268" s="39" t="s">
        <v>22</v>
      </c>
      <c r="G268" s="25">
        <v>5124</v>
      </c>
      <c r="H268" s="4" t="s">
        <v>18</v>
      </c>
      <c r="I268" s="4" t="s">
        <v>23</v>
      </c>
    </row>
    <row r="269" spans="1:9" ht="15" customHeight="1">
      <c r="A269" s="43"/>
      <c r="B269" s="45"/>
      <c r="C269" s="14">
        <f>C268-6407</f>
        <v>9810</v>
      </c>
      <c r="D269" s="14">
        <f>D268-8186</f>
        <v>11594</v>
      </c>
      <c r="E269" s="12">
        <f t="shared" si="19"/>
        <v>1784</v>
      </c>
      <c r="F269" s="40"/>
      <c r="G269" s="15">
        <f>G268</f>
        <v>5124</v>
      </c>
      <c r="H269" s="4" t="s">
        <v>19</v>
      </c>
      <c r="I269" s="4" t="s">
        <v>24</v>
      </c>
    </row>
    <row r="270" spans="1:9" ht="15" customHeight="1">
      <c r="A270" s="43" t="s">
        <v>102</v>
      </c>
      <c r="B270" s="44" t="s">
        <v>39</v>
      </c>
      <c r="C270" s="13">
        <v>26454</v>
      </c>
      <c r="D270" s="13">
        <v>25961</v>
      </c>
      <c r="E270" s="10">
        <f t="shared" si="19"/>
        <v>-493</v>
      </c>
      <c r="F270" s="39"/>
      <c r="G270" s="25"/>
      <c r="H270" s="4" t="s">
        <v>18</v>
      </c>
    </row>
    <row r="271" spans="1:9" ht="15" customHeight="1">
      <c r="A271" s="43"/>
      <c r="B271" s="45"/>
      <c r="C271" s="14">
        <f>C270</f>
        <v>26454</v>
      </c>
      <c r="D271" s="14">
        <f>D270</f>
        <v>25961</v>
      </c>
      <c r="E271" s="12">
        <f t="shared" si="19"/>
        <v>-493</v>
      </c>
      <c r="F271" s="40"/>
      <c r="G271" s="15"/>
      <c r="H271" s="4" t="s">
        <v>19</v>
      </c>
    </row>
    <row r="272" spans="1:9" ht="15" customHeight="1">
      <c r="A272" s="43" t="s">
        <v>103</v>
      </c>
      <c r="B272" s="44" t="s">
        <v>39</v>
      </c>
      <c r="C272" s="13">
        <f>29508+299230+193419</f>
        <v>522157</v>
      </c>
      <c r="D272" s="13">
        <f>45107+308486+15299</f>
        <v>368892</v>
      </c>
      <c r="E272" s="10">
        <f t="shared" si="19"/>
        <v>-153265</v>
      </c>
      <c r="F272" s="39"/>
      <c r="G272" s="25"/>
      <c r="H272" s="4" t="s">
        <v>18</v>
      </c>
    </row>
    <row r="273" spans="1:8" ht="15" customHeight="1">
      <c r="A273" s="43"/>
      <c r="B273" s="45"/>
      <c r="C273" s="14">
        <f>C272-360</f>
        <v>521797</v>
      </c>
      <c r="D273" s="14">
        <f>D272-360</f>
        <v>368532</v>
      </c>
      <c r="E273" s="12">
        <f t="shared" si="19"/>
        <v>-153265</v>
      </c>
      <c r="F273" s="40"/>
      <c r="G273" s="15"/>
      <c r="H273" s="4" t="s">
        <v>19</v>
      </c>
    </row>
    <row r="274" spans="1:8" ht="15" customHeight="1">
      <c r="A274" s="43" t="s">
        <v>104</v>
      </c>
      <c r="B274" s="44" t="s">
        <v>39</v>
      </c>
      <c r="C274" s="13">
        <v>46063</v>
      </c>
      <c r="D274" s="13">
        <v>46063</v>
      </c>
      <c r="E274" s="10">
        <f t="shared" si="19"/>
        <v>0</v>
      </c>
      <c r="F274" s="39"/>
      <c r="G274" s="25"/>
      <c r="H274" s="4" t="s">
        <v>18</v>
      </c>
    </row>
    <row r="275" spans="1:8" ht="15" customHeight="1">
      <c r="A275" s="43"/>
      <c r="B275" s="45"/>
      <c r="C275" s="14">
        <f>C274</f>
        <v>46063</v>
      </c>
      <c r="D275" s="14">
        <f>D274</f>
        <v>46063</v>
      </c>
      <c r="E275" s="12">
        <f t="shared" si="19"/>
        <v>0</v>
      </c>
      <c r="F275" s="40"/>
      <c r="G275" s="15"/>
      <c r="H275" s="4" t="s">
        <v>19</v>
      </c>
    </row>
    <row r="276" spans="1:8" ht="15" customHeight="1">
      <c r="A276" s="68" t="s">
        <v>105</v>
      </c>
      <c r="B276" s="44" t="s">
        <v>106</v>
      </c>
      <c r="C276" s="10">
        <v>6239</v>
      </c>
      <c r="D276" s="10">
        <v>6177</v>
      </c>
      <c r="E276" s="10">
        <f t="shared" ref="E276:E279" si="20">+D276-C276</f>
        <v>-62</v>
      </c>
      <c r="F276" s="39"/>
      <c r="G276" s="25"/>
      <c r="H276" s="4" t="s">
        <v>18</v>
      </c>
    </row>
    <row r="277" spans="1:8" ht="15" customHeight="1">
      <c r="A277" s="68"/>
      <c r="B277" s="45"/>
      <c r="C277" s="11">
        <f>C276</f>
        <v>6239</v>
      </c>
      <c r="D277" s="11">
        <f>D276</f>
        <v>6177</v>
      </c>
      <c r="E277" s="12">
        <f t="shared" si="20"/>
        <v>-62</v>
      </c>
      <c r="F277" s="40"/>
      <c r="G277" s="15"/>
      <c r="H277" s="4" t="s">
        <v>19</v>
      </c>
    </row>
    <row r="278" spans="1:8" ht="15" customHeight="1">
      <c r="A278" s="68" t="s">
        <v>107</v>
      </c>
      <c r="B278" s="44" t="s">
        <v>106</v>
      </c>
      <c r="C278" s="13">
        <f>1992+28535+5093</f>
        <v>35620</v>
      </c>
      <c r="D278" s="13">
        <f>28535+2160+5569</f>
        <v>36264</v>
      </c>
      <c r="E278" s="10">
        <f t="shared" si="20"/>
        <v>644</v>
      </c>
      <c r="F278" s="39"/>
      <c r="G278" s="25"/>
      <c r="H278" s="4" t="s">
        <v>18</v>
      </c>
    </row>
    <row r="279" spans="1:8" ht="15" customHeight="1">
      <c r="A279" s="68"/>
      <c r="B279" s="45"/>
      <c r="C279" s="14">
        <f>C278-21300</f>
        <v>14320</v>
      </c>
      <c r="D279" s="14">
        <f>D278-21300</f>
        <v>14964</v>
      </c>
      <c r="E279" s="12">
        <f t="shared" si="20"/>
        <v>644</v>
      </c>
      <c r="F279" s="40"/>
      <c r="G279" s="15"/>
      <c r="H279" s="4" t="s">
        <v>19</v>
      </c>
    </row>
    <row r="280" spans="1:8" ht="15" customHeight="1">
      <c r="A280" s="43" t="s">
        <v>108</v>
      </c>
      <c r="B280" s="44" t="s">
        <v>109</v>
      </c>
      <c r="C280" s="13">
        <f>461927+40992</f>
        <v>502919</v>
      </c>
      <c r="D280" s="13">
        <f>478195+41392</f>
        <v>519587</v>
      </c>
      <c r="E280" s="10">
        <f t="shared" ref="E280:E331" si="21">+D280-C280</f>
        <v>16668</v>
      </c>
      <c r="F280" s="39"/>
      <c r="G280" s="25"/>
      <c r="H280" s="4" t="s">
        <v>18</v>
      </c>
    </row>
    <row r="281" spans="1:8" ht="15" customHeight="1">
      <c r="A281" s="43"/>
      <c r="B281" s="45"/>
      <c r="C281" s="14">
        <f>C280-16095-13889-6151</f>
        <v>466784</v>
      </c>
      <c r="D281" s="14">
        <f>D280-18068-13889-6406</f>
        <v>481224</v>
      </c>
      <c r="E281" s="12">
        <f t="shared" si="21"/>
        <v>14440</v>
      </c>
      <c r="F281" s="40"/>
      <c r="G281" s="15"/>
      <c r="H281" s="4" t="s">
        <v>19</v>
      </c>
    </row>
    <row r="282" spans="1:8" ht="15" customHeight="1">
      <c r="A282" s="43" t="s">
        <v>110</v>
      </c>
      <c r="B282" s="44" t="s">
        <v>109</v>
      </c>
      <c r="C282" s="13">
        <f>681060+110+1973+28335</f>
        <v>711478</v>
      </c>
      <c r="D282" s="13">
        <f>736273+36439</f>
        <v>772712</v>
      </c>
      <c r="E282" s="10">
        <f t="shared" si="21"/>
        <v>61234</v>
      </c>
      <c r="F282" s="39"/>
      <c r="G282" s="25"/>
      <c r="H282" s="4" t="s">
        <v>18</v>
      </c>
    </row>
    <row r="283" spans="1:8" ht="15" customHeight="1">
      <c r="A283" s="43"/>
      <c r="B283" s="45"/>
      <c r="C283" s="14">
        <f>C282-2644-9184</f>
        <v>699650</v>
      </c>
      <c r="D283" s="14">
        <f>D282-2644-9188</f>
        <v>760880</v>
      </c>
      <c r="E283" s="12">
        <f t="shared" si="21"/>
        <v>61230</v>
      </c>
      <c r="F283" s="40"/>
      <c r="G283" s="15"/>
      <c r="H283" s="4" t="s">
        <v>19</v>
      </c>
    </row>
    <row r="284" spans="1:8" ht="15" customHeight="1">
      <c r="A284" s="43" t="s">
        <v>111</v>
      </c>
      <c r="B284" s="44" t="s">
        <v>109</v>
      </c>
      <c r="C284" s="13">
        <v>187741</v>
      </c>
      <c r="D284" s="13">
        <v>189601</v>
      </c>
      <c r="E284" s="10">
        <f t="shared" si="21"/>
        <v>1860</v>
      </c>
      <c r="F284" s="39"/>
      <c r="G284" s="25"/>
      <c r="H284" s="4" t="s">
        <v>18</v>
      </c>
    </row>
    <row r="285" spans="1:8" ht="15" customHeight="1">
      <c r="A285" s="43"/>
      <c r="B285" s="45"/>
      <c r="C285" s="14">
        <f>C284-1720</f>
        <v>186021</v>
      </c>
      <c r="D285" s="14">
        <f>D284-848</f>
        <v>188753</v>
      </c>
      <c r="E285" s="12">
        <f t="shared" si="21"/>
        <v>2732</v>
      </c>
      <c r="F285" s="40"/>
      <c r="G285" s="15"/>
      <c r="H285" s="4" t="s">
        <v>19</v>
      </c>
    </row>
    <row r="286" spans="1:8" ht="15" customHeight="1">
      <c r="A286" s="43" t="s">
        <v>112</v>
      </c>
      <c r="B286" s="44" t="s">
        <v>109</v>
      </c>
      <c r="C286" s="13">
        <v>226683</v>
      </c>
      <c r="D286" s="13">
        <v>234061</v>
      </c>
      <c r="E286" s="10">
        <f t="shared" si="21"/>
        <v>7378</v>
      </c>
      <c r="F286" s="39"/>
      <c r="G286" s="25"/>
      <c r="H286" s="4" t="s">
        <v>18</v>
      </c>
    </row>
    <row r="287" spans="1:8" ht="15" customHeight="1">
      <c r="A287" s="43"/>
      <c r="B287" s="45"/>
      <c r="C287" s="14">
        <f>C286</f>
        <v>226683</v>
      </c>
      <c r="D287" s="14">
        <f>D286</f>
        <v>234061</v>
      </c>
      <c r="E287" s="12">
        <f t="shared" si="21"/>
        <v>7378</v>
      </c>
      <c r="F287" s="40"/>
      <c r="G287" s="15"/>
      <c r="H287" s="4" t="s">
        <v>19</v>
      </c>
    </row>
    <row r="288" spans="1:8" ht="15" customHeight="1">
      <c r="A288" s="43" t="s">
        <v>113</v>
      </c>
      <c r="B288" s="44" t="s">
        <v>109</v>
      </c>
      <c r="C288" s="13">
        <v>273939</v>
      </c>
      <c r="D288" s="13">
        <v>312978</v>
      </c>
      <c r="E288" s="10">
        <f t="shared" si="21"/>
        <v>39039</v>
      </c>
      <c r="F288" s="39"/>
      <c r="G288" s="25"/>
      <c r="H288" s="4" t="s">
        <v>18</v>
      </c>
    </row>
    <row r="289" spans="1:9" ht="15" customHeight="1">
      <c r="A289" s="43"/>
      <c r="B289" s="45"/>
      <c r="C289" s="14">
        <f>C288</f>
        <v>273939</v>
      </c>
      <c r="D289" s="14">
        <f>D288</f>
        <v>312978</v>
      </c>
      <c r="E289" s="12">
        <f t="shared" si="21"/>
        <v>39039</v>
      </c>
      <c r="F289" s="40"/>
      <c r="G289" s="15"/>
      <c r="H289" s="4" t="s">
        <v>19</v>
      </c>
    </row>
    <row r="290" spans="1:9" ht="15" customHeight="1">
      <c r="A290" s="43" t="s">
        <v>114</v>
      </c>
      <c r="B290" s="44" t="s">
        <v>109</v>
      </c>
      <c r="C290" s="13">
        <v>32472</v>
      </c>
      <c r="D290" s="13">
        <v>31578</v>
      </c>
      <c r="E290" s="10">
        <f t="shared" si="21"/>
        <v>-894</v>
      </c>
      <c r="F290" s="39"/>
      <c r="G290" s="25"/>
      <c r="H290" s="4" t="s">
        <v>18</v>
      </c>
    </row>
    <row r="291" spans="1:9" ht="15" customHeight="1">
      <c r="A291" s="43"/>
      <c r="B291" s="45"/>
      <c r="C291" s="14">
        <f>C290-1313</f>
        <v>31159</v>
      </c>
      <c r="D291" s="14">
        <f>D290-1344</f>
        <v>30234</v>
      </c>
      <c r="E291" s="12">
        <f t="shared" si="21"/>
        <v>-925</v>
      </c>
      <c r="F291" s="40"/>
      <c r="G291" s="15"/>
      <c r="H291" s="4" t="s">
        <v>19</v>
      </c>
    </row>
    <row r="292" spans="1:9" ht="15" customHeight="1">
      <c r="A292" s="43" t="s">
        <v>115</v>
      </c>
      <c r="B292" s="44" t="s">
        <v>56</v>
      </c>
      <c r="C292" s="13">
        <f>25657+384</f>
        <v>26041</v>
      </c>
      <c r="D292" s="13">
        <f>25564+362</f>
        <v>25926</v>
      </c>
      <c r="E292" s="10">
        <f t="shared" si="21"/>
        <v>-115</v>
      </c>
      <c r="F292" s="24"/>
      <c r="G292" s="25"/>
      <c r="H292" s="4" t="s">
        <v>18</v>
      </c>
    </row>
    <row r="293" spans="1:9" ht="15" customHeight="1">
      <c r="A293" s="43"/>
      <c r="B293" s="45"/>
      <c r="C293" s="14">
        <f>C292</f>
        <v>26041</v>
      </c>
      <c r="D293" s="14">
        <f>D292</f>
        <v>25926</v>
      </c>
      <c r="E293" s="12">
        <f t="shared" si="21"/>
        <v>-115</v>
      </c>
      <c r="F293" s="24"/>
      <c r="G293" s="15"/>
      <c r="H293" s="4" t="s">
        <v>19</v>
      </c>
    </row>
    <row r="294" spans="1:9" ht="15" customHeight="1">
      <c r="A294" s="43" t="s">
        <v>116</v>
      </c>
      <c r="B294" s="44" t="s">
        <v>56</v>
      </c>
      <c r="C294" s="13">
        <f>136337+12194</f>
        <v>148531</v>
      </c>
      <c r="D294" s="13">
        <f>143289+12248</f>
        <v>155537</v>
      </c>
      <c r="E294" s="10">
        <f t="shared" si="21"/>
        <v>7006</v>
      </c>
      <c r="F294" s="39"/>
      <c r="G294" s="25"/>
      <c r="H294" s="4" t="s">
        <v>18</v>
      </c>
    </row>
    <row r="295" spans="1:9" ht="15" customHeight="1">
      <c r="A295" s="43"/>
      <c r="B295" s="45"/>
      <c r="C295" s="14">
        <f>C294-598</f>
        <v>147933</v>
      </c>
      <c r="D295" s="14">
        <f>D294-598</f>
        <v>154939</v>
      </c>
      <c r="E295" s="12">
        <f t="shared" si="21"/>
        <v>7006</v>
      </c>
      <c r="F295" s="40"/>
      <c r="G295" s="15"/>
      <c r="H295" s="4" t="s">
        <v>19</v>
      </c>
    </row>
    <row r="296" spans="1:9" ht="15" customHeight="1">
      <c r="A296" s="43" t="s">
        <v>117</v>
      </c>
      <c r="B296" s="44" t="s">
        <v>16</v>
      </c>
      <c r="C296" s="13">
        <f>95417+931+7085+7656</f>
        <v>111089</v>
      </c>
      <c r="D296" s="13">
        <f>97545+907+5435+8176</f>
        <v>112063</v>
      </c>
      <c r="E296" s="13">
        <f t="shared" si="21"/>
        <v>974</v>
      </c>
      <c r="F296" s="39"/>
      <c r="G296" s="25"/>
      <c r="H296" s="4" t="s">
        <v>18</v>
      </c>
    </row>
    <row r="297" spans="1:9" ht="15" customHeight="1">
      <c r="A297" s="43"/>
      <c r="B297" s="45"/>
      <c r="C297" s="14">
        <f>C296</f>
        <v>111089</v>
      </c>
      <c r="D297" s="14">
        <f>D296</f>
        <v>112063</v>
      </c>
      <c r="E297" s="12">
        <f t="shared" si="21"/>
        <v>974</v>
      </c>
      <c r="F297" s="40"/>
      <c r="G297" s="15"/>
      <c r="H297" s="4" t="s">
        <v>19</v>
      </c>
    </row>
    <row r="298" spans="1:9" ht="15" customHeight="1">
      <c r="A298" s="43" t="s">
        <v>118</v>
      </c>
      <c r="B298" s="44" t="s">
        <v>56</v>
      </c>
      <c r="C298" s="13">
        <f>15429+1030+1000</f>
        <v>17459</v>
      </c>
      <c r="D298" s="13">
        <f>15680+1030</f>
        <v>16710</v>
      </c>
      <c r="E298" s="13">
        <f t="shared" si="21"/>
        <v>-749</v>
      </c>
      <c r="F298" s="39" t="s">
        <v>22</v>
      </c>
      <c r="G298" s="25">
        <v>1030</v>
      </c>
      <c r="H298" s="4" t="s">
        <v>18</v>
      </c>
      <c r="I298" s="4" t="s">
        <v>23</v>
      </c>
    </row>
    <row r="299" spans="1:9" ht="15" customHeight="1">
      <c r="A299" s="43"/>
      <c r="B299" s="45"/>
      <c r="C299" s="14">
        <f>C298-551-1000</f>
        <v>15908</v>
      </c>
      <c r="D299" s="14">
        <f>D298-551-1000</f>
        <v>15159</v>
      </c>
      <c r="E299" s="12">
        <f t="shared" si="21"/>
        <v>-749</v>
      </c>
      <c r="F299" s="40"/>
      <c r="G299" s="15">
        <f>G298</f>
        <v>1030</v>
      </c>
      <c r="H299" s="4" t="s">
        <v>19</v>
      </c>
      <c r="I299" s="4" t="s">
        <v>24</v>
      </c>
    </row>
    <row r="300" spans="1:9" ht="22.5" customHeight="1">
      <c r="A300" s="43" t="s">
        <v>119</v>
      </c>
      <c r="B300" s="44" t="s">
        <v>56</v>
      </c>
      <c r="C300" s="13">
        <v>84</v>
      </c>
      <c r="D300" s="13">
        <v>84</v>
      </c>
      <c r="E300" s="10">
        <f t="shared" si="21"/>
        <v>0</v>
      </c>
      <c r="F300" s="39"/>
      <c r="G300" s="25"/>
      <c r="H300" s="4" t="s">
        <v>18</v>
      </c>
    </row>
    <row r="301" spans="1:9" ht="22.5" customHeight="1">
      <c r="A301" s="43"/>
      <c r="B301" s="45"/>
      <c r="C301" s="14">
        <f>C300</f>
        <v>84</v>
      </c>
      <c r="D301" s="14">
        <f>D300</f>
        <v>84</v>
      </c>
      <c r="E301" s="12">
        <f t="shared" si="21"/>
        <v>0</v>
      </c>
      <c r="F301" s="40"/>
      <c r="G301" s="15"/>
      <c r="H301" s="4" t="s">
        <v>19</v>
      </c>
    </row>
    <row r="302" spans="1:9" ht="15" customHeight="1">
      <c r="A302" s="43" t="s">
        <v>120</v>
      </c>
      <c r="B302" s="44" t="s">
        <v>56</v>
      </c>
      <c r="C302" s="13">
        <v>1647</v>
      </c>
      <c r="D302" s="13">
        <v>1985</v>
      </c>
      <c r="E302" s="10">
        <f t="shared" si="21"/>
        <v>338</v>
      </c>
      <c r="F302" s="39"/>
      <c r="G302" s="25"/>
      <c r="H302" s="4" t="s">
        <v>18</v>
      </c>
    </row>
    <row r="303" spans="1:9" ht="15" customHeight="1">
      <c r="A303" s="43"/>
      <c r="B303" s="45"/>
      <c r="C303" s="14">
        <f>C302</f>
        <v>1647</v>
      </c>
      <c r="D303" s="14">
        <f>D302</f>
        <v>1985</v>
      </c>
      <c r="E303" s="12">
        <f t="shared" si="21"/>
        <v>338</v>
      </c>
      <c r="F303" s="40"/>
      <c r="G303" s="15"/>
      <c r="H303" s="4" t="s">
        <v>19</v>
      </c>
    </row>
    <row r="304" spans="1:9" ht="15" customHeight="1">
      <c r="A304" s="43" t="s">
        <v>48</v>
      </c>
      <c r="B304" s="44" t="s">
        <v>56</v>
      </c>
      <c r="C304" s="13">
        <v>701</v>
      </c>
      <c r="D304" s="13">
        <v>701</v>
      </c>
      <c r="E304" s="10">
        <f t="shared" si="21"/>
        <v>0</v>
      </c>
      <c r="F304" s="39"/>
      <c r="G304" s="25"/>
      <c r="H304" s="4" t="s">
        <v>18</v>
      </c>
    </row>
    <row r="305" spans="1:8" ht="15" customHeight="1">
      <c r="A305" s="43"/>
      <c r="B305" s="45"/>
      <c r="C305" s="14">
        <f>C304</f>
        <v>701</v>
      </c>
      <c r="D305" s="14">
        <f>D304</f>
        <v>701</v>
      </c>
      <c r="E305" s="12">
        <f t="shared" si="21"/>
        <v>0</v>
      </c>
      <c r="F305" s="40"/>
      <c r="G305" s="15"/>
      <c r="H305" s="4" t="s">
        <v>19</v>
      </c>
    </row>
    <row r="306" spans="1:8" ht="22.5" customHeight="1">
      <c r="A306" s="43" t="s">
        <v>121</v>
      </c>
      <c r="B306" s="44" t="s">
        <v>186</v>
      </c>
      <c r="C306" s="13">
        <f>19663+6942+34</f>
        <v>26639</v>
      </c>
      <c r="D306" s="13">
        <f>21836+8032+34</f>
        <v>29902</v>
      </c>
      <c r="E306" s="10">
        <f t="shared" si="21"/>
        <v>3263</v>
      </c>
      <c r="F306" s="39"/>
      <c r="G306" s="25"/>
      <c r="H306" s="4" t="s">
        <v>18</v>
      </c>
    </row>
    <row r="307" spans="1:8" ht="22.5" customHeight="1">
      <c r="A307" s="43"/>
      <c r="B307" s="45"/>
      <c r="C307" s="14">
        <f>C306</f>
        <v>26639</v>
      </c>
      <c r="D307" s="14">
        <f>D306</f>
        <v>29902</v>
      </c>
      <c r="E307" s="12">
        <f t="shared" si="21"/>
        <v>3263</v>
      </c>
      <c r="F307" s="40"/>
      <c r="G307" s="15"/>
      <c r="H307" s="4" t="s">
        <v>19</v>
      </c>
    </row>
    <row r="308" spans="1:8" ht="15" customHeight="1">
      <c r="A308" s="43" t="s">
        <v>219</v>
      </c>
      <c r="B308" s="44" t="s">
        <v>56</v>
      </c>
      <c r="C308" s="13">
        <v>7361</v>
      </c>
      <c r="D308" s="13">
        <v>7795</v>
      </c>
      <c r="E308" s="10">
        <f t="shared" si="21"/>
        <v>434</v>
      </c>
      <c r="F308" s="39"/>
      <c r="G308" s="25"/>
      <c r="H308" s="4" t="s">
        <v>18</v>
      </c>
    </row>
    <row r="309" spans="1:8" ht="15" customHeight="1">
      <c r="A309" s="43"/>
      <c r="B309" s="45"/>
      <c r="C309" s="14">
        <f>C308</f>
        <v>7361</v>
      </c>
      <c r="D309" s="14">
        <f>D308</f>
        <v>7795</v>
      </c>
      <c r="E309" s="12">
        <f t="shared" si="21"/>
        <v>434</v>
      </c>
      <c r="F309" s="40"/>
      <c r="G309" s="15"/>
      <c r="H309" s="4" t="s">
        <v>19</v>
      </c>
    </row>
    <row r="310" spans="1:8" ht="15" customHeight="1">
      <c r="A310" s="43" t="s">
        <v>122</v>
      </c>
      <c r="B310" s="44" t="s">
        <v>56</v>
      </c>
      <c r="C310" s="13">
        <v>6332</v>
      </c>
      <c r="D310" s="13">
        <v>7176</v>
      </c>
      <c r="E310" s="10">
        <f>+D310-C310</f>
        <v>844</v>
      </c>
      <c r="F310" s="39"/>
      <c r="G310" s="25"/>
      <c r="H310" s="4" t="s">
        <v>18</v>
      </c>
    </row>
    <row r="311" spans="1:8" ht="15" customHeight="1">
      <c r="A311" s="43"/>
      <c r="B311" s="45"/>
      <c r="C311" s="14">
        <f>C310</f>
        <v>6332</v>
      </c>
      <c r="D311" s="14">
        <f>D310</f>
        <v>7176</v>
      </c>
      <c r="E311" s="12">
        <f t="shared" si="21"/>
        <v>844</v>
      </c>
      <c r="F311" s="40"/>
      <c r="G311" s="15"/>
      <c r="H311" s="4" t="s">
        <v>19</v>
      </c>
    </row>
    <row r="312" spans="1:8" ht="22.5" customHeight="1">
      <c r="A312" s="72" t="s">
        <v>150</v>
      </c>
      <c r="B312" s="44" t="s">
        <v>56</v>
      </c>
      <c r="C312" s="13">
        <v>18364</v>
      </c>
      <c r="D312" s="13">
        <v>0</v>
      </c>
      <c r="E312" s="13">
        <f>+D312-C312</f>
        <v>-18364</v>
      </c>
      <c r="F312" s="39"/>
      <c r="G312" s="31"/>
      <c r="H312" s="4" t="s">
        <v>18</v>
      </c>
    </row>
    <row r="313" spans="1:8" ht="22.5" customHeight="1">
      <c r="A313" s="72"/>
      <c r="B313" s="45"/>
      <c r="C313" s="14">
        <f>C312-9182</f>
        <v>9182</v>
      </c>
      <c r="D313" s="14">
        <f>D312-0</f>
        <v>0</v>
      </c>
      <c r="E313" s="12">
        <f>+D313-C313</f>
        <v>-9182</v>
      </c>
      <c r="F313" s="40"/>
      <c r="G313" s="15"/>
      <c r="H313" s="4" t="s">
        <v>19</v>
      </c>
    </row>
    <row r="314" spans="1:8" ht="15" customHeight="1">
      <c r="A314" s="43" t="s">
        <v>123</v>
      </c>
      <c r="B314" s="44" t="s">
        <v>80</v>
      </c>
      <c r="C314" s="13">
        <v>601108</v>
      </c>
      <c r="D314" s="13">
        <v>553173</v>
      </c>
      <c r="E314" s="10">
        <f t="shared" si="21"/>
        <v>-47935</v>
      </c>
      <c r="F314" s="39"/>
      <c r="G314" s="25"/>
      <c r="H314" s="4" t="s">
        <v>18</v>
      </c>
    </row>
    <row r="315" spans="1:8" ht="15" customHeight="1">
      <c r="A315" s="43"/>
      <c r="B315" s="45"/>
      <c r="C315" s="14">
        <v>202000</v>
      </c>
      <c r="D315" s="14">
        <v>147000</v>
      </c>
      <c r="E315" s="12">
        <f t="shared" si="21"/>
        <v>-55000</v>
      </c>
      <c r="F315" s="40"/>
      <c r="G315" s="15"/>
      <c r="H315" s="4" t="s">
        <v>19</v>
      </c>
    </row>
    <row r="316" spans="1:8" ht="15" customHeight="1">
      <c r="A316" s="43" t="s">
        <v>124</v>
      </c>
      <c r="B316" s="44" t="s">
        <v>80</v>
      </c>
      <c r="C316" s="13">
        <v>911835</v>
      </c>
      <c r="D316" s="13">
        <v>879895</v>
      </c>
      <c r="E316" s="10">
        <f t="shared" si="21"/>
        <v>-31940</v>
      </c>
      <c r="F316" s="39"/>
      <c r="G316" s="25"/>
      <c r="H316" s="4" t="s">
        <v>18</v>
      </c>
    </row>
    <row r="317" spans="1:8" ht="15" customHeight="1">
      <c r="A317" s="43"/>
      <c r="B317" s="45"/>
      <c r="C317" s="14">
        <v>911835</v>
      </c>
      <c r="D317" s="14">
        <v>862895</v>
      </c>
      <c r="E317" s="12">
        <f t="shared" si="21"/>
        <v>-48940</v>
      </c>
      <c r="F317" s="40"/>
      <c r="G317" s="15"/>
      <c r="H317" s="4" t="s">
        <v>19</v>
      </c>
    </row>
    <row r="318" spans="1:8" ht="15" customHeight="1">
      <c r="A318" s="43" t="s">
        <v>125</v>
      </c>
      <c r="B318" s="44" t="s">
        <v>80</v>
      </c>
      <c r="C318" s="13">
        <v>4469801</v>
      </c>
      <c r="D318" s="13">
        <v>2862023</v>
      </c>
      <c r="E318" s="10">
        <f t="shared" si="21"/>
        <v>-1607778</v>
      </c>
      <c r="F318" s="39"/>
      <c r="G318" s="25"/>
      <c r="H318" s="4" t="s">
        <v>18</v>
      </c>
    </row>
    <row r="319" spans="1:8" ht="15" customHeight="1">
      <c r="A319" s="43"/>
      <c r="B319" s="45"/>
      <c r="C319" s="14">
        <v>3220754</v>
      </c>
      <c r="D319" s="14">
        <v>1734000</v>
      </c>
      <c r="E319" s="12">
        <f t="shared" si="21"/>
        <v>-1486754</v>
      </c>
      <c r="F319" s="40"/>
      <c r="G319" s="15"/>
      <c r="H319" s="4" t="s">
        <v>19</v>
      </c>
    </row>
    <row r="320" spans="1:8" ht="15" customHeight="1">
      <c r="A320" s="43" t="s">
        <v>126</v>
      </c>
      <c r="B320" s="44" t="s">
        <v>80</v>
      </c>
      <c r="C320" s="13">
        <v>4310893</v>
      </c>
      <c r="D320" s="13">
        <v>11324407</v>
      </c>
      <c r="E320" s="10">
        <f t="shared" si="21"/>
        <v>7013514</v>
      </c>
      <c r="F320" s="39"/>
      <c r="G320" s="25"/>
      <c r="H320" s="4" t="s">
        <v>18</v>
      </c>
    </row>
    <row r="321" spans="1:8" ht="15" customHeight="1">
      <c r="A321" s="43"/>
      <c r="B321" s="45"/>
      <c r="C321" s="14">
        <v>2877379</v>
      </c>
      <c r="D321" s="14">
        <v>4085000</v>
      </c>
      <c r="E321" s="12">
        <f t="shared" si="21"/>
        <v>1207621</v>
      </c>
      <c r="F321" s="40"/>
      <c r="G321" s="15"/>
      <c r="H321" s="4" t="s">
        <v>19</v>
      </c>
    </row>
    <row r="322" spans="1:8" ht="15" customHeight="1">
      <c r="A322" s="71" t="s">
        <v>127</v>
      </c>
      <c r="B322" s="44" t="s">
        <v>80</v>
      </c>
      <c r="C322" s="13">
        <v>8657117</v>
      </c>
      <c r="D322" s="13">
        <v>699062</v>
      </c>
      <c r="E322" s="10">
        <f t="shared" si="21"/>
        <v>-7958055</v>
      </c>
      <c r="F322" s="39"/>
      <c r="G322" s="25"/>
      <c r="H322" s="4" t="s">
        <v>18</v>
      </c>
    </row>
    <row r="323" spans="1:8" ht="15" customHeight="1">
      <c r="A323" s="71"/>
      <c r="B323" s="45"/>
      <c r="C323" s="14">
        <v>3048021</v>
      </c>
      <c r="D323" s="14">
        <v>271391</v>
      </c>
      <c r="E323" s="12">
        <f t="shared" si="21"/>
        <v>-2776630</v>
      </c>
      <c r="F323" s="40"/>
      <c r="G323" s="15"/>
      <c r="H323" s="4" t="s">
        <v>19</v>
      </c>
    </row>
    <row r="324" spans="1:8" ht="15" customHeight="1">
      <c r="A324" s="43" t="s">
        <v>58</v>
      </c>
      <c r="B324" s="44" t="s">
        <v>37</v>
      </c>
      <c r="C324" s="13">
        <v>320469</v>
      </c>
      <c r="D324" s="13">
        <f>149610+3060</f>
        <v>152670</v>
      </c>
      <c r="E324" s="10">
        <f t="shared" si="21"/>
        <v>-167799</v>
      </c>
      <c r="F324" s="39"/>
      <c r="G324" s="25"/>
      <c r="H324" s="4" t="s">
        <v>18</v>
      </c>
    </row>
    <row r="325" spans="1:8" ht="15" customHeight="1">
      <c r="A325" s="43"/>
      <c r="B325" s="45"/>
      <c r="C325" s="14">
        <v>39775</v>
      </c>
      <c r="D325" s="14">
        <f>51000+3060</f>
        <v>54060</v>
      </c>
      <c r="E325" s="12">
        <f t="shared" si="21"/>
        <v>14285</v>
      </c>
      <c r="F325" s="40"/>
      <c r="G325" s="15"/>
      <c r="H325" s="4" t="s">
        <v>19</v>
      </c>
    </row>
    <row r="326" spans="1:8" ht="15" customHeight="1">
      <c r="A326" s="43" t="s">
        <v>128</v>
      </c>
      <c r="B326" s="44" t="s">
        <v>80</v>
      </c>
      <c r="C326" s="13">
        <f>5949191+325747+500000+316443</f>
        <v>7091381</v>
      </c>
      <c r="D326" s="13">
        <f>20064724+336000+357362</f>
        <v>20758086</v>
      </c>
      <c r="E326" s="10">
        <f t="shared" si="21"/>
        <v>13666705</v>
      </c>
      <c r="F326" s="39"/>
      <c r="G326" s="25"/>
      <c r="H326" s="4" t="s">
        <v>18</v>
      </c>
    </row>
    <row r="327" spans="1:8" ht="15" customHeight="1">
      <c r="A327" s="43"/>
      <c r="B327" s="45"/>
      <c r="C327" s="14">
        <f>4452587+325747+500000+316443+325747</f>
        <v>5920524</v>
      </c>
      <c r="D327" s="14">
        <f>8636700+336000+357362</f>
        <v>9330062</v>
      </c>
      <c r="E327" s="12">
        <f t="shared" si="21"/>
        <v>3409538</v>
      </c>
      <c r="F327" s="40"/>
      <c r="G327" s="15"/>
      <c r="H327" s="4" t="s">
        <v>19</v>
      </c>
    </row>
    <row r="328" spans="1:8" ht="15" customHeight="1">
      <c r="A328" s="43" t="s">
        <v>129</v>
      </c>
      <c r="B328" s="44" t="s">
        <v>42</v>
      </c>
      <c r="C328" s="10">
        <v>10000</v>
      </c>
      <c r="D328" s="10">
        <v>10000</v>
      </c>
      <c r="E328" s="10">
        <f t="shared" si="21"/>
        <v>0</v>
      </c>
      <c r="F328" s="39"/>
      <c r="G328" s="25"/>
      <c r="H328" s="4" t="s">
        <v>18</v>
      </c>
    </row>
    <row r="329" spans="1:8" ht="15" customHeight="1">
      <c r="A329" s="43"/>
      <c r="B329" s="45"/>
      <c r="C329" s="11">
        <v>10000</v>
      </c>
      <c r="D329" s="11">
        <v>10000</v>
      </c>
      <c r="E329" s="12">
        <f t="shared" si="21"/>
        <v>0</v>
      </c>
      <c r="F329" s="40"/>
      <c r="G329" s="15"/>
      <c r="H329" s="4" t="s">
        <v>19</v>
      </c>
    </row>
    <row r="330" spans="1:8" ht="15" customHeight="1">
      <c r="A330" s="43" t="s">
        <v>130</v>
      </c>
      <c r="B330" s="44" t="s">
        <v>42</v>
      </c>
      <c r="C330" s="13">
        <v>1520</v>
      </c>
      <c r="D330" s="13">
        <v>1520</v>
      </c>
      <c r="E330" s="10">
        <f t="shared" si="21"/>
        <v>0</v>
      </c>
      <c r="F330" s="39"/>
      <c r="G330" s="25"/>
      <c r="H330" s="4" t="s">
        <v>18</v>
      </c>
    </row>
    <row r="331" spans="1:8" ht="15" customHeight="1">
      <c r="A331" s="43"/>
      <c r="B331" s="45"/>
      <c r="C331" s="14">
        <v>1520</v>
      </c>
      <c r="D331" s="14">
        <v>1520</v>
      </c>
      <c r="E331" s="12">
        <f t="shared" si="21"/>
        <v>0</v>
      </c>
      <c r="F331" s="40"/>
      <c r="G331" s="15"/>
      <c r="H331" s="4" t="s">
        <v>19</v>
      </c>
    </row>
    <row r="332" spans="1:8" ht="15" customHeight="1">
      <c r="A332" s="43" t="s">
        <v>131</v>
      </c>
      <c r="B332" s="44" t="s">
        <v>80</v>
      </c>
      <c r="C332" s="13">
        <v>15299</v>
      </c>
      <c r="D332" s="13">
        <v>15950</v>
      </c>
      <c r="E332" s="10">
        <f t="shared" ref="E332:E359" si="22">+D332-C332</f>
        <v>651</v>
      </c>
      <c r="F332" s="39"/>
      <c r="G332" s="25"/>
      <c r="H332" s="4" t="s">
        <v>18</v>
      </c>
    </row>
    <row r="333" spans="1:8" ht="15" customHeight="1">
      <c r="A333" s="43"/>
      <c r="B333" s="45"/>
      <c r="C333" s="14">
        <v>7650</v>
      </c>
      <c r="D333" s="14">
        <v>7975</v>
      </c>
      <c r="E333" s="12">
        <f t="shared" si="22"/>
        <v>325</v>
      </c>
      <c r="F333" s="40"/>
      <c r="G333" s="15"/>
      <c r="H333" s="4" t="s">
        <v>19</v>
      </c>
    </row>
    <row r="334" spans="1:8" ht="22.5" customHeight="1">
      <c r="A334" s="43" t="s">
        <v>132</v>
      </c>
      <c r="B334" s="44" t="s">
        <v>41</v>
      </c>
      <c r="C334" s="13">
        <f>249520+510+3144+40039+21965</f>
        <v>315178</v>
      </c>
      <c r="D334" s="13">
        <f>246814+510+3100+40039+18736</f>
        <v>309199</v>
      </c>
      <c r="E334" s="10">
        <f t="shared" si="22"/>
        <v>-5979</v>
      </c>
      <c r="F334" s="39"/>
      <c r="G334" s="25"/>
      <c r="H334" s="4" t="s">
        <v>18</v>
      </c>
    </row>
    <row r="335" spans="1:8" ht="22.5" customHeight="1">
      <c r="A335" s="43"/>
      <c r="B335" s="45"/>
      <c r="C335" s="14">
        <f>249520+510+3144+40039+21965</f>
        <v>315178</v>
      </c>
      <c r="D335" s="14">
        <f>246814+510+3100+40039+18736</f>
        <v>309199</v>
      </c>
      <c r="E335" s="12">
        <f t="shared" si="22"/>
        <v>-5979</v>
      </c>
      <c r="F335" s="40"/>
      <c r="G335" s="15"/>
      <c r="H335" s="4" t="s">
        <v>19</v>
      </c>
    </row>
    <row r="336" spans="1:8" ht="22.5" customHeight="1">
      <c r="A336" s="43" t="s">
        <v>63</v>
      </c>
      <c r="B336" s="44" t="s">
        <v>33</v>
      </c>
      <c r="C336" s="13">
        <v>44844</v>
      </c>
      <c r="D336" s="13">
        <v>2370524</v>
      </c>
      <c r="E336" s="10">
        <f t="shared" si="22"/>
        <v>2325680</v>
      </c>
      <c r="F336" s="39"/>
      <c r="G336" s="25"/>
      <c r="H336" s="4" t="s">
        <v>18</v>
      </c>
    </row>
    <row r="337" spans="1:8" ht="22.5" customHeight="1">
      <c r="A337" s="43"/>
      <c r="B337" s="45"/>
      <c r="C337" s="14">
        <v>44844</v>
      </c>
      <c r="D337" s="14">
        <v>2370524</v>
      </c>
      <c r="E337" s="12">
        <f t="shared" si="22"/>
        <v>2325680</v>
      </c>
      <c r="F337" s="40"/>
      <c r="G337" s="15"/>
      <c r="H337" s="4" t="s">
        <v>19</v>
      </c>
    </row>
    <row r="338" spans="1:8" ht="22.5" customHeight="1">
      <c r="A338" s="43" t="s">
        <v>133</v>
      </c>
      <c r="B338" s="44" t="s">
        <v>33</v>
      </c>
      <c r="C338" s="13">
        <v>2458073</v>
      </c>
      <c r="D338" s="13">
        <v>3297352</v>
      </c>
      <c r="E338" s="10">
        <f>+D338-C338</f>
        <v>839279</v>
      </c>
      <c r="F338" s="39"/>
      <c r="G338" s="25"/>
      <c r="H338" s="4" t="s">
        <v>18</v>
      </c>
    </row>
    <row r="339" spans="1:8" ht="22.5" customHeight="1">
      <c r="A339" s="43"/>
      <c r="B339" s="45"/>
      <c r="C339" s="14">
        <v>2458073</v>
      </c>
      <c r="D339" s="14">
        <v>3267454</v>
      </c>
      <c r="E339" s="12">
        <f t="shared" si="22"/>
        <v>809381</v>
      </c>
      <c r="F339" s="40"/>
      <c r="G339" s="15"/>
      <c r="H339" s="4" t="s">
        <v>19</v>
      </c>
    </row>
    <row r="340" spans="1:8" ht="15" customHeight="1">
      <c r="A340" s="43" t="s">
        <v>134</v>
      </c>
      <c r="B340" s="44" t="s">
        <v>39</v>
      </c>
      <c r="C340" s="10">
        <f>40364+562</f>
        <v>40926</v>
      </c>
      <c r="D340" s="10">
        <v>5085</v>
      </c>
      <c r="E340" s="10">
        <f t="shared" si="22"/>
        <v>-35841</v>
      </c>
      <c r="F340" s="39"/>
      <c r="G340" s="25"/>
      <c r="H340" s="4" t="s">
        <v>18</v>
      </c>
    </row>
    <row r="341" spans="1:8" ht="15" customHeight="1">
      <c r="A341" s="43"/>
      <c r="B341" s="45"/>
      <c r="C341" s="14">
        <f>40323+562</f>
        <v>40885</v>
      </c>
      <c r="D341" s="14">
        <v>5063</v>
      </c>
      <c r="E341" s="12">
        <f t="shared" si="22"/>
        <v>-35822</v>
      </c>
      <c r="F341" s="40"/>
      <c r="G341" s="15"/>
      <c r="H341" s="4" t="s">
        <v>19</v>
      </c>
    </row>
    <row r="342" spans="1:8" ht="15" customHeight="1">
      <c r="A342" s="43" t="s">
        <v>135</v>
      </c>
      <c r="B342" s="44" t="s">
        <v>39</v>
      </c>
      <c r="C342" s="13">
        <v>22727</v>
      </c>
      <c r="D342" s="13">
        <v>20119</v>
      </c>
      <c r="E342" s="10">
        <f t="shared" si="22"/>
        <v>-2608</v>
      </c>
      <c r="F342" s="39"/>
      <c r="G342" s="25"/>
      <c r="H342" s="4" t="s">
        <v>18</v>
      </c>
    </row>
    <row r="343" spans="1:8" ht="15" customHeight="1">
      <c r="A343" s="43"/>
      <c r="B343" s="45"/>
      <c r="C343" s="14">
        <v>22727</v>
      </c>
      <c r="D343" s="14">
        <v>20119</v>
      </c>
      <c r="E343" s="12">
        <f t="shared" si="22"/>
        <v>-2608</v>
      </c>
      <c r="F343" s="40"/>
      <c r="G343" s="15"/>
      <c r="H343" s="4" t="s">
        <v>19</v>
      </c>
    </row>
    <row r="344" spans="1:8" ht="15" customHeight="1">
      <c r="A344" s="73" t="s">
        <v>200</v>
      </c>
      <c r="B344" s="44" t="s">
        <v>217</v>
      </c>
      <c r="C344" s="13">
        <f>29647+26577</f>
        <v>56224</v>
      </c>
      <c r="D344" s="13">
        <f>68159-7718+156+138+3758</f>
        <v>64493</v>
      </c>
      <c r="E344" s="10">
        <f t="shared" si="22"/>
        <v>8269</v>
      </c>
      <c r="F344" s="39"/>
      <c r="G344" s="25"/>
      <c r="H344" s="4" t="s">
        <v>18</v>
      </c>
    </row>
    <row r="345" spans="1:8" ht="15" customHeight="1">
      <c r="A345" s="73"/>
      <c r="B345" s="45"/>
      <c r="C345" s="14">
        <f>29647+26577</f>
        <v>56224</v>
      </c>
      <c r="D345" s="14">
        <f>63154+3005-7718+156+138+3758</f>
        <v>62493</v>
      </c>
      <c r="E345" s="12">
        <f t="shared" si="22"/>
        <v>6269</v>
      </c>
      <c r="F345" s="40"/>
      <c r="G345" s="15"/>
      <c r="H345" s="4" t="s">
        <v>19</v>
      </c>
    </row>
    <row r="346" spans="1:8" ht="15" customHeight="1">
      <c r="A346" s="74" t="s">
        <v>201</v>
      </c>
      <c r="B346" s="44" t="s">
        <v>137</v>
      </c>
      <c r="C346" s="13">
        <f>64383+881820+15895</f>
        <v>962098</v>
      </c>
      <c r="D346" s="13">
        <f>12757+15895+223146+1168909-74861</f>
        <v>1345846</v>
      </c>
      <c r="E346" s="10">
        <f t="shared" si="22"/>
        <v>383748</v>
      </c>
      <c r="F346" s="39"/>
      <c r="G346" s="25"/>
      <c r="H346" s="4" t="s">
        <v>18</v>
      </c>
    </row>
    <row r="347" spans="1:8" ht="15" customHeight="1">
      <c r="A347" s="75"/>
      <c r="B347" s="45"/>
      <c r="C347" s="14">
        <f>59383+723820+15895</f>
        <v>799098</v>
      </c>
      <c r="D347" s="14">
        <f>1322957-574+38324-74861</f>
        <v>1285846</v>
      </c>
      <c r="E347" s="12">
        <f t="shared" si="22"/>
        <v>486748</v>
      </c>
      <c r="F347" s="40"/>
      <c r="G347" s="15"/>
      <c r="H347" s="4" t="s">
        <v>19</v>
      </c>
    </row>
    <row r="348" spans="1:8" ht="22.5" customHeight="1">
      <c r="A348" s="43" t="s">
        <v>138</v>
      </c>
      <c r="B348" s="44" t="s">
        <v>202</v>
      </c>
      <c r="C348" s="13">
        <v>192161</v>
      </c>
      <c r="D348" s="13">
        <v>170856</v>
      </c>
      <c r="E348" s="10">
        <f t="shared" si="22"/>
        <v>-21305</v>
      </c>
      <c r="F348" s="39"/>
      <c r="G348" s="25"/>
      <c r="H348" s="4" t="s">
        <v>18</v>
      </c>
    </row>
    <row r="349" spans="1:8" ht="22.5" customHeight="1">
      <c r="A349" s="43"/>
      <c r="B349" s="45"/>
      <c r="C349" s="14">
        <v>192161</v>
      </c>
      <c r="D349" s="14">
        <v>170856</v>
      </c>
      <c r="E349" s="12">
        <f t="shared" si="22"/>
        <v>-21305</v>
      </c>
      <c r="F349" s="40"/>
      <c r="G349" s="15"/>
      <c r="H349" s="4" t="s">
        <v>19</v>
      </c>
    </row>
    <row r="350" spans="1:8" ht="15" customHeight="1">
      <c r="A350" s="43" t="s">
        <v>139</v>
      </c>
      <c r="B350" s="44" t="s">
        <v>39</v>
      </c>
      <c r="C350" s="13">
        <f>1324+4861+130</f>
        <v>6315</v>
      </c>
      <c r="D350" s="13">
        <f>10182+88413</f>
        <v>98595</v>
      </c>
      <c r="E350" s="10">
        <f t="shared" si="22"/>
        <v>92280</v>
      </c>
      <c r="F350" s="39"/>
      <c r="G350" s="25"/>
      <c r="H350" s="4" t="s">
        <v>18</v>
      </c>
    </row>
    <row r="351" spans="1:8" ht="15" customHeight="1">
      <c r="A351" s="43"/>
      <c r="B351" s="45"/>
      <c r="C351" s="14">
        <f>1324+4861+130</f>
        <v>6315</v>
      </c>
      <c r="D351" s="14">
        <f>6182+88413</f>
        <v>94595</v>
      </c>
      <c r="E351" s="12">
        <f t="shared" si="22"/>
        <v>88280</v>
      </c>
      <c r="F351" s="40"/>
      <c r="G351" s="15"/>
      <c r="H351" s="4" t="s">
        <v>19</v>
      </c>
    </row>
    <row r="352" spans="1:8" ht="15" customHeight="1">
      <c r="A352" s="43" t="s">
        <v>142</v>
      </c>
      <c r="B352" s="44" t="s">
        <v>80</v>
      </c>
      <c r="C352" s="10">
        <v>7170</v>
      </c>
      <c r="D352" s="10">
        <v>7030</v>
      </c>
      <c r="E352" s="10">
        <f t="shared" si="22"/>
        <v>-140</v>
      </c>
      <c r="F352" s="39"/>
      <c r="G352" s="25"/>
      <c r="H352" s="4" t="s">
        <v>18</v>
      </c>
    </row>
    <row r="353" spans="1:8" ht="15" customHeight="1">
      <c r="A353" s="43"/>
      <c r="B353" s="45"/>
      <c r="C353" s="14">
        <v>7170</v>
      </c>
      <c r="D353" s="14">
        <v>7030</v>
      </c>
      <c r="E353" s="12">
        <f t="shared" si="22"/>
        <v>-140</v>
      </c>
      <c r="F353" s="40"/>
      <c r="G353" s="15"/>
      <c r="H353" s="4" t="s">
        <v>19</v>
      </c>
    </row>
    <row r="354" spans="1:8" ht="22.5" customHeight="1">
      <c r="A354" s="43" t="s">
        <v>193</v>
      </c>
      <c r="B354" s="44" t="s">
        <v>33</v>
      </c>
      <c r="C354" s="10">
        <v>59028</v>
      </c>
      <c r="D354" s="10">
        <v>79200</v>
      </c>
      <c r="E354" s="10">
        <f t="shared" si="22"/>
        <v>20172</v>
      </c>
      <c r="F354" s="39"/>
      <c r="G354" s="25"/>
      <c r="H354" s="4" t="s">
        <v>18</v>
      </c>
    </row>
    <row r="355" spans="1:8" ht="22.5" customHeight="1">
      <c r="A355" s="43"/>
      <c r="B355" s="45"/>
      <c r="C355" s="11">
        <v>59028</v>
      </c>
      <c r="D355" s="11">
        <v>79200</v>
      </c>
      <c r="E355" s="12">
        <f t="shared" si="22"/>
        <v>20172</v>
      </c>
      <c r="F355" s="40"/>
      <c r="G355" s="15"/>
      <c r="H355" s="4" t="s">
        <v>19</v>
      </c>
    </row>
    <row r="356" spans="1:8" ht="22.5" customHeight="1">
      <c r="A356" s="43" t="s">
        <v>194</v>
      </c>
      <c r="B356" s="44" t="s">
        <v>33</v>
      </c>
      <c r="C356" s="13">
        <v>69300</v>
      </c>
      <c r="D356" s="13">
        <v>176054</v>
      </c>
      <c r="E356" s="10">
        <f t="shared" si="22"/>
        <v>106754</v>
      </c>
      <c r="F356" s="39"/>
      <c r="G356" s="25"/>
      <c r="H356" s="4" t="s">
        <v>18</v>
      </c>
    </row>
    <row r="357" spans="1:8" ht="22.5" customHeight="1">
      <c r="A357" s="43"/>
      <c r="B357" s="45"/>
      <c r="C357" s="14">
        <v>69300</v>
      </c>
      <c r="D357" s="14">
        <v>176054</v>
      </c>
      <c r="E357" s="12">
        <f t="shared" si="22"/>
        <v>106754</v>
      </c>
      <c r="F357" s="40"/>
      <c r="G357" s="15"/>
      <c r="H357" s="4" t="s">
        <v>19</v>
      </c>
    </row>
    <row r="358" spans="1:8" ht="15" customHeight="1">
      <c r="A358" s="43" t="s">
        <v>144</v>
      </c>
      <c r="B358" s="44" t="s">
        <v>80</v>
      </c>
      <c r="C358" s="13">
        <v>119956</v>
      </c>
      <c r="D358" s="13">
        <v>123925</v>
      </c>
      <c r="E358" s="10">
        <f t="shared" si="22"/>
        <v>3969</v>
      </c>
      <c r="F358" s="39"/>
      <c r="G358" s="25"/>
      <c r="H358" s="4" t="s">
        <v>18</v>
      </c>
    </row>
    <row r="359" spans="1:8" ht="15" customHeight="1">
      <c r="A359" s="43"/>
      <c r="B359" s="45"/>
      <c r="C359" s="14">
        <v>119056</v>
      </c>
      <c r="D359" s="14">
        <v>123025</v>
      </c>
      <c r="E359" s="12">
        <f t="shared" si="22"/>
        <v>3969</v>
      </c>
      <c r="F359" s="40"/>
      <c r="G359" s="15"/>
      <c r="H359" s="4" t="s">
        <v>19</v>
      </c>
    </row>
    <row r="360" spans="1:8" ht="26.25" customHeight="1">
      <c r="A360" s="43" t="s">
        <v>156</v>
      </c>
      <c r="B360" s="44" t="s">
        <v>203</v>
      </c>
      <c r="C360" s="13">
        <v>193078</v>
      </c>
      <c r="D360" s="13">
        <v>1422103</v>
      </c>
      <c r="E360" s="10">
        <f t="shared" ref="E360:E361" si="23">+D360-C360</f>
        <v>1229025</v>
      </c>
      <c r="F360" s="39"/>
      <c r="G360" s="25"/>
      <c r="H360" s="4" t="s">
        <v>18</v>
      </c>
    </row>
    <row r="361" spans="1:8" ht="26.25" customHeight="1">
      <c r="A361" s="43"/>
      <c r="B361" s="45"/>
      <c r="C361" s="14">
        <v>0</v>
      </c>
      <c r="D361" s="14">
        <v>1082800</v>
      </c>
      <c r="E361" s="12">
        <f t="shared" si="23"/>
        <v>1082800</v>
      </c>
      <c r="F361" s="40"/>
      <c r="G361" s="15"/>
      <c r="H361" s="4" t="s">
        <v>19</v>
      </c>
    </row>
    <row r="362" spans="1:8" ht="15" customHeight="1">
      <c r="A362" s="43" t="s">
        <v>160</v>
      </c>
      <c r="B362" s="44" t="s">
        <v>80</v>
      </c>
      <c r="C362" s="13">
        <v>4342</v>
      </c>
      <c r="D362" s="13">
        <v>172467</v>
      </c>
      <c r="E362" s="10">
        <f t="shared" ref="E362:E363" si="24">+D362-C362</f>
        <v>168125</v>
      </c>
      <c r="F362" s="39"/>
      <c r="G362" s="25"/>
      <c r="H362" s="4" t="s">
        <v>18</v>
      </c>
    </row>
    <row r="363" spans="1:8" ht="15" customHeight="1">
      <c r="A363" s="43"/>
      <c r="B363" s="45"/>
      <c r="C363" s="14">
        <v>0</v>
      </c>
      <c r="D363" s="14">
        <v>87000</v>
      </c>
      <c r="E363" s="12">
        <f t="shared" si="24"/>
        <v>87000</v>
      </c>
      <c r="F363" s="40"/>
      <c r="G363" s="15"/>
      <c r="H363" s="4" t="s">
        <v>19</v>
      </c>
    </row>
    <row r="364" spans="1:8" ht="15" customHeight="1">
      <c r="A364" s="46" t="s">
        <v>175</v>
      </c>
      <c r="B364" s="44" t="s">
        <v>174</v>
      </c>
      <c r="C364" s="13">
        <v>460161</v>
      </c>
      <c r="D364" s="13">
        <v>285585</v>
      </c>
      <c r="E364" s="10">
        <f t="shared" ref="E364:E365" si="25">+D364-C364</f>
        <v>-174576</v>
      </c>
      <c r="F364" s="39"/>
      <c r="G364" s="25"/>
      <c r="H364" s="4" t="s">
        <v>18</v>
      </c>
    </row>
    <row r="365" spans="1:8" ht="15" customHeight="1">
      <c r="A365" s="47"/>
      <c r="B365" s="45"/>
      <c r="C365" s="14">
        <v>460161</v>
      </c>
      <c r="D365" s="14">
        <v>285585</v>
      </c>
      <c r="E365" s="12">
        <f t="shared" si="25"/>
        <v>-174576</v>
      </c>
      <c r="F365" s="40"/>
      <c r="G365" s="15"/>
      <c r="H365" s="4" t="s">
        <v>19</v>
      </c>
    </row>
    <row r="366" spans="1:8" ht="15" customHeight="1">
      <c r="A366" s="43" t="s">
        <v>140</v>
      </c>
      <c r="B366" s="44" t="s">
        <v>80</v>
      </c>
      <c r="C366" s="13">
        <v>0</v>
      </c>
      <c r="D366" s="13">
        <v>196396</v>
      </c>
      <c r="E366" s="10">
        <f>+D366-C366</f>
        <v>196396</v>
      </c>
      <c r="F366" s="39"/>
      <c r="G366" s="25"/>
      <c r="H366" s="4" t="s">
        <v>10</v>
      </c>
    </row>
    <row r="367" spans="1:8" ht="15" customHeight="1">
      <c r="A367" s="43"/>
      <c r="B367" s="45"/>
      <c r="C367" s="14">
        <v>0</v>
      </c>
      <c r="D367" s="14">
        <v>53681</v>
      </c>
      <c r="E367" s="12">
        <f>+D367-C367</f>
        <v>53681</v>
      </c>
      <c r="F367" s="40"/>
      <c r="G367" s="15"/>
      <c r="H367" s="4" t="s">
        <v>11</v>
      </c>
    </row>
    <row r="368" spans="1:8" ht="15" customHeight="1">
      <c r="A368" s="43" t="s">
        <v>218</v>
      </c>
      <c r="B368" s="44" t="s">
        <v>56</v>
      </c>
      <c r="C368" s="13">
        <v>0</v>
      </c>
      <c r="D368" s="13">
        <v>62029</v>
      </c>
      <c r="E368" s="10">
        <f>+D368-C368</f>
        <v>62029</v>
      </c>
      <c r="F368" s="39"/>
      <c r="G368" s="25"/>
      <c r="H368" s="4" t="s">
        <v>10</v>
      </c>
    </row>
    <row r="369" spans="1:8" ht="21.75" customHeight="1">
      <c r="A369" s="43"/>
      <c r="B369" s="45"/>
      <c r="C369" s="14">
        <v>0</v>
      </c>
      <c r="D369" s="14">
        <v>62029</v>
      </c>
      <c r="E369" s="12">
        <f>+D369-C369</f>
        <v>62029</v>
      </c>
      <c r="F369" s="40"/>
      <c r="G369" s="15"/>
      <c r="H369" s="4" t="s">
        <v>11</v>
      </c>
    </row>
    <row r="370" spans="1:8" ht="15" customHeight="1">
      <c r="A370" s="67" t="s">
        <v>136</v>
      </c>
      <c r="B370" s="44" t="s">
        <v>109</v>
      </c>
      <c r="C370" s="13">
        <v>795194</v>
      </c>
      <c r="D370" s="13">
        <v>0</v>
      </c>
      <c r="E370" s="10">
        <f t="shared" ref="E370:E371" si="26">+D370-C370</f>
        <v>-795194</v>
      </c>
      <c r="F370" s="39"/>
      <c r="G370" s="25"/>
      <c r="H370" s="4" t="s">
        <v>18</v>
      </c>
    </row>
    <row r="371" spans="1:8" ht="15" customHeight="1">
      <c r="A371" s="67"/>
      <c r="B371" s="45"/>
      <c r="C371" s="14">
        <v>0</v>
      </c>
      <c r="D371" s="14">
        <v>0</v>
      </c>
      <c r="E371" s="12">
        <f t="shared" si="26"/>
        <v>0</v>
      </c>
      <c r="F371" s="40"/>
      <c r="G371" s="15"/>
      <c r="H371" s="4" t="s">
        <v>19</v>
      </c>
    </row>
    <row r="372" spans="1:8" ht="15" customHeight="1">
      <c r="A372" s="67" t="s">
        <v>141</v>
      </c>
      <c r="B372" s="44" t="s">
        <v>158</v>
      </c>
      <c r="C372" s="13">
        <v>59000</v>
      </c>
      <c r="D372" s="13">
        <v>0</v>
      </c>
      <c r="E372" s="10">
        <f t="shared" ref="E372:E373" si="27">+D372-C372</f>
        <v>-59000</v>
      </c>
      <c r="F372" s="39"/>
      <c r="G372" s="25"/>
      <c r="H372" s="4" t="s">
        <v>18</v>
      </c>
    </row>
    <row r="373" spans="1:8" ht="15" customHeight="1">
      <c r="A373" s="67"/>
      <c r="B373" s="45"/>
      <c r="C373" s="14">
        <v>59000</v>
      </c>
      <c r="D373" s="14">
        <v>0</v>
      </c>
      <c r="E373" s="12">
        <f t="shared" si="27"/>
        <v>-59000</v>
      </c>
      <c r="F373" s="40"/>
      <c r="G373" s="15"/>
      <c r="H373" s="4" t="s">
        <v>19</v>
      </c>
    </row>
    <row r="374" spans="1:8" ht="15" customHeight="1">
      <c r="A374" s="67" t="s">
        <v>143</v>
      </c>
      <c r="B374" s="44" t="s">
        <v>43</v>
      </c>
      <c r="C374" s="13">
        <v>1008691</v>
      </c>
      <c r="D374" s="13">
        <v>0</v>
      </c>
      <c r="E374" s="10">
        <f>+D374-C374</f>
        <v>-1008691</v>
      </c>
      <c r="F374" s="39"/>
      <c r="G374" s="25"/>
      <c r="H374" s="4" t="s">
        <v>18</v>
      </c>
    </row>
    <row r="375" spans="1:8" ht="15" customHeight="1">
      <c r="A375" s="67"/>
      <c r="B375" s="45"/>
      <c r="C375" s="14">
        <v>363691</v>
      </c>
      <c r="D375" s="14">
        <v>0</v>
      </c>
      <c r="E375" s="12">
        <f>+D375-C375</f>
        <v>-363691</v>
      </c>
      <c r="F375" s="40"/>
      <c r="G375" s="15"/>
      <c r="H375" s="4" t="s">
        <v>19</v>
      </c>
    </row>
    <row r="376" spans="1:8" ht="15" customHeight="1">
      <c r="A376" s="67" t="s">
        <v>151</v>
      </c>
      <c r="B376" s="44" t="s">
        <v>42</v>
      </c>
      <c r="C376" s="13">
        <v>41827</v>
      </c>
      <c r="D376" s="13">
        <v>0</v>
      </c>
      <c r="E376" s="10">
        <f t="shared" ref="E376:E377" si="28">+D376-C376</f>
        <v>-41827</v>
      </c>
      <c r="F376" s="39"/>
      <c r="G376" s="25"/>
      <c r="H376" s="4" t="s">
        <v>18</v>
      </c>
    </row>
    <row r="377" spans="1:8" ht="15" customHeight="1">
      <c r="A377" s="67"/>
      <c r="B377" s="45"/>
      <c r="C377" s="14">
        <v>41827</v>
      </c>
      <c r="D377" s="14">
        <v>0</v>
      </c>
      <c r="E377" s="12">
        <f t="shared" si="28"/>
        <v>-41827</v>
      </c>
      <c r="F377" s="40"/>
      <c r="G377" s="15"/>
      <c r="H377" s="4" t="s">
        <v>19</v>
      </c>
    </row>
    <row r="378" spans="1:8" ht="12.75">
      <c r="A378" s="60" t="s">
        <v>221</v>
      </c>
      <c r="B378" s="61"/>
      <c r="C378" s="13">
        <f>+SUMIF($H8:$H377,$H378,C8:C377)</f>
        <v>87151055</v>
      </c>
      <c r="D378" s="13">
        <f>+SUMIF($H8:$H369,$H378,D8:D369)</f>
        <v>102666081</v>
      </c>
      <c r="E378" s="26">
        <f>+D378-C378</f>
        <v>15515026</v>
      </c>
      <c r="F378" s="39" t="str">
        <f>IF(G378="　","　","区ＣＭ")</f>
        <v>区ＣＭ</v>
      </c>
      <c r="G378" s="29">
        <f>SUMIF(I1:I369,#REF!,G1:G377)</f>
        <v>0</v>
      </c>
      <c r="H378" s="4" t="s">
        <v>10</v>
      </c>
    </row>
    <row r="379" spans="1:8" ht="18" customHeight="1" thickBot="1">
      <c r="A379" s="62"/>
      <c r="B379" s="63"/>
      <c r="C379" s="16">
        <f>+SUMIF($H8:$H377,$H379,C8:C377)</f>
        <v>70765370</v>
      </c>
      <c r="D379" s="16">
        <f>+SUMIF($H8:$H369,$H379,D8:D369)</f>
        <v>75838826</v>
      </c>
      <c r="E379" s="17">
        <f>+D379-C379</f>
        <v>5073456</v>
      </c>
      <c r="F379" s="64"/>
      <c r="G379" s="18">
        <f>SUMIF(I1:I369,#REF!,G1:G377)</f>
        <v>0</v>
      </c>
      <c r="H379" s="4" t="s">
        <v>11</v>
      </c>
    </row>
    <row r="380" spans="1:8" ht="18" customHeight="1">
      <c r="A380" s="23"/>
      <c r="B380" s="23"/>
      <c r="C380" s="33"/>
      <c r="D380" s="33"/>
      <c r="E380" s="33"/>
    </row>
    <row r="381" spans="1:8" ht="18" customHeight="1">
      <c r="A381" s="22"/>
      <c r="B381" s="20"/>
      <c r="C381" s="33"/>
      <c r="D381" s="33"/>
      <c r="E381" s="33"/>
      <c r="H381" s="34"/>
    </row>
    <row r="382" spans="1:8" ht="18" customHeight="1">
      <c r="D382" s="33"/>
      <c r="E382" s="7"/>
      <c r="F382" s="19"/>
    </row>
    <row r="383" spans="1:8" ht="18" customHeight="1">
      <c r="B383" s="20"/>
      <c r="D383" s="7"/>
      <c r="E383" s="7"/>
      <c r="F383" s="19"/>
    </row>
    <row r="384" spans="1:8" ht="18" customHeight="1">
      <c r="D384" s="7"/>
      <c r="E384" s="7"/>
      <c r="F384" s="19"/>
    </row>
    <row r="385" spans="4:6" ht="18" customHeight="1">
      <c r="D385" s="7"/>
      <c r="E385" s="7"/>
      <c r="F385" s="19"/>
    </row>
  </sheetData>
  <mergeCells count="553">
    <mergeCell ref="F376:F377"/>
    <mergeCell ref="A372:A373"/>
    <mergeCell ref="B372:B373"/>
    <mergeCell ref="F372:F373"/>
    <mergeCell ref="A370:A371"/>
    <mergeCell ref="B370:B371"/>
    <mergeCell ref="F370:F371"/>
    <mergeCell ref="A366:A367"/>
    <mergeCell ref="B366:B367"/>
    <mergeCell ref="F366:F367"/>
    <mergeCell ref="A374:A375"/>
    <mergeCell ref="B374:B375"/>
    <mergeCell ref="F374:F375"/>
    <mergeCell ref="A376:A377"/>
    <mergeCell ref="B376:B377"/>
    <mergeCell ref="F368:F369"/>
    <mergeCell ref="A368:A369"/>
    <mergeCell ref="B368:B369"/>
    <mergeCell ref="F338:F339"/>
    <mergeCell ref="A340:A341"/>
    <mergeCell ref="B340:B341"/>
    <mergeCell ref="A344:A345"/>
    <mergeCell ref="B344:B345"/>
    <mergeCell ref="F344:F345"/>
    <mergeCell ref="A346:A347"/>
    <mergeCell ref="A362:A363"/>
    <mergeCell ref="B362:B363"/>
    <mergeCell ref="F362:F363"/>
    <mergeCell ref="A358:A359"/>
    <mergeCell ref="B358:B359"/>
    <mergeCell ref="F358:F359"/>
    <mergeCell ref="A354:A355"/>
    <mergeCell ref="B354:B355"/>
    <mergeCell ref="F354:F355"/>
    <mergeCell ref="F356:F357"/>
    <mergeCell ref="A352:A353"/>
    <mergeCell ref="B352:B353"/>
    <mergeCell ref="F352:F353"/>
    <mergeCell ref="A342:A343"/>
    <mergeCell ref="B342:B343"/>
    <mergeCell ref="F342:F343"/>
    <mergeCell ref="F340:F341"/>
    <mergeCell ref="F330:F331"/>
    <mergeCell ref="A332:A333"/>
    <mergeCell ref="B332:B333"/>
    <mergeCell ref="F332:F333"/>
    <mergeCell ref="A298:A299"/>
    <mergeCell ref="B298:B299"/>
    <mergeCell ref="F298:F299"/>
    <mergeCell ref="A314:A315"/>
    <mergeCell ref="B314:B315"/>
    <mergeCell ref="F314:F315"/>
    <mergeCell ref="A310:A311"/>
    <mergeCell ref="B310:B311"/>
    <mergeCell ref="F310:F311"/>
    <mergeCell ref="A312:A313"/>
    <mergeCell ref="B312:B313"/>
    <mergeCell ref="F312:F313"/>
    <mergeCell ref="A300:A301"/>
    <mergeCell ref="B300:B301"/>
    <mergeCell ref="F300:F301"/>
    <mergeCell ref="A308:A309"/>
    <mergeCell ref="B308:B309"/>
    <mergeCell ref="F346:F347"/>
    <mergeCell ref="F350:F351"/>
    <mergeCell ref="A348:A349"/>
    <mergeCell ref="A350:A351"/>
    <mergeCell ref="B350:B351"/>
    <mergeCell ref="F316:F317"/>
    <mergeCell ref="A318:A319"/>
    <mergeCell ref="B318:B319"/>
    <mergeCell ref="F318:F319"/>
    <mergeCell ref="F322:F323"/>
    <mergeCell ref="F326:F327"/>
    <mergeCell ref="F348:F349"/>
    <mergeCell ref="F334:F335"/>
    <mergeCell ref="A336:A337"/>
    <mergeCell ref="B336:B337"/>
    <mergeCell ref="F336:F337"/>
    <mergeCell ref="A322:A323"/>
    <mergeCell ref="B322:B323"/>
    <mergeCell ref="F320:F321"/>
    <mergeCell ref="A324:A325"/>
    <mergeCell ref="B324:B325"/>
    <mergeCell ref="F324:F325"/>
    <mergeCell ref="A320:A321"/>
    <mergeCell ref="F328:F329"/>
    <mergeCell ref="A356:A357"/>
    <mergeCell ref="B356:B357"/>
    <mergeCell ref="A316:A317"/>
    <mergeCell ref="B316:B317"/>
    <mergeCell ref="A326:A327"/>
    <mergeCell ref="A334:A335"/>
    <mergeCell ref="B334:B335"/>
    <mergeCell ref="A328:A329"/>
    <mergeCell ref="B328:B329"/>
    <mergeCell ref="A338:A339"/>
    <mergeCell ref="B326:B327"/>
    <mergeCell ref="B348:B349"/>
    <mergeCell ref="B346:B347"/>
    <mergeCell ref="B320:B321"/>
    <mergeCell ref="B338:B339"/>
    <mergeCell ref="A330:A331"/>
    <mergeCell ref="B330:B331"/>
    <mergeCell ref="F308:F309"/>
    <mergeCell ref="A304:A305"/>
    <mergeCell ref="B304:B305"/>
    <mergeCell ref="F304:F305"/>
    <mergeCell ref="A306:A307"/>
    <mergeCell ref="B306:B307"/>
    <mergeCell ref="F306:F307"/>
    <mergeCell ref="A302:A303"/>
    <mergeCell ref="B302:B303"/>
    <mergeCell ref="F302:F303"/>
    <mergeCell ref="A296:A297"/>
    <mergeCell ref="B296:B297"/>
    <mergeCell ref="F296:F297"/>
    <mergeCell ref="A290:A291"/>
    <mergeCell ref="B290:B291"/>
    <mergeCell ref="F290:F291"/>
    <mergeCell ref="A292:A293"/>
    <mergeCell ref="B292:B293"/>
    <mergeCell ref="A294:A295"/>
    <mergeCell ref="B294:B295"/>
    <mergeCell ref="F294:F295"/>
    <mergeCell ref="A288:A289"/>
    <mergeCell ref="B288:B289"/>
    <mergeCell ref="F288:F289"/>
    <mergeCell ref="A282:A283"/>
    <mergeCell ref="B282:B283"/>
    <mergeCell ref="F282:F283"/>
    <mergeCell ref="A284:A285"/>
    <mergeCell ref="B284:B285"/>
    <mergeCell ref="F284:F285"/>
    <mergeCell ref="A276:A277"/>
    <mergeCell ref="B276:B277"/>
    <mergeCell ref="F276:F277"/>
    <mergeCell ref="A286:A287"/>
    <mergeCell ref="B286:B287"/>
    <mergeCell ref="F286:F287"/>
    <mergeCell ref="A278:A279"/>
    <mergeCell ref="B278:B279"/>
    <mergeCell ref="F278:F279"/>
    <mergeCell ref="A280:A281"/>
    <mergeCell ref="B280:B281"/>
    <mergeCell ref="F280:F281"/>
    <mergeCell ref="A270:A271"/>
    <mergeCell ref="B270:B271"/>
    <mergeCell ref="F270:F271"/>
    <mergeCell ref="A272:A273"/>
    <mergeCell ref="B272:B273"/>
    <mergeCell ref="F272:F273"/>
    <mergeCell ref="A274:A275"/>
    <mergeCell ref="B274:B275"/>
    <mergeCell ref="F274:F275"/>
    <mergeCell ref="A268:A269"/>
    <mergeCell ref="B268:B269"/>
    <mergeCell ref="F268:F269"/>
    <mergeCell ref="A266:A267"/>
    <mergeCell ref="B266:B267"/>
    <mergeCell ref="F266:F267"/>
    <mergeCell ref="A262:A263"/>
    <mergeCell ref="B262:B263"/>
    <mergeCell ref="F262:F263"/>
    <mergeCell ref="A264:A265"/>
    <mergeCell ref="B264:B265"/>
    <mergeCell ref="F264:F265"/>
    <mergeCell ref="A242:A243"/>
    <mergeCell ref="B242:B243"/>
    <mergeCell ref="A232:A233"/>
    <mergeCell ref="A254:A255"/>
    <mergeCell ref="B254:B255"/>
    <mergeCell ref="F254:F255"/>
    <mergeCell ref="A260:A261"/>
    <mergeCell ref="B260:B261"/>
    <mergeCell ref="F260:F261"/>
    <mergeCell ref="A256:A257"/>
    <mergeCell ref="B256:B257"/>
    <mergeCell ref="F256:F257"/>
    <mergeCell ref="A258:A259"/>
    <mergeCell ref="B258:B259"/>
    <mergeCell ref="F258:F259"/>
    <mergeCell ref="B230:B231"/>
    <mergeCell ref="A236:A237"/>
    <mergeCell ref="B236:B237"/>
    <mergeCell ref="F236:F237"/>
    <mergeCell ref="F230:F231"/>
    <mergeCell ref="A238:A239"/>
    <mergeCell ref="F232:F233"/>
    <mergeCell ref="A240:A241"/>
    <mergeCell ref="B240:B241"/>
    <mergeCell ref="F240:F241"/>
    <mergeCell ref="A252:A253"/>
    <mergeCell ref="B252:B253"/>
    <mergeCell ref="F252:F253"/>
    <mergeCell ref="F248:F249"/>
    <mergeCell ref="A250:A251"/>
    <mergeCell ref="B250:B251"/>
    <mergeCell ref="F250:F251"/>
    <mergeCell ref="A248:A249"/>
    <mergeCell ref="B248:B249"/>
    <mergeCell ref="B222:B223"/>
    <mergeCell ref="F222:F223"/>
    <mergeCell ref="A220:A221"/>
    <mergeCell ref="B220:B221"/>
    <mergeCell ref="F220:F221"/>
    <mergeCell ref="B232:B233"/>
    <mergeCell ref="A246:A247"/>
    <mergeCell ref="B246:B247"/>
    <mergeCell ref="F246:F247"/>
    <mergeCell ref="A244:A245"/>
    <mergeCell ref="B244:B245"/>
    <mergeCell ref="F244:F245"/>
    <mergeCell ref="B238:B239"/>
    <mergeCell ref="F224:F225"/>
    <mergeCell ref="F238:F239"/>
    <mergeCell ref="A226:A227"/>
    <mergeCell ref="B226:B227"/>
    <mergeCell ref="F226:F227"/>
    <mergeCell ref="F242:F243"/>
    <mergeCell ref="A234:A235"/>
    <mergeCell ref="B234:B235"/>
    <mergeCell ref="F234:F235"/>
    <mergeCell ref="B228:B229"/>
    <mergeCell ref="A230:A231"/>
    <mergeCell ref="A190:A191"/>
    <mergeCell ref="B190:B191"/>
    <mergeCell ref="A204:A205"/>
    <mergeCell ref="B204:B205"/>
    <mergeCell ref="F204:F205"/>
    <mergeCell ref="A192:A193"/>
    <mergeCell ref="B192:B193"/>
    <mergeCell ref="B194:B195"/>
    <mergeCell ref="F194:F195"/>
    <mergeCell ref="B196:B197"/>
    <mergeCell ref="F196:F197"/>
    <mergeCell ref="A196:A197"/>
    <mergeCell ref="A198:A199"/>
    <mergeCell ref="B198:B199"/>
    <mergeCell ref="F198:F199"/>
    <mergeCell ref="A180:A181"/>
    <mergeCell ref="B180:B181"/>
    <mergeCell ref="A212:A213"/>
    <mergeCell ref="B212:B213"/>
    <mergeCell ref="A214:A215"/>
    <mergeCell ref="F180:F181"/>
    <mergeCell ref="A182:A183"/>
    <mergeCell ref="B182:B183"/>
    <mergeCell ref="F182:F183"/>
    <mergeCell ref="F192:F193"/>
    <mergeCell ref="A194:A195"/>
    <mergeCell ref="A188:A189"/>
    <mergeCell ref="B188:B189"/>
    <mergeCell ref="F188:F189"/>
    <mergeCell ref="A184:A185"/>
    <mergeCell ref="B184:B185"/>
    <mergeCell ref="F184:F185"/>
    <mergeCell ref="A186:A187"/>
    <mergeCell ref="B186:B187"/>
    <mergeCell ref="F186:F187"/>
    <mergeCell ref="A202:A203"/>
    <mergeCell ref="B202:B203"/>
    <mergeCell ref="A206:A207"/>
    <mergeCell ref="B206:B207"/>
    <mergeCell ref="F176:F177"/>
    <mergeCell ref="A178:A179"/>
    <mergeCell ref="B178:B179"/>
    <mergeCell ref="F178:F179"/>
    <mergeCell ref="A168:A169"/>
    <mergeCell ref="B168:B169"/>
    <mergeCell ref="F168:F169"/>
    <mergeCell ref="A172:A173"/>
    <mergeCell ref="B172:B173"/>
    <mergeCell ref="F172:F173"/>
    <mergeCell ref="A174:A175"/>
    <mergeCell ref="B174:B175"/>
    <mergeCell ref="F174:F175"/>
    <mergeCell ref="A176:A177"/>
    <mergeCell ref="B176:B177"/>
    <mergeCell ref="A154:A155"/>
    <mergeCell ref="B154:B155"/>
    <mergeCell ref="F154:F155"/>
    <mergeCell ref="A156:A157"/>
    <mergeCell ref="B156:B157"/>
    <mergeCell ref="F156:F157"/>
    <mergeCell ref="A170:A171"/>
    <mergeCell ref="B170:B171"/>
    <mergeCell ref="F170:F171"/>
    <mergeCell ref="A166:A167"/>
    <mergeCell ref="A158:A159"/>
    <mergeCell ref="B158:B159"/>
    <mergeCell ref="A160:A161"/>
    <mergeCell ref="B160:B161"/>
    <mergeCell ref="F160:F161"/>
    <mergeCell ref="A162:A163"/>
    <mergeCell ref="B162:B163"/>
    <mergeCell ref="F162:F163"/>
    <mergeCell ref="A164:A165"/>
    <mergeCell ref="B164:B165"/>
    <mergeCell ref="F164:F165"/>
    <mergeCell ref="B166:B167"/>
    <mergeCell ref="F166:F167"/>
    <mergeCell ref="A150:A151"/>
    <mergeCell ref="B150:B151"/>
    <mergeCell ref="F150:F151"/>
    <mergeCell ref="A152:A153"/>
    <mergeCell ref="B152:B153"/>
    <mergeCell ref="F152:F153"/>
    <mergeCell ref="A146:A147"/>
    <mergeCell ref="B146:B147"/>
    <mergeCell ref="A144:A145"/>
    <mergeCell ref="B144:B145"/>
    <mergeCell ref="B136:B137"/>
    <mergeCell ref="A122:A123"/>
    <mergeCell ref="B122:B123"/>
    <mergeCell ref="A130:A131"/>
    <mergeCell ref="B130:B131"/>
    <mergeCell ref="B124:B125"/>
    <mergeCell ref="F144:F145"/>
    <mergeCell ref="A148:A149"/>
    <mergeCell ref="B148:B149"/>
    <mergeCell ref="F148:F149"/>
    <mergeCell ref="F146:F147"/>
    <mergeCell ref="A142:A143"/>
    <mergeCell ref="B142:B143"/>
    <mergeCell ref="A126:A127"/>
    <mergeCell ref="B126:B127"/>
    <mergeCell ref="F142:F143"/>
    <mergeCell ref="A128:A129"/>
    <mergeCell ref="B128:B129"/>
    <mergeCell ref="F128:F129"/>
    <mergeCell ref="F140:F141"/>
    <mergeCell ref="A138:A139"/>
    <mergeCell ref="B138:B139"/>
    <mergeCell ref="F138:F139"/>
    <mergeCell ref="F136:F137"/>
    <mergeCell ref="F132:F133"/>
    <mergeCell ref="F134:F135"/>
    <mergeCell ref="F130:F131"/>
    <mergeCell ref="F126:F127"/>
    <mergeCell ref="A140:A141"/>
    <mergeCell ref="B140:B141"/>
    <mergeCell ref="A132:A133"/>
    <mergeCell ref="B132:B133"/>
    <mergeCell ref="A134:A135"/>
    <mergeCell ref="B134:B135"/>
    <mergeCell ref="A136:A137"/>
    <mergeCell ref="F124:F125"/>
    <mergeCell ref="A124:A125"/>
    <mergeCell ref="B108:B109"/>
    <mergeCell ref="F112:F113"/>
    <mergeCell ref="F114:F115"/>
    <mergeCell ref="F120:F121"/>
    <mergeCell ref="A116:A117"/>
    <mergeCell ref="A108:A109"/>
    <mergeCell ref="F122:F123"/>
    <mergeCell ref="A112:A113"/>
    <mergeCell ref="B112:B113"/>
    <mergeCell ref="A120:A121"/>
    <mergeCell ref="B120:B121"/>
    <mergeCell ref="A114:A115"/>
    <mergeCell ref="B114:B115"/>
    <mergeCell ref="A80:A81"/>
    <mergeCell ref="B80:B81"/>
    <mergeCell ref="F80:F81"/>
    <mergeCell ref="A82:A83"/>
    <mergeCell ref="B82:B83"/>
    <mergeCell ref="F82:F83"/>
    <mergeCell ref="F116:F117"/>
    <mergeCell ref="B116:B117"/>
    <mergeCell ref="A88:A89"/>
    <mergeCell ref="B88:B89"/>
    <mergeCell ref="F88:F89"/>
    <mergeCell ref="A92:A93"/>
    <mergeCell ref="B92:B93"/>
    <mergeCell ref="F92:F93"/>
    <mergeCell ref="A98:A99"/>
    <mergeCell ref="B94:B95"/>
    <mergeCell ref="A102:A103"/>
    <mergeCell ref="A86:A87"/>
    <mergeCell ref="F104:F105"/>
    <mergeCell ref="A106:A107"/>
    <mergeCell ref="F94:F95"/>
    <mergeCell ref="B106:B107"/>
    <mergeCell ref="F106:F107"/>
    <mergeCell ref="A104:A105"/>
    <mergeCell ref="A84:A85"/>
    <mergeCell ref="B84:B85"/>
    <mergeCell ref="F84:F85"/>
    <mergeCell ref="A118:A119"/>
    <mergeCell ref="B118:B119"/>
    <mergeCell ref="F118:F119"/>
    <mergeCell ref="F98:F99"/>
    <mergeCell ref="A90:A91"/>
    <mergeCell ref="B90:B91"/>
    <mergeCell ref="F90:F91"/>
    <mergeCell ref="B86:B87"/>
    <mergeCell ref="F86:F87"/>
    <mergeCell ref="B96:B97"/>
    <mergeCell ref="B102:B103"/>
    <mergeCell ref="F102:F103"/>
    <mergeCell ref="B104:B105"/>
    <mergeCell ref="A100:A101"/>
    <mergeCell ref="B100:B101"/>
    <mergeCell ref="F100:F101"/>
    <mergeCell ref="A94:A95"/>
    <mergeCell ref="B98:B99"/>
    <mergeCell ref="A96:A97"/>
    <mergeCell ref="F108:F109"/>
    <mergeCell ref="B78:B79"/>
    <mergeCell ref="F78:F79"/>
    <mergeCell ref="A72:A73"/>
    <mergeCell ref="B72:B73"/>
    <mergeCell ref="A74:A75"/>
    <mergeCell ref="B74:B75"/>
    <mergeCell ref="F74:F75"/>
    <mergeCell ref="A64:A65"/>
    <mergeCell ref="B64:B65"/>
    <mergeCell ref="F64:F65"/>
    <mergeCell ref="A66:A67"/>
    <mergeCell ref="B66:B67"/>
    <mergeCell ref="F66:F67"/>
    <mergeCell ref="A68:A69"/>
    <mergeCell ref="B68:B69"/>
    <mergeCell ref="F68:F69"/>
    <mergeCell ref="A76:A77"/>
    <mergeCell ref="B56:B57"/>
    <mergeCell ref="F56:F57"/>
    <mergeCell ref="A44:A45"/>
    <mergeCell ref="B44:B45"/>
    <mergeCell ref="A46:A47"/>
    <mergeCell ref="B46:B47"/>
    <mergeCell ref="A34:A35"/>
    <mergeCell ref="B34:B35"/>
    <mergeCell ref="F34:F35"/>
    <mergeCell ref="A378:B379"/>
    <mergeCell ref="F378:F379"/>
    <mergeCell ref="B76:B77"/>
    <mergeCell ref="F76:F77"/>
    <mergeCell ref="A38:A39"/>
    <mergeCell ref="B38:B39"/>
    <mergeCell ref="F38:F39"/>
    <mergeCell ref="A40:A41"/>
    <mergeCell ref="B40:B41"/>
    <mergeCell ref="F40:F41"/>
    <mergeCell ref="A58:A59"/>
    <mergeCell ref="B58:B59"/>
    <mergeCell ref="F58:F59"/>
    <mergeCell ref="A60:A61"/>
    <mergeCell ref="B60:B61"/>
    <mergeCell ref="F60:F61"/>
    <mergeCell ref="A110:A111"/>
    <mergeCell ref="B110:B111"/>
    <mergeCell ref="F110:F111"/>
    <mergeCell ref="A70:A71"/>
    <mergeCell ref="B70:B71"/>
    <mergeCell ref="F70:F71"/>
    <mergeCell ref="A78:A79"/>
    <mergeCell ref="A228:A229"/>
    <mergeCell ref="C5:D5"/>
    <mergeCell ref="B16:B17"/>
    <mergeCell ref="F16:F17"/>
    <mergeCell ref="A12:A13"/>
    <mergeCell ref="B12:B13"/>
    <mergeCell ref="F14:F15"/>
    <mergeCell ref="A16:A17"/>
    <mergeCell ref="B18:B19"/>
    <mergeCell ref="A6:A7"/>
    <mergeCell ref="B6:B7"/>
    <mergeCell ref="F6:G7"/>
    <mergeCell ref="A8:A9"/>
    <mergeCell ref="B8:B9"/>
    <mergeCell ref="F8:F9"/>
    <mergeCell ref="F18:F19"/>
    <mergeCell ref="A10:A11"/>
    <mergeCell ref="B10:B11"/>
    <mergeCell ref="F10:F11"/>
    <mergeCell ref="F12:F13"/>
    <mergeCell ref="A14:A15"/>
    <mergeCell ref="B14:B15"/>
    <mergeCell ref="A18:A19"/>
    <mergeCell ref="F20:F21"/>
    <mergeCell ref="A42:A43"/>
    <mergeCell ref="B42:B43"/>
    <mergeCell ref="F42:F43"/>
    <mergeCell ref="A20:A21"/>
    <mergeCell ref="B20:B21"/>
    <mergeCell ref="A22:A23"/>
    <mergeCell ref="B22:B23"/>
    <mergeCell ref="F22:F23"/>
    <mergeCell ref="A24:A25"/>
    <mergeCell ref="B24:B25"/>
    <mergeCell ref="F24:F25"/>
    <mergeCell ref="A36:A37"/>
    <mergeCell ref="B36:B37"/>
    <mergeCell ref="F36:F37"/>
    <mergeCell ref="A30:A31"/>
    <mergeCell ref="B30:B31"/>
    <mergeCell ref="F32:F33"/>
    <mergeCell ref="A26:A27"/>
    <mergeCell ref="B26:B27"/>
    <mergeCell ref="F26:F27"/>
    <mergeCell ref="A28:A29"/>
    <mergeCell ref="B28:B29"/>
    <mergeCell ref="F28:F29"/>
    <mergeCell ref="B360:B361"/>
    <mergeCell ref="F360:F361"/>
    <mergeCell ref="F364:F365"/>
    <mergeCell ref="B364:B365"/>
    <mergeCell ref="A364:A365"/>
    <mergeCell ref="A360:A361"/>
    <mergeCell ref="F202:F203"/>
    <mergeCell ref="F206:F207"/>
    <mergeCell ref="F208:F209"/>
    <mergeCell ref="A210:A211"/>
    <mergeCell ref="B210:B211"/>
    <mergeCell ref="F210:F211"/>
    <mergeCell ref="F212:F213"/>
    <mergeCell ref="A224:A225"/>
    <mergeCell ref="F214:F215"/>
    <mergeCell ref="A208:A209"/>
    <mergeCell ref="B208:B209"/>
    <mergeCell ref="A216:A217"/>
    <mergeCell ref="B216:B217"/>
    <mergeCell ref="F216:F217"/>
    <mergeCell ref="A218:A219"/>
    <mergeCell ref="B218:B219"/>
    <mergeCell ref="F218:F219"/>
    <mergeCell ref="A222:A223"/>
    <mergeCell ref="F30:F31"/>
    <mergeCell ref="A32:A33"/>
    <mergeCell ref="A62:A63"/>
    <mergeCell ref="B62:B63"/>
    <mergeCell ref="B224:B225"/>
    <mergeCell ref="A200:A201"/>
    <mergeCell ref="B200:B201"/>
    <mergeCell ref="F200:F201"/>
    <mergeCell ref="B214:B215"/>
    <mergeCell ref="F62:F63"/>
    <mergeCell ref="A52:A53"/>
    <mergeCell ref="B52:B53"/>
    <mergeCell ref="F52:F53"/>
    <mergeCell ref="A54:A55"/>
    <mergeCell ref="B54:B55"/>
    <mergeCell ref="F54:F55"/>
    <mergeCell ref="B32:B33"/>
    <mergeCell ref="A50:A51"/>
    <mergeCell ref="B50:B51"/>
    <mergeCell ref="F50:F51"/>
    <mergeCell ref="A48:A49"/>
    <mergeCell ref="B48:B49"/>
    <mergeCell ref="F48:F49"/>
    <mergeCell ref="A56:A57"/>
  </mergeCells>
  <phoneticPr fontId="4"/>
  <conditionalFormatting sqref="G378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200:F227 F232:F249 F48:F69 F78:F93 F298:F323 F164:F187 F194:F195 F254:F289 F364:F365 F374:F377 F354:F361 F370:F371 F326:F351 F98:F155 F8:F9 F10:F13 F14:F39" xr:uid="{00000000-0002-0000-0000-000000000000}">
      <formula1>"　　,区ＣＭ"</formula1>
    </dataValidation>
    <dataValidation type="list" allowBlank="1" showInputMessage="1" showErrorMessage="1" sqref="D7" xr:uid="{00000000-0002-0000-0000-000001000000}">
      <formula1>"調 整 ③,予 算 案 ②,予 算 ②"</formula1>
    </dataValidation>
  </dataValidations>
  <hyperlinks>
    <hyperlink ref="A8:A9" r:id="rId1" display="教育委員の報酬及び旅費" xr:uid="{6B116C70-2CB6-4A09-9D19-F45C15C8E5FF}"/>
    <hyperlink ref="A10:A11" r:id="rId2" display="庶務事務費" xr:uid="{FDAF3D8B-2468-49FB-A5D1-B85C2620BC9E}"/>
    <hyperlink ref="A14:A15" r:id="rId3" display="大阪市奨学費" xr:uid="{695BD85D-8BF2-4CAA-BF01-09CB6C21EEF8}"/>
    <hyperlink ref="A16:A17" r:id="rId4" display="教職員人事事務費" xr:uid="{8F78EF6F-C76C-410D-BDFF-515ABFA2A87D}"/>
    <hyperlink ref="A18:A19" r:id="rId5" display="教職員資質向上方策の推進" xr:uid="{11B0B808-0256-48E8-B513-9CD699C70FE7}"/>
    <hyperlink ref="A20:A21" r:id="rId6" display="大阪市立学校における校長公募の実施・民間人校長フォロー体制の強化" xr:uid="{167985F7-712A-4823-88FD-0772F89E076B}"/>
    <hyperlink ref="A22:A23" r:id="rId7" display="学校現場の負担軽減と校長のマネジメントの確立" xr:uid="{2696C9CF-4A33-438B-9783-150D6EF233C4}"/>
    <hyperlink ref="A24:A25" r:id="rId8" display="教職員給与事務費" xr:uid="{479CF3E7-AFE7-411C-83F9-031C0D0FF3D6}"/>
    <hyperlink ref="A26:A27" r:id="rId9" display="教職員児童手当" xr:uid="{FF6F051C-2E16-4892-8BA3-4AA21B897EE9}"/>
    <hyperlink ref="A28:A29" r:id="rId10" display="教職員被服貸与" xr:uid="{3CD91505-638F-4202-9A86-36117DCCEA23}"/>
    <hyperlink ref="A30:A31" r:id="rId11" display="教職員相談事業等" xr:uid="{EA3ED71C-27F9-4945-B125-8DECB22F478D}"/>
    <hyperlink ref="A32:A33" r:id="rId12" display="学校運営支援センター運営費等" xr:uid="{CBD7B277-117E-4AA7-8539-81DC29DEC7C6}"/>
    <hyperlink ref="A34:A35" r:id="rId13" display="校務支援・学校教育へのＩＣＴ活用事業" xr:uid="{E9199627-04CE-4510-A692-506588547F80}"/>
    <hyperlink ref="A36:A37" r:id="rId14" display="学校選択制関係事務費" xr:uid="{ED9265C5-6303-4F36-950C-FE1D34C9B4B0}"/>
    <hyperlink ref="A38:A39" r:id="rId15" display="キッズプラザ大阪建物賃借料等" xr:uid="{8AAEB0DA-B8DF-421E-82E7-2F4A2318B4CD}"/>
    <hyperlink ref="A40:A41" r:id="rId16" display="学校給食費の管理（食材費等）" xr:uid="{4B91ADF4-91C8-4EA4-8F48-A62EF2256E4D}"/>
    <hyperlink ref="A42:A43" r:id="rId17" display="教職員の旅費（府立学校派遣）" xr:uid="{F22FF014-DBA9-4E6D-9B2B-366FC88ABE7A}"/>
    <hyperlink ref="A44:A45" r:id="rId18" display="ワークライフバランス支援員の配置" xr:uid="{86B1CE6E-6014-4D15-8110-AA67A09A0AB4}"/>
    <hyperlink ref="A46:A47" r:id="rId19" display="総合教育センターを活用した教員の資質・教職の魅力向上事業" xr:uid="{4E04F979-5440-4DCA-8967-D610245F56E7}"/>
    <hyperlink ref="A48:A49" r:id="rId20" display="学校力ＵＰベース事業（習熟度別少人数授業）" xr:uid="{E408F938-D5FE-4553-A4DE-72C5B2EE3DB1}"/>
    <hyperlink ref="A50:A51" r:id="rId21" display="学校元気アップ地域本部事業" xr:uid="{33D60684-BA68-4040-A801-2CBB2770A8C8}"/>
    <hyperlink ref="A52:A53" r:id="rId22" display="特別支援教育費" xr:uid="{864F2672-8296-4623-941D-8BD3B86146A8}"/>
    <hyperlink ref="A54:A55" r:id="rId23" display="国際理解教育振興費" xr:uid="{D1312484-A59D-4755-A1AB-B8ABDE5EC711}"/>
    <hyperlink ref="A56:A57" r:id="rId24" display="運動・文化部活動等振興費" xr:uid="{50CE6204-D9CE-43D4-B50C-D7B7C327E817}"/>
    <hyperlink ref="A58:A59" r:id="rId25" display="いじめ・不登校・児童虐待等防止対策" xr:uid="{21FC85BF-5C75-4F50-80AE-5E215259BC4F}"/>
    <hyperlink ref="A60:A61" r:id="rId26" display="中学校給食事業" xr:uid="{EE38FF32-94BB-40A0-8AB0-A24DCB7C0837}"/>
    <hyperlink ref="A62:A63" r:id="rId27" display="学校活性化推進事業" xr:uid="{C2911BB3-B5FD-4E4C-9EF7-6B74356BFE13}"/>
    <hyperlink ref="A64:A65" r:id="rId28" display="指導振興費" xr:uid="{6CC7C2AC-A8E4-47D1-85FB-A8E58CB54F6B}"/>
    <hyperlink ref="A66:A67" r:id="rId29" display="特別支援教育の充実" xr:uid="{45C87C6E-1BE6-46B9-BBCC-585F749F4318}"/>
    <hyperlink ref="A68:A69" r:id="rId30" display="施設一体型小中一貫校等の整備（小中一貫校の特色化等について）" xr:uid="{40143AF5-77D5-4553-A685-DF3A110D7017}"/>
    <hyperlink ref="A70:A71" r:id="rId31" display="生活指導支援員の配置等事業" xr:uid="{3EDB2F01-A3C3-4DF2-AC20-3B560A4B54EB}"/>
    <hyperlink ref="A72:A73" r:id="rId32" display="生活指導サポートセンターの運営" xr:uid="{CA535659-6D07-4517-AC7A-6CE9E44F74BA}"/>
    <hyperlink ref="A74:A75" r:id="rId33" display="部活動指導員活用事業" xr:uid="{4AAC4C0C-4F00-487F-B0A5-2D58EB5E4B38}"/>
    <hyperlink ref="A76:A77" r:id="rId34" display="小学校学力経年調査に基づく学習支援事業" xr:uid="{A7242040-505A-40C2-B328-6FBBACFE254D}"/>
    <hyperlink ref="A78:A79" r:id="rId35" display="ＳＮＳの活用による児童生徒相談事業" xr:uid="{B3AEBA7B-C971-4F64-906E-85DFAE2A7185}"/>
    <hyperlink ref="A80:A81" r:id="rId36" display="生野区西部地域の学校再編の推進" xr:uid="{232B6AEF-251C-4A87-A986-7A84EBF9EC11}"/>
    <hyperlink ref="A82:A83" r:id="rId37" display="大阪市こどもサポートネット（スクールソーシャルワーカーの配置）" xr:uid="{9F3F52E8-336E-439E-BC29-0222B7E8C368}"/>
    <hyperlink ref="A84:A85" r:id="rId38" display="大阪市版スクールロイヤー事業" xr:uid="{55CFDFA2-DFED-4A17-B8FE-716274F9AB4C}"/>
    <hyperlink ref="A86:A87" r:id="rId39" display="ブロック化による学校支援事業" xr:uid="{31462432-AA3C-4842-BA84-188EC9710714}"/>
    <hyperlink ref="A88:A89" r:id="rId40" display="外国につながる児童生徒の受入れ・共生のための教育推進事業" xr:uid="{1A309F8C-88B7-4091-8477-C72011A20D88}"/>
    <hyperlink ref="A90:A91" r:id="rId41" display="教育支援センターの運営" xr:uid="{0EEF6F73-3A99-4BFD-95F4-ED0568C9BFDB}"/>
    <hyperlink ref="A92:A93" r:id="rId42" display="スマートスクール次世代学校支援事業" xr:uid="{609373D0-20AD-4D48-8B59-F0D6023DC6A5}"/>
    <hyperlink ref="A94:A95" r:id="rId43" display="子どもの体力向上支援事業" xr:uid="{A560EE8E-0D4B-4AFB-B45D-8103D1D2F029}"/>
    <hyperlink ref="A96:A97" r:id="rId44" display="プールの民間委託事業" xr:uid="{1F9A0BC5-2EFE-470A-A38E-69CA68A55C0D}"/>
    <hyperlink ref="A98:A99" r:id="rId45" display="学力向上支援チーム事業" xr:uid="{B567CDE0-0D26-4E60-AD14-5619B27D9795}"/>
    <hyperlink ref="A100:A101" r:id="rId46" display="ヤングケアラー支援推進事業（スクールソーシャルワーカー）" xr:uid="{64CA2978-B973-49A5-BEE4-C0E8EAE6CF10}"/>
    <hyperlink ref="A102:A103" r:id="rId47" display="課題解決支援員（スクールソーシャルワーカー）の配置" xr:uid="{E0015751-BC50-4658-9DD8-B68CDE050B0D}"/>
    <hyperlink ref="A104:A105" r:id="rId48" display="大阪・関西万博にかかる学校園への啓発及び参加事業" xr:uid="{30921D90-39AA-407C-A898-B70F7006BFB6}"/>
    <hyperlink ref="A106:A107" r:id="rId49" display="部活動の地域移行事業" xr:uid="{DBB2D745-AF65-4C13-836B-3C770DB314A1}"/>
    <hyperlink ref="A108:A109" r:id="rId50" display="採点支援システムの導入" xr:uid="{C1D69003-AAD9-40FF-B62B-87ADB211B359}"/>
    <hyperlink ref="A110:A111" r:id="rId51" display="学びの多様化学校（不登校特例校）等の運営" xr:uid="{CD53F23D-4532-4697-8BB6-B10FF2832A3B}"/>
    <hyperlink ref="A112:A113" r:id="rId52" display="校内教育支援センター（スペシャルサポートルーム）のモデル設置" xr:uid="{1126EAFA-9406-40B4-B4F5-DE6E986866AC}"/>
    <hyperlink ref="A114:A115" r:id="rId53" display="総合教育センターを活用した教員の資質・教職の魅力向上事業" xr:uid="{630CC930-C40D-48A1-8A06-A825E1F7272D}"/>
    <hyperlink ref="A122:A123" r:id="rId54" display="研修事業" xr:uid="{CCF9FAF7-18C6-4786-BA67-ADF089A9F660}"/>
    <hyperlink ref="A124:A125" r:id="rId55" display="研究事業" xr:uid="{E1804808-3387-4AFE-A2E5-144FF2E9E830}"/>
    <hyperlink ref="A126:A127" r:id="rId56" display="情報教育研究事業" xr:uid="{9C8F00CD-3421-44AB-954E-A2E4426D1AC8}"/>
    <hyperlink ref="A128:A129" r:id="rId57" display="大阪市教師養成講座" xr:uid="{2C33B4E1-0A61-438A-AEA3-A826FFC33D89}"/>
    <hyperlink ref="A130:A131" r:id="rId58" display="道徳教育推進事業" xr:uid="{2B8E4283-06D1-47A9-85F1-0A9C87601840}"/>
    <hyperlink ref="A132:A133" r:id="rId59" display="校務支援・学校教育へのＩＣＴ活用事業" xr:uid="{A8C62925-BE8D-4215-9B70-1578D2050585}"/>
    <hyperlink ref="A134:A135" r:id="rId60" display="教育センターの機能充実" xr:uid="{A734D3EE-CA84-4C4A-99D9-932792FBB3B7}"/>
    <hyperlink ref="A136:A137" r:id="rId61" display="一般維持管理費" xr:uid="{2431894B-176B-4E39-B108-E0C681F4013F}"/>
    <hyperlink ref="A138:A139" r:id="rId62" display="総合教育センター庁舎土地賃借料" xr:uid="{AEC8627A-1AFE-42A2-8F98-5109292A7316}"/>
    <hyperlink ref="A140:A141" r:id="rId63" display="総合教育センターを活用した教員の資質・教職の魅力向上事業" xr:uid="{DAC18C01-23D7-4B4D-BAB3-4A9CEEEEF634}"/>
    <hyperlink ref="A144:A145" r:id="rId64" display="指導振興費" xr:uid="{D3E91850-0A2C-4701-96F0-3B30664075FF}"/>
    <hyperlink ref="A146:A147" r:id="rId65" display="一般維持管理費" xr:uid="{575626B8-DCA5-4800-A238-E47ADB526B9E}"/>
    <hyperlink ref="A148:A149" r:id="rId66" display="教育振興基金積立金" xr:uid="{03317494-EBD6-4185-B156-128BC13C41C1}"/>
    <hyperlink ref="A152:A153" r:id="rId67" display="非常勤講師等の報酬" xr:uid="{DB13ADAC-5572-4BEE-9375-FB4C668A4D89}"/>
    <hyperlink ref="A154:A155" r:id="rId68" display="研修指導教員配置" xr:uid="{082B7667-A65D-4463-B4DA-7BA5CCFFD1BB}"/>
    <hyperlink ref="A156:A157" r:id="rId69" display="事故職員の補充等" xr:uid="{82254B3A-424D-4281-B7DC-72D3DC284BE9}"/>
    <hyperlink ref="A158:A159" r:id="rId70" display="学校機械警備業務委託事業" xr:uid="{6E5E2017-8410-47F9-89BB-04E7745F9C5A}"/>
    <hyperlink ref="A160:A161" r:id="rId71" display="教職員の旅費" xr:uid="{650C56B6-31C2-4279-8268-07DA2D5249ED}"/>
    <hyperlink ref="A162:A163" r:id="rId72" display="児童生徒就学費補助金等" xr:uid="{14E69A3F-C87C-4058-9178-CD05A2663559}"/>
    <hyperlink ref="A164:A165" r:id="rId73" display="日本スポーツ振興センター負担金" xr:uid="{7163132F-EFC6-4A0B-9C4E-DD1FA1082DDB}"/>
    <hyperlink ref="A166:A167" r:id="rId74" display="通学タクシー等運行業務" xr:uid="{F251A620-976B-4760-A298-26DD8D5B38FC}"/>
    <hyperlink ref="A168:A169" r:id="rId75" display="校地借地料" xr:uid="{0147AED0-7286-41D7-A9AC-B0FE8D625B03}"/>
    <hyperlink ref="A170:A171" r:id="rId76" display="学校給食費の管理（食材費等）" xr:uid="{521E83BA-5300-456A-95F8-198434125A27}"/>
    <hyperlink ref="A174:A175" r:id="rId77" display="学校給食食材調達費" xr:uid="{7DE8EE75-F832-437A-BE7F-BDD0CAA39C3C}"/>
    <hyperlink ref="A176:A177" r:id="rId78" display="学校給食調理業務民間委託事業" xr:uid="{B54587FE-65F8-40D9-9215-4EFEF8AF1155}"/>
    <hyperlink ref="A178:A179" r:id="rId79" display="校務支援・学校教育へのＩＣＴ活用事業" xr:uid="{9FE809B7-55C9-4C7F-9989-6F9ED7BCC7F1}"/>
    <hyperlink ref="A180:A181" r:id="rId80" display="学校活性化推進事業" xr:uid="{306BB3D8-DB86-4E78-9BCE-F86AA51DFD87}"/>
    <hyperlink ref="A182:A183" r:id="rId81" display="特別支援教育の充実" xr:uid="{C9B1522B-5761-4319-88F2-4ECC74531003}"/>
    <hyperlink ref="A184:A185" r:id="rId82" display="小学校学力経年調査に基づく学習支援事業" xr:uid="{DBB2AF9F-B756-42CB-9E01-18445A0FD12B}"/>
    <hyperlink ref="A186:A187" r:id="rId83" display="一般維持運営費" xr:uid="{E212EDC5-8185-4004-B030-E53380F6704D}"/>
    <hyperlink ref="A188:A189" r:id="rId84" display="ＡＥＤの整備" xr:uid="{2624E960-8027-4813-A614-770E2A230907}"/>
    <hyperlink ref="A190:A191" r:id="rId85" display="小・中学校校舎の壁面緑化" xr:uid="{8A6096A4-0237-4A25-99E6-1B917ED96783}"/>
    <hyperlink ref="A192:A193" r:id="rId86" display="スクールサポートスタッフ配置事業" xr:uid="{C0970883-6233-4BCE-8153-436FB9206468}"/>
    <hyperlink ref="A194:A195" r:id="rId87" display="学校指定寄附金を活用した教育環境充実事業" xr:uid="{392F8489-1C20-4414-BA8B-4A7E1EE2267B}"/>
    <hyperlink ref="A196:A197" r:id="rId88" display="共同学校事務室運営費" xr:uid="{C4BDA6ED-0EE2-4382-9955-C7260E932BCC}"/>
    <hyperlink ref="A198:A199" r:id="rId89" display="欠席連絡等アプリの導入" xr:uid="{1CD73249-713B-4388-BB08-CFD73591FBA4}"/>
    <hyperlink ref="A200:A201" r:id="rId90" display="学習動画コンテンツ配信モデル事業" xr:uid="{013BE5A1-6563-41D2-B4E7-9899775AB685}"/>
    <hyperlink ref="A206:A207" r:id="rId91" display="非常勤講師等の報酬" xr:uid="{D0C90AEC-EC92-4CDD-ACCA-D9F8D6326897}"/>
    <hyperlink ref="A208:A209" r:id="rId92" display="研修指導教員配置" xr:uid="{47F26730-9BE8-4E67-A497-5E4B58798A49}"/>
    <hyperlink ref="A210:A211" r:id="rId93" display="事故職員の補充等" xr:uid="{78146EA8-2B91-4530-A007-37DCA38B6E39}"/>
    <hyperlink ref="A212:A213" r:id="rId94" display="学校機械警備業務委託事業" xr:uid="{CE12E477-0D92-4DC9-B056-EF0B22285945}"/>
    <hyperlink ref="A214:A215" r:id="rId95" display="教職員の旅費" xr:uid="{44D6901A-0677-4428-8ED9-0394921833C0}"/>
    <hyperlink ref="A216:A217" r:id="rId96" display="児童生徒就学費補助金等" xr:uid="{C5DA465F-5518-4C44-9E02-1824B55A2C9B}"/>
    <hyperlink ref="A218:A219" r:id="rId97" display="日本スポーツ振興センター負担金" xr:uid="{4514E991-43AE-4F3A-B9C9-1327B012152C}"/>
    <hyperlink ref="A220:A221" r:id="rId98" display="通学タクシー等運行業務" xr:uid="{8445ADF4-6D94-4286-990F-919394CEEC39}"/>
    <hyperlink ref="A222:A223" r:id="rId99" display="校地借地料" xr:uid="{B841D090-C4F3-46B0-A3C2-17BFD795A10E}"/>
    <hyperlink ref="A224:A225" r:id="rId100" display="学校給食費の管理（食材費等）" xr:uid="{E1058D5A-A0F7-4B39-A0F3-59AFBB46CFFF}"/>
    <hyperlink ref="A226:A227" r:id="rId101" display="学校給食費の管理（給食費の無償化）" xr:uid="{EA3C2953-244E-4D03-9661-9BC0E145BEAB}"/>
    <hyperlink ref="A228:A229" r:id="rId102" display="学校給食調理業務民間委託事業" xr:uid="{79839935-5DCE-4CFB-B0C6-418D4387894C}"/>
    <hyperlink ref="A230:A231" r:id="rId103" display="中学校給食事業" xr:uid="{2553348F-BDB8-4560-AC89-0DB90907AA49}"/>
    <hyperlink ref="A232:A233" r:id="rId104" display="校務支援・学校教育へのＩＣＴ活用事業" xr:uid="{25379F31-8658-4A90-B903-01BE5AD6AB2A}"/>
    <hyperlink ref="A234:A235" r:id="rId105" display="学校活性化推進事業" xr:uid="{338D5658-D5DF-49C4-A5F6-14756B651A38}"/>
    <hyperlink ref="A236:A237" r:id="rId106" display="特別支援教育の充実" xr:uid="{524AD3E7-A6BB-415F-B57A-E70A7A501012}"/>
    <hyperlink ref="A238:A239" r:id="rId107" display="一般維持運営費" xr:uid="{73751CD4-4ABA-41A1-B28C-E7F7FC8AF416}"/>
    <hyperlink ref="A240:A241" r:id="rId108" display="キャリア教育推進事業" xr:uid="{5315B24E-18CE-41DC-99B1-2D64FA7DB029}"/>
    <hyperlink ref="A242:A243" r:id="rId109" display="ＡＥＤの整備" xr:uid="{A70FAD2E-2243-4BCC-A97E-03E40B52BAEE}"/>
    <hyperlink ref="A244:A245" r:id="rId110" display="小・中学校校舎の壁面緑化" xr:uid="{181556A3-6714-4183-A153-06AF0A2B2FCE}"/>
    <hyperlink ref="A246:A247" r:id="rId111" display="「大阪市版チャレンジテストｐｌｕｓ」実施事業" xr:uid="{A202D84E-9D3C-4E6A-AD08-26E313D15C73}"/>
    <hyperlink ref="A248:A249" r:id="rId112" display="スクールサポートスタッフ配置事業" xr:uid="{051AFA65-78FA-4B92-AE18-D3AE5D92C8E7}"/>
    <hyperlink ref="A250:A251" r:id="rId113" display="学校指定寄附金を活用した教育環境充実事業" xr:uid="{F63423A1-7DA9-43F7-8098-5A36F497C646}"/>
    <hyperlink ref="A252:A253" r:id="rId114" display="共同学校事務室運営費" xr:uid="{20267D46-2C6B-4562-970B-D0B15AB1C499}"/>
    <hyperlink ref="A254:A255" r:id="rId115" display="欠席連絡等アプリの導入" xr:uid="{55CAD1BF-0D1A-4095-978E-555DBA84C6E6}"/>
    <hyperlink ref="A256:A257" r:id="rId116" display="学習動画コンテンツ配信モデル事業" xr:uid="{E3BE925C-5E11-46E7-9F7A-A6CB40866DC3}"/>
    <hyperlink ref="A262:A263" r:id="rId117" display="社会教育の企画推進" xr:uid="{530AC381-C33E-4EFE-84D5-15AC60BF2368}"/>
    <hyperlink ref="A264:A265" r:id="rId118" display="生涯学習の推進" xr:uid="{FD118000-F3A3-41E1-B086-54D3C6FDC3A2}"/>
    <hyperlink ref="A266:A267" r:id="rId119" display="ＰＴＡ育成" xr:uid="{F8C79BDE-9127-4B2E-8F4E-16632F05C096}"/>
    <hyperlink ref="A268:A269" r:id="rId120" display="人権啓発普及事業等" xr:uid="{794922BF-56FB-4EA7-A9D9-0D796BD75133}"/>
    <hyperlink ref="A270:A271" r:id="rId121" display="子どもたちへの吹奏楽普及推進事業" xr:uid="{7A4A2B24-B9CD-413E-A417-A33576C1D5CC}"/>
    <hyperlink ref="A272:A273" r:id="rId122" display="総合生涯学習センター・市民学習センター管理運営費等" xr:uid="{1635F0FD-42A0-418A-A5EB-551444DDE4DE}"/>
    <hyperlink ref="A274:A275" r:id="rId123" display="大阪国際平和センター運営補助" xr:uid="{65239DD1-9893-4D4B-B5F6-6A354FA98069}"/>
    <hyperlink ref="A276:A277" r:id="rId124" display="文化遺産の保存と顕彰" xr:uid="{9F210B4C-F3A7-4D2F-A90D-B046FBA18378}"/>
    <hyperlink ref="A278:A279" r:id="rId125" display="埋蔵文化財の保存と活用等" xr:uid="{276DC6D6-8436-4EBC-8DC6-33A75A385B7D}"/>
    <hyperlink ref="A280:A281" r:id="rId126" display="図書館運営費（中央図書館）" xr:uid="{D7B07F6D-BD42-449D-90C1-212BDAE092C4}"/>
    <hyperlink ref="A282:A283" r:id="rId127" display="図書館運営費（地域図書館）" xr:uid="{2967A545-2FA2-4DF6-A63C-94923D63EFB7}"/>
    <hyperlink ref="A284:A285" r:id="rId128" display="図書及資料費" xr:uid="{E678451B-2F93-432F-AE8A-DEA05B4123CE}"/>
    <hyperlink ref="A286:A287" r:id="rId129" display="図書館情報ネットワークシステム事業" xr:uid="{D0AC755A-43B1-4E22-8229-57B02CF10850}"/>
    <hyperlink ref="A288:A289" r:id="rId130" display="学校図書館活用推進事業" xr:uid="{4D973E5E-2D86-445E-9252-545AD4068D58}"/>
    <hyperlink ref="A290:A291" r:id="rId131" display="大阪市史編纂事業等" xr:uid="{69FAF7E8-BCC7-4D09-9531-A0A32AA5A0E4}"/>
    <hyperlink ref="A292:A293" r:id="rId132" display="就学時健康診断費" xr:uid="{875460D0-BFBA-459E-9ECB-F2CA395CBC98}"/>
    <hyperlink ref="A294:A295" r:id="rId133" display="児童生徒保健対策費" xr:uid="{783531FC-64CD-4842-8433-9270DAE7F718}"/>
    <hyperlink ref="A296:A297" r:id="rId134" display="教職員保健対策費" xr:uid="{155B5802-D7CC-41E5-B60C-D5194C26C403}"/>
    <hyperlink ref="A298:A299" r:id="rId135" display="学校保健推進事業等" xr:uid="{D19BCC7D-2449-4B8F-8E10-A7683506EF5F}"/>
    <hyperlink ref="A300:A301" r:id="rId136" display="マイナンバー制度導入に伴う学校医療券の情報提供用中間サーバ接続端末設置費" xr:uid="{AF864FA1-C507-497B-9164-DBB20E0E0C8C}"/>
    <hyperlink ref="A302:A303" r:id="rId137" display="標準献立作成費等" xr:uid="{5886C4CF-C255-4D35-AA3F-9511056691C2}"/>
    <hyperlink ref="A304:A305" r:id="rId138" display="中学校給食事業" xr:uid="{EBB74D11-B566-47C2-984F-6D7676B536F4}"/>
    <hyperlink ref="A306:A307" r:id="rId139" display="給食衛生管理費" xr:uid="{F5E9F030-B6FD-4614-9682-70464A3D7D29}"/>
    <hyperlink ref="A308:A309" r:id="rId140" display="総合体育大会" xr:uid="{2E70839E-6D73-4767-98FB-A5216E3A3D8C}"/>
    <hyperlink ref="A310:A311" r:id="rId141" display="体育部活動育成等" xr:uid="{7E9F94CE-A117-4E1A-B49D-C7FB01B7C044}"/>
    <hyperlink ref="A314:A315" r:id="rId142" display="児童・生徒数の増加に伴う新増築事業" xr:uid="{480237F6-C288-4611-B553-BE2B95D0DDE3}"/>
    <hyperlink ref="A316:A317" r:id="rId143" display="特別教室等整備事業" xr:uid="{3D58F045-D5F5-41E1-9743-10A2FBB3A660}"/>
    <hyperlink ref="A318:A319" r:id="rId144" display="講堂兼体育館整備事業" xr:uid="{079B3AD4-573A-4672-BD8A-01531A5E8523}"/>
    <hyperlink ref="A320:A321" r:id="rId145" display="老朽鉄筋校舎改築事業" xr:uid="{624CC086-8923-4006-887A-EA5AF4DACB32}"/>
    <hyperlink ref="A324:A325" r:id="rId146" display="生野区西部地域の学校再編の推進" xr:uid="{A85E6CFB-6A90-4060-8829-FF3A26408D0E}"/>
    <hyperlink ref="A326:A327" r:id="rId147" display="校舎補修等整備事業" xr:uid="{2505E6B1-CA14-441D-A1CF-CD56E9FA5372}"/>
    <hyperlink ref="A328:A329" r:id="rId148" display="特別支援学級教室改造" xr:uid="{2FD182A2-B605-45EC-A171-382C8F97D3F4}"/>
    <hyperlink ref="A330:A331" r:id="rId149" display="特別支援教育設備等" xr:uid="{277A6A3E-15FE-4468-AFFE-782D8D7AC12C}"/>
    <hyperlink ref="A332:A333" r:id="rId150" display="理科教育設備等整備事業" xr:uid="{5466CAEC-E227-49B0-8C9B-F2FCF3A7DDD4}"/>
    <hyperlink ref="A334:A335" r:id="rId151" display="学校設備整備事業等" xr:uid="{20CCDDFD-1162-430B-A458-2581A7986433}"/>
    <hyperlink ref="A336:A337" r:id="rId152" display="校務支援・学校教育へのＩＣＴ活用事業" xr:uid="{109984E3-7A77-486C-8DEB-217CD216EA41}"/>
    <hyperlink ref="A338:A339" r:id="rId153" display="教育ＩＣＴネットワークシステム統合・利活用推進事業" xr:uid="{3BBF6058-1C89-4FF2-8179-62425C4AE343}"/>
    <hyperlink ref="A340:A341" r:id="rId154" display="もと青少年会館の財産管理及び財産処分業務" xr:uid="{C6A722C5-F38B-4EAE-8FED-2B25B73064AD}"/>
    <hyperlink ref="A342:A343" r:id="rId155" display="大阪国際平和センター設備改修等補助" xr:uid="{C6D2B293-DCDD-4C34-A4E1-1BCD63D07DEF}"/>
    <hyperlink ref="A348:A349" r:id="rId156" display="教職員情報システム統合認証システム運用" xr:uid="{A2EC11DF-1F2E-44F0-B55E-1746494E3BA2}"/>
    <hyperlink ref="A350:A351" r:id="rId157" display="クラフトパーク設備改修" xr:uid="{31BE704A-F146-4FA1-8D89-6461AA3B677A}"/>
    <hyperlink ref="A352:A353" r:id="rId158" display="ＰＣＢ（ポリ塩化ビフェニル）廃棄物処理事業" xr:uid="{EF3998E1-6CC2-4F9B-8214-EE41092EECA1}"/>
    <hyperlink ref="A354:A355" r:id="rId159" display="コンピュータ機器借上等" xr:uid="{673190F5-6AFE-4521-AA52-C9C578C55626}"/>
    <hyperlink ref="A356:A357" r:id="rId160" display="校園ネットワーク業務システム等運用費" xr:uid="{CD8443EC-1C93-4E0A-911A-AC13327882CA}"/>
    <hyperlink ref="A358:A359" r:id="rId161" display="用地買収事業" xr:uid="{2B342727-43AE-4AA5-89D8-6F73542CD59F}"/>
    <hyperlink ref="A360:A361" r:id="rId162" display="システム標準化移行関係経費" xr:uid="{C56635FA-D38F-4AEC-942F-471BB68EA164}"/>
    <hyperlink ref="A362:A363" r:id="rId163" display="ひとにやさしいまちづくり整備事業" xr:uid="{B0D766D5-F988-4F01-B2E5-374EC4A6C4A9}"/>
    <hyperlink ref="A364:A365" r:id="rId164" display="図書館情報ネットワークシステム更新" xr:uid="{62FD9C38-5AEC-448E-A57B-94FCC0E59B6A}"/>
    <hyperlink ref="A366:A367" r:id="rId165" display="学校施設等におけるブロック塀の安全対策事業" xr:uid="{9C177615-D78F-408D-A86E-95E2FDB5C5B0}"/>
    <hyperlink ref="A368:A369" r:id="rId166" display="システムを活用した学校給食アレルギー対応の最適化事業" xr:uid="{991F7522-8F32-478B-B6ED-917BA7E1C5EB}"/>
    <hyperlink ref="A173" r:id="rId167" display="学校給食費の管理（給食費の無償化）" xr:uid="{B5E34212-9E8C-4897-B785-446331BFC149}"/>
    <hyperlink ref="A12:A13" r:id="rId168" display="就学対策費" xr:uid="{B14B00A3-988C-4E4C-90DD-CEA246DCE415}"/>
    <hyperlink ref="A344:A345" r:id="rId169" display="事業所整備事業等（学校教育）" xr:uid="{BF78D7D7-50B2-4E40-B009-289652F33198}"/>
    <hyperlink ref="A346:A347" r:id="rId170" display="事業所整備事業等（社会教育）" xr:uid="{089E6C34-CD03-4370-871B-AF0EAEECDA4D}"/>
    <hyperlink ref="A322:A323" r:id="rId171" display="児童生徒の急増に伴う教育環境改善" xr:uid="{86C6C091-959F-46DE-B359-FE723DA82F1E}"/>
    <hyperlink ref="A150:A151" r:id="rId172" display="田村教育振興基金積立金" xr:uid="{23AEDEB2-4DD8-4614-9929-3EB17B5926D1}"/>
  </hyperlinks>
  <pageMargins left="0.70866141732283472" right="0.70866141732283472" top="0.78740157480314965" bottom="0.59055118110236227" header="0.31496062992125984" footer="0.31496062992125984"/>
  <pageSetup paperSize="9" scale="94" fitToHeight="0" orientation="portrait" cellComments="asDisplayed" r:id="rId173"/>
  <ignoredErrors>
    <ignoredError sqref="A277:B277 A276:B276 A278:B278 A281:B281 A280:B280 A283:B283 A282:B282 A284:B291 A293:B293 A292:B292 A295:B295 A294:B294 A296:B299 A315:B315 A314:B314 A380:B380 A188:B193 A207:B207 A206:B206 A209:B209 A208:B208 A210:B225 A263:B263 A262:B262 A265:B265 A264:B264 A266:B275 A240:B249 B378 A99:B99 A98 E98:G98 A147:B147 A146 E146:G146 A93:B93 B90 A174:B177 A228:B233 A9:B9 F9:G9 E277:G277 E276:G276 E278:G278 E281:G281 E280:G280 E283:G283 E282:G282 E284:G291 E292:G293 E295:G295 E294:G294 E296:G299 E315:G315 E314:G314 E188:G193 E207:G207 E206:G206 E209:G209 E208:G208 E210:G225 E263:G263 E262:G262 E265:G265 E264:F264 E266:G275 D255:G255 D105:G105 E92:G93 E90:G90 E174:G179 E228:G233 A14:B23 B11 B25:B31 A59:B59 B48:B49 B50:B51 B52:B53 B55 B57 F8:G8 E10:G10 E11:G11 E46:G47 E99:G99 E48:G61 E122:G127 E147:G147 E144:G145 E152:G171 E240:G249 E279:G279 E326:G343 E91:G91 A91:B91 A101:B101 B100 E100:G100 E101:G101 A103:B103 B102 E102:G102 E103:G103 A105:B105 B104 E104:G104 A107:B107 D109:G109 E106:G106 E107:G107 A109:B109 E108:G108 E316:G325 A316:B325 B47 A326:B343 A255:B255 B254 E254:G254 A63:B63 E62:G81 A62 A65:B65 A64 A67:B67 A66:B66 A69:B69 A68:B68 A71:B71 A70:B70 A73:B73 A72:B72 A75:B75 A74:B74 A77:B77 A76:B76 A79:B79 A81:B81 A80:B80 A83:B83 A85:B85 A84:B84 A87:B87 A86:B86 A89:B89 A88:B88 A92:B92 A184:B187 E184:G187 A238:B239 E238:G239 A160:B171 A345 A279:B279 A123:B123 A122:B122 A125:B125 A124:B124 A127:B127 A126:B126 A129:B129 A128:B128 A131:B131 A130:B130 A133:B133 A135:B135 A134:B134 A136:B136 A145:B145 A144 A153:B153 A152:B152 A155:B155 A154:B154 A157:B157 A156:B156 A159:B159 A158:B158 A8 B33:B39 B41:B43 A61:B61 A60 A307:B307 A306 E308:G309 F307:G307 A355:B355 B354 A357:B357 B356 E352:G357 A352:B353 B82 B132 A347:B347 B346 A349:B351 A348 A361:B361 E311:G311 F310:G310 E14:G43 A137:B137 E82:G89 A94:B97 E94:G97 E128:G137 A300:B305 E300:G306 A180:B183 E180:G183 A194:B197 E194:G197 A234:B237 E234:G237 A250:B253 E250:G253 A379:B379 F379:G379 A358:B359 E358:G359 E360:G361 E344:G351 A309:B311 B308 B78 E12:G13 A12:B13 A179:B179 A17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2023-12-22T03:53:14Z</dcterms:created>
  <dcterms:modified xsi:type="dcterms:W3CDTF">2023-12-22T03:53:18Z</dcterms:modified>
</cp:coreProperties>
</file>