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charts/chart3.xml" ContentType="application/vnd.openxmlformats-officedocument.drawingml.chart+xml"/>
  <Override PartName="/xl/drawings/drawing9.xml" ContentType="application/vnd.openxmlformats-officedocument.drawingml.chartshapes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5.xml" ContentType="application/vnd.openxmlformats-officedocument.drawingml.chart+xml"/>
  <Override PartName="/xl/drawings/drawing14.xml" ContentType="application/vnd.openxmlformats-officedocument.drawingml.chartshapes+xml"/>
  <Override PartName="/xl/charts/chart6.xml" ContentType="application/vnd.openxmlformats-officedocument.drawingml.chart+xml"/>
  <Override PartName="/xl/drawings/drawing15.xml" ContentType="application/vnd.openxmlformats-officedocument.drawingml.chartshapes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980" yWindow="-90" windowWidth="10365" windowHeight="8745" tabRatio="851" activeTab="11"/>
  </bookViews>
  <sheets>
    <sheet name="1ページ（状況）" sheetId="1" r:id="rId1"/>
    <sheet name="2ページ（年次推移）" sheetId="2" r:id="rId2"/>
    <sheet name="3ページ（４５年との比較）" sheetId="3" r:id="rId3"/>
    <sheet name="4ページ（人口推移）" sheetId="4" r:id="rId4"/>
    <sheet name="5ページ(月別）" sheetId="5" r:id="rId5"/>
    <sheet name="★６ページ（行政区別）" sheetId="6" r:id="rId6"/>
    <sheet name="★７ページの最初の項目用" sheetId="7" r:id="rId7"/>
    <sheet name="★８ページ（幹線道路名）" sheetId="8" r:id="rId8"/>
    <sheet name="★９ページ（幹線道路別図）" sheetId="9" r:id="rId9"/>
    <sheet name="★10ページ（道路種別月率）" sheetId="10" r:id="rId10"/>
    <sheet name="★11ページ（時間別）" sheetId="11" r:id="rId11"/>
    <sheet name="★12ページ（時間道路別）" sheetId="12" r:id="rId12"/>
  </sheets>
  <definedNames>
    <definedName name="_xlnm.Print_Area" localSheetId="9">'★10ページ（道路種別月率）'!$A$1:$J$37</definedName>
    <definedName name="_xlnm.Print_Area" localSheetId="10">'★11ページ（時間別）'!$A$1:$L$46</definedName>
    <definedName name="_xlnm.Print_Area" localSheetId="11">'★12ページ（時間道路別）'!$A$1:$K$49</definedName>
    <definedName name="_xlnm.Print_Area" localSheetId="5">'★６ページ（行政区別）'!$A$1:$N$45</definedName>
    <definedName name="_xlnm.Print_Area" localSheetId="7">'★８ページ（幹線道路名）'!$A$1:$L$45</definedName>
    <definedName name="_xlnm.Print_Area" localSheetId="8">'★９ページ（幹線道路別図）'!$A$1:$BQ$81</definedName>
    <definedName name="_xlnm.Print_Area" localSheetId="1">'2ページ（年次推移）'!$A$1:$K$57</definedName>
    <definedName name="_xlnm.Print_Area" localSheetId="3">'4ページ（人口推移）'!$A$1:$M$55</definedName>
    <definedName name="_xlnm.Print_Area" localSheetId="4">'5ページ(月別）'!$A$1:$P$30</definedName>
  </definedNames>
  <calcPr calcId="162913" calcMode="manual"/>
</workbook>
</file>

<file path=xl/calcChain.xml><?xml version="1.0" encoding="utf-8"?>
<calcChain xmlns="http://schemas.openxmlformats.org/spreadsheetml/2006/main">
  <c r="M54" i="4" l="1"/>
  <c r="L54" i="4"/>
  <c r="I54" i="4"/>
  <c r="H54" i="4"/>
  <c r="E54" i="4"/>
  <c r="D54" i="4"/>
  <c r="BU25" i="9" l="1"/>
  <c r="BU24" i="9"/>
  <c r="BU23" i="9"/>
  <c r="BU22" i="9"/>
  <c r="BU21" i="9"/>
  <c r="BU20" i="9"/>
  <c r="BU19" i="9"/>
  <c r="BU18" i="9"/>
  <c r="BU16" i="9"/>
  <c r="BU17" i="9"/>
  <c r="BU15" i="9"/>
  <c r="BU14" i="9"/>
  <c r="BU13" i="9"/>
  <c r="BU12" i="9"/>
  <c r="BU11" i="9"/>
  <c r="BU10" i="9"/>
  <c r="D15" i="5" l="1"/>
  <c r="E15" i="5"/>
  <c r="F15" i="5"/>
  <c r="G15" i="5"/>
  <c r="H15" i="5"/>
  <c r="I15" i="5"/>
  <c r="J15" i="5"/>
  <c r="K15" i="5"/>
  <c r="L15" i="5"/>
  <c r="M15" i="5"/>
  <c r="N15" i="5"/>
  <c r="O15" i="5"/>
  <c r="D16" i="5"/>
  <c r="E16" i="5"/>
  <c r="F16" i="5"/>
  <c r="G16" i="5"/>
  <c r="H16" i="5"/>
  <c r="I16" i="5"/>
  <c r="J16" i="5"/>
  <c r="K16" i="5"/>
  <c r="L16" i="5"/>
  <c r="M16" i="5"/>
  <c r="N16" i="5"/>
  <c r="O16" i="5"/>
  <c r="D17" i="5"/>
  <c r="E17" i="5"/>
  <c r="F17" i="5"/>
  <c r="G17" i="5"/>
  <c r="H17" i="5"/>
  <c r="I17" i="5"/>
  <c r="J17" i="5"/>
  <c r="K17" i="5"/>
  <c r="L17" i="5"/>
  <c r="M17" i="5"/>
  <c r="N17" i="5"/>
  <c r="O17" i="5"/>
  <c r="D18" i="5"/>
  <c r="E18" i="5"/>
  <c r="F18" i="5"/>
  <c r="G18" i="5"/>
  <c r="H18" i="5"/>
  <c r="I18" i="5"/>
  <c r="J18" i="5"/>
  <c r="K18" i="5"/>
  <c r="L18" i="5"/>
  <c r="M18" i="5"/>
  <c r="N18" i="5"/>
  <c r="O18" i="5"/>
  <c r="D19" i="5"/>
  <c r="E19" i="5"/>
  <c r="F19" i="5"/>
  <c r="G19" i="5"/>
  <c r="H19" i="5"/>
  <c r="I19" i="5"/>
  <c r="J19" i="5"/>
  <c r="K19" i="5"/>
  <c r="L19" i="5"/>
  <c r="M19" i="5"/>
  <c r="N19" i="5"/>
  <c r="O19" i="5"/>
  <c r="D20" i="5"/>
  <c r="E20" i="5"/>
  <c r="F20" i="5"/>
  <c r="G20" i="5"/>
  <c r="H20" i="5"/>
  <c r="I20" i="5"/>
  <c r="J20" i="5"/>
  <c r="K20" i="5"/>
  <c r="L20" i="5"/>
  <c r="M20" i="5"/>
  <c r="N20" i="5"/>
  <c r="O20" i="5"/>
  <c r="D21" i="5"/>
  <c r="E21" i="5"/>
  <c r="F21" i="5"/>
  <c r="G21" i="5"/>
  <c r="H21" i="5"/>
  <c r="I21" i="5"/>
  <c r="J21" i="5"/>
  <c r="K21" i="5"/>
  <c r="L21" i="5"/>
  <c r="M21" i="5"/>
  <c r="N21" i="5"/>
  <c r="O21" i="5"/>
  <c r="M53" i="4" l="1"/>
  <c r="L53" i="4"/>
  <c r="K53" i="4"/>
  <c r="I53" i="4"/>
  <c r="H53" i="4"/>
  <c r="G53" i="4"/>
  <c r="E53" i="4"/>
  <c r="D53" i="4"/>
  <c r="C53" i="4"/>
  <c r="K54" i="4"/>
  <c r="D52" i="4"/>
  <c r="C54" i="4"/>
  <c r="G54" i="4"/>
  <c r="P14" i="5"/>
  <c r="P26" i="5"/>
  <c r="P28" i="5"/>
  <c r="P27" i="5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E11" i="11"/>
  <c r="D25" i="10"/>
  <c r="E25" i="10"/>
  <c r="F25" i="10"/>
  <c r="G25" i="10"/>
  <c r="H25" i="10"/>
  <c r="D29" i="10"/>
  <c r="E29" i="10"/>
  <c r="F29" i="10"/>
  <c r="G29" i="10"/>
  <c r="H29" i="10"/>
  <c r="D33" i="10"/>
  <c r="E33" i="10"/>
  <c r="F33" i="10"/>
  <c r="G33" i="10"/>
  <c r="H33" i="10"/>
  <c r="G11" i="7"/>
  <c r="E11" i="7"/>
  <c r="C11" i="7"/>
  <c r="I9" i="1"/>
  <c r="M52" i="4"/>
  <c r="L52" i="4"/>
  <c r="K52" i="4"/>
  <c r="K48" i="4"/>
  <c r="K47" i="4"/>
  <c r="K46" i="4"/>
  <c r="K51" i="4"/>
  <c r="I52" i="4"/>
  <c r="H52" i="4"/>
  <c r="G52" i="4"/>
  <c r="E52" i="4"/>
  <c r="D50" i="4"/>
  <c r="D49" i="4"/>
  <c r="D48" i="4"/>
  <c r="D47" i="4"/>
  <c r="D46" i="4"/>
  <c r="E29" i="12"/>
  <c r="D6" i="11"/>
  <c r="D29" i="12"/>
  <c r="C6" i="11"/>
  <c r="E6" i="11" s="1"/>
  <c r="B16" i="10"/>
  <c r="J22" i="10"/>
  <c r="C16" i="10"/>
  <c r="J23" i="10"/>
  <c r="J45" i="8"/>
  <c r="B11" i="7"/>
  <c r="M13" i="6"/>
  <c r="C11" i="3"/>
  <c r="H11" i="3" s="1"/>
  <c r="C9" i="3"/>
  <c r="H9" i="3" s="1"/>
  <c r="C7" i="3"/>
  <c r="J7" i="3" s="1"/>
  <c r="C4" i="3"/>
  <c r="J4" i="3" s="1"/>
  <c r="C52" i="4"/>
  <c r="C51" i="4"/>
  <c r="C50" i="4"/>
  <c r="C49" i="4"/>
  <c r="C48" i="4"/>
  <c r="C47" i="4"/>
  <c r="C46" i="4"/>
  <c r="C44" i="4"/>
  <c r="C43" i="4"/>
  <c r="H11" i="11"/>
  <c r="K11" i="11"/>
  <c r="H9" i="11"/>
  <c r="K9" i="11"/>
  <c r="E9" i="11"/>
  <c r="E51" i="4"/>
  <c r="D51" i="4"/>
  <c r="I51" i="4"/>
  <c r="H51" i="4"/>
  <c r="M51" i="4"/>
  <c r="L51" i="4"/>
  <c r="P21" i="5"/>
  <c r="P19" i="5"/>
  <c r="P18" i="5"/>
  <c r="P17" i="5"/>
  <c r="P16" i="5"/>
  <c r="P15" i="5"/>
  <c r="H7" i="11"/>
  <c r="E7" i="11"/>
  <c r="K7" i="11" s="1"/>
  <c r="D31" i="12"/>
  <c r="E31" i="12"/>
  <c r="E30" i="12" s="1"/>
  <c r="G6" i="11" s="1"/>
  <c r="J6" i="11" s="1"/>
  <c r="D11" i="7"/>
  <c r="G51" i="4"/>
  <c r="K9" i="4"/>
  <c r="M50" i="4"/>
  <c r="L50" i="4"/>
  <c r="I50" i="4"/>
  <c r="H50" i="4"/>
  <c r="E50" i="4"/>
  <c r="K50" i="4"/>
  <c r="G50" i="4"/>
  <c r="G6" i="1"/>
  <c r="I6" i="1"/>
  <c r="G7" i="1"/>
  <c r="I7" i="1"/>
  <c r="G8" i="1"/>
  <c r="G9" i="1"/>
  <c r="G10" i="1"/>
  <c r="I10" i="1"/>
  <c r="G11" i="1"/>
  <c r="I11" i="1"/>
  <c r="G12" i="1"/>
  <c r="I12" i="1"/>
  <c r="G13" i="1"/>
  <c r="I13" i="1"/>
  <c r="G14" i="1"/>
  <c r="I14" i="1"/>
  <c r="G15" i="1"/>
  <c r="I15" i="1"/>
  <c r="G16" i="1"/>
  <c r="I16" i="1"/>
  <c r="G17" i="1"/>
  <c r="I17" i="1"/>
  <c r="G18" i="1"/>
  <c r="I18" i="1"/>
  <c r="G19" i="1"/>
  <c r="I19" i="1"/>
  <c r="G20" i="1"/>
  <c r="I20" i="1"/>
  <c r="G21" i="1"/>
  <c r="I21" i="1"/>
  <c r="G22" i="1"/>
  <c r="I22" i="1"/>
  <c r="I28" i="1"/>
  <c r="J28" i="1"/>
  <c r="K28" i="1"/>
  <c r="I29" i="1"/>
  <c r="J29" i="1"/>
  <c r="K29" i="1"/>
  <c r="I30" i="1"/>
  <c r="I31" i="1"/>
  <c r="I32" i="1"/>
  <c r="I33" i="1"/>
  <c r="I34" i="1"/>
  <c r="I35" i="1"/>
  <c r="I36" i="1"/>
  <c r="I37" i="1"/>
  <c r="I38" i="1"/>
  <c r="I39" i="1"/>
  <c r="I40" i="1"/>
  <c r="I41" i="1"/>
  <c r="C5" i="3"/>
  <c r="J5" i="3" s="1"/>
  <c r="H5" i="3"/>
  <c r="C6" i="3"/>
  <c r="J6" i="3"/>
  <c r="C8" i="3"/>
  <c r="J8" i="3" s="1"/>
  <c r="H8" i="3"/>
  <c r="C10" i="3"/>
  <c r="J10" i="3"/>
  <c r="C12" i="3"/>
  <c r="H12" i="3" s="1"/>
  <c r="J12" i="3"/>
  <c r="D6" i="4"/>
  <c r="E6" i="4"/>
  <c r="H6" i="4"/>
  <c r="I6" i="4"/>
  <c r="L6" i="4"/>
  <c r="M6" i="4"/>
  <c r="C7" i="4"/>
  <c r="D7" i="4"/>
  <c r="E7" i="4"/>
  <c r="G7" i="4"/>
  <c r="H7" i="4"/>
  <c r="I7" i="4"/>
  <c r="K7" i="4"/>
  <c r="L7" i="4"/>
  <c r="M7" i="4"/>
  <c r="C8" i="4"/>
  <c r="D8" i="4"/>
  <c r="E8" i="4"/>
  <c r="G8" i="4"/>
  <c r="H8" i="4"/>
  <c r="I8" i="4"/>
  <c r="K8" i="4"/>
  <c r="L8" i="4"/>
  <c r="M8" i="4"/>
  <c r="C9" i="4"/>
  <c r="D9" i="4"/>
  <c r="E9" i="4"/>
  <c r="G9" i="4"/>
  <c r="H9" i="4"/>
  <c r="I9" i="4"/>
  <c r="L9" i="4"/>
  <c r="M9" i="4"/>
  <c r="C10" i="4"/>
  <c r="D10" i="4"/>
  <c r="E10" i="4"/>
  <c r="G10" i="4"/>
  <c r="H10" i="4"/>
  <c r="I10" i="4"/>
  <c r="K10" i="4"/>
  <c r="L10" i="4"/>
  <c r="M10" i="4"/>
  <c r="C11" i="4"/>
  <c r="D11" i="4"/>
  <c r="E11" i="4"/>
  <c r="G11" i="4"/>
  <c r="H11" i="4"/>
  <c r="I11" i="4"/>
  <c r="K11" i="4"/>
  <c r="L11" i="4"/>
  <c r="M11" i="4"/>
  <c r="C12" i="4"/>
  <c r="D12" i="4"/>
  <c r="E12" i="4"/>
  <c r="G12" i="4"/>
  <c r="H12" i="4"/>
  <c r="I12" i="4"/>
  <c r="K12" i="4"/>
  <c r="L12" i="4"/>
  <c r="M12" i="4"/>
  <c r="C13" i="4"/>
  <c r="D13" i="4"/>
  <c r="E13" i="4"/>
  <c r="G13" i="4"/>
  <c r="H13" i="4"/>
  <c r="I13" i="4"/>
  <c r="K13" i="4"/>
  <c r="L13" i="4"/>
  <c r="M13" i="4"/>
  <c r="C14" i="4"/>
  <c r="D14" i="4"/>
  <c r="E14" i="4"/>
  <c r="G14" i="4"/>
  <c r="H14" i="4"/>
  <c r="I14" i="4"/>
  <c r="K14" i="4"/>
  <c r="L14" i="4"/>
  <c r="M14" i="4"/>
  <c r="C15" i="4"/>
  <c r="D15" i="4"/>
  <c r="E15" i="4"/>
  <c r="G15" i="4"/>
  <c r="H15" i="4"/>
  <c r="I15" i="4"/>
  <c r="K15" i="4"/>
  <c r="L15" i="4"/>
  <c r="M15" i="4"/>
  <c r="C16" i="4"/>
  <c r="D16" i="4"/>
  <c r="E16" i="4"/>
  <c r="G16" i="4"/>
  <c r="H16" i="4"/>
  <c r="I16" i="4"/>
  <c r="K16" i="4"/>
  <c r="L16" i="4"/>
  <c r="M16" i="4"/>
  <c r="C17" i="4"/>
  <c r="D17" i="4"/>
  <c r="E17" i="4"/>
  <c r="G17" i="4"/>
  <c r="H17" i="4"/>
  <c r="I17" i="4"/>
  <c r="K17" i="4"/>
  <c r="L17" i="4"/>
  <c r="M17" i="4"/>
  <c r="C18" i="4"/>
  <c r="D18" i="4"/>
  <c r="E18" i="4"/>
  <c r="G18" i="4"/>
  <c r="H18" i="4"/>
  <c r="I18" i="4"/>
  <c r="K18" i="4"/>
  <c r="L18" i="4"/>
  <c r="M18" i="4"/>
  <c r="C19" i="4"/>
  <c r="E19" i="4"/>
  <c r="G19" i="4"/>
  <c r="I19" i="4"/>
  <c r="K19" i="4"/>
  <c r="M19" i="4"/>
  <c r="C20" i="4"/>
  <c r="D20" i="4"/>
  <c r="E20" i="4"/>
  <c r="G20" i="4"/>
  <c r="H20" i="4"/>
  <c r="I20" i="4"/>
  <c r="K20" i="4"/>
  <c r="L20" i="4"/>
  <c r="M20" i="4"/>
  <c r="C21" i="4"/>
  <c r="D21" i="4"/>
  <c r="E21" i="4"/>
  <c r="G21" i="4"/>
  <c r="H21" i="4"/>
  <c r="I21" i="4"/>
  <c r="K21" i="4"/>
  <c r="L21" i="4"/>
  <c r="M21" i="4"/>
  <c r="C22" i="4"/>
  <c r="D22" i="4"/>
  <c r="E22" i="4"/>
  <c r="G22" i="4"/>
  <c r="H22" i="4"/>
  <c r="I22" i="4"/>
  <c r="K22" i="4"/>
  <c r="L22" i="4"/>
  <c r="M22" i="4"/>
  <c r="C23" i="4"/>
  <c r="D23" i="4"/>
  <c r="E23" i="4"/>
  <c r="G23" i="4"/>
  <c r="H23" i="4"/>
  <c r="I23" i="4"/>
  <c r="K23" i="4"/>
  <c r="L23" i="4"/>
  <c r="M23" i="4"/>
  <c r="C24" i="4"/>
  <c r="D24" i="4"/>
  <c r="E24" i="4"/>
  <c r="G24" i="4"/>
  <c r="H24" i="4"/>
  <c r="I24" i="4"/>
  <c r="K24" i="4"/>
  <c r="L24" i="4"/>
  <c r="M24" i="4"/>
  <c r="C25" i="4"/>
  <c r="D25" i="4"/>
  <c r="E25" i="4"/>
  <c r="G25" i="4"/>
  <c r="H25" i="4"/>
  <c r="I25" i="4"/>
  <c r="K25" i="4"/>
  <c r="L25" i="4"/>
  <c r="M25" i="4"/>
  <c r="C26" i="4"/>
  <c r="D26" i="4"/>
  <c r="E26" i="4"/>
  <c r="G26" i="4"/>
  <c r="H26" i="4"/>
  <c r="I26" i="4"/>
  <c r="K26" i="4"/>
  <c r="L26" i="4"/>
  <c r="M26" i="4"/>
  <c r="C27" i="4"/>
  <c r="D27" i="4"/>
  <c r="E27" i="4"/>
  <c r="G27" i="4"/>
  <c r="H27" i="4"/>
  <c r="I27" i="4"/>
  <c r="K27" i="4"/>
  <c r="L27" i="4"/>
  <c r="M27" i="4"/>
  <c r="C28" i="4"/>
  <c r="D28" i="4"/>
  <c r="E28" i="4"/>
  <c r="G28" i="4"/>
  <c r="H28" i="4"/>
  <c r="I28" i="4"/>
  <c r="K28" i="4"/>
  <c r="L28" i="4"/>
  <c r="M28" i="4"/>
  <c r="C29" i="4"/>
  <c r="D29" i="4"/>
  <c r="E29" i="4"/>
  <c r="G29" i="4"/>
  <c r="H29" i="4"/>
  <c r="I29" i="4"/>
  <c r="K29" i="4"/>
  <c r="L29" i="4"/>
  <c r="M29" i="4"/>
  <c r="C30" i="4"/>
  <c r="D30" i="4"/>
  <c r="E30" i="4"/>
  <c r="G30" i="4"/>
  <c r="H30" i="4"/>
  <c r="I30" i="4"/>
  <c r="K30" i="4"/>
  <c r="L30" i="4"/>
  <c r="M30" i="4"/>
  <c r="C31" i="4"/>
  <c r="D31" i="4"/>
  <c r="E31" i="4"/>
  <c r="G31" i="4"/>
  <c r="H31" i="4"/>
  <c r="I31" i="4"/>
  <c r="K31" i="4"/>
  <c r="L31" i="4"/>
  <c r="M31" i="4"/>
  <c r="C32" i="4"/>
  <c r="D32" i="4"/>
  <c r="E32" i="4"/>
  <c r="G32" i="4"/>
  <c r="H32" i="4"/>
  <c r="I32" i="4"/>
  <c r="K32" i="4"/>
  <c r="L32" i="4"/>
  <c r="M32" i="4"/>
  <c r="C33" i="4"/>
  <c r="D33" i="4"/>
  <c r="E33" i="4"/>
  <c r="G33" i="4"/>
  <c r="H33" i="4"/>
  <c r="I33" i="4"/>
  <c r="K33" i="4"/>
  <c r="L33" i="4"/>
  <c r="M33" i="4"/>
  <c r="C34" i="4"/>
  <c r="D34" i="4"/>
  <c r="E34" i="4"/>
  <c r="G34" i="4"/>
  <c r="H34" i="4"/>
  <c r="I34" i="4"/>
  <c r="K34" i="4"/>
  <c r="L34" i="4"/>
  <c r="M34" i="4"/>
  <c r="C35" i="4"/>
  <c r="D35" i="4"/>
  <c r="E35" i="4"/>
  <c r="G35" i="4"/>
  <c r="H35" i="4"/>
  <c r="I35" i="4"/>
  <c r="K35" i="4"/>
  <c r="L35" i="4"/>
  <c r="M35" i="4"/>
  <c r="C36" i="4"/>
  <c r="D36" i="4"/>
  <c r="E36" i="4"/>
  <c r="G36" i="4"/>
  <c r="H36" i="4"/>
  <c r="I36" i="4"/>
  <c r="K36" i="4"/>
  <c r="L36" i="4"/>
  <c r="M36" i="4"/>
  <c r="C37" i="4"/>
  <c r="D37" i="4"/>
  <c r="E37" i="4"/>
  <c r="G37" i="4"/>
  <c r="H37" i="4"/>
  <c r="I37" i="4"/>
  <c r="K37" i="4"/>
  <c r="L37" i="4"/>
  <c r="M37" i="4"/>
  <c r="C38" i="4"/>
  <c r="D38" i="4"/>
  <c r="E38" i="4"/>
  <c r="G38" i="4"/>
  <c r="H38" i="4"/>
  <c r="I38" i="4"/>
  <c r="K38" i="4"/>
  <c r="L38" i="4"/>
  <c r="M38" i="4"/>
  <c r="C39" i="4"/>
  <c r="D39" i="4"/>
  <c r="E39" i="4"/>
  <c r="G39" i="4"/>
  <c r="H39" i="4"/>
  <c r="I39" i="4"/>
  <c r="K39" i="4"/>
  <c r="L39" i="4"/>
  <c r="M39" i="4"/>
  <c r="C40" i="4"/>
  <c r="D40" i="4"/>
  <c r="E40" i="4"/>
  <c r="G40" i="4"/>
  <c r="H40" i="4"/>
  <c r="I40" i="4"/>
  <c r="K40" i="4"/>
  <c r="L40" i="4"/>
  <c r="M40" i="4"/>
  <c r="C41" i="4"/>
  <c r="D41" i="4"/>
  <c r="E41" i="4"/>
  <c r="G41" i="4"/>
  <c r="H41" i="4"/>
  <c r="I41" i="4"/>
  <c r="K41" i="4"/>
  <c r="L41" i="4"/>
  <c r="M41" i="4"/>
  <c r="C42" i="4"/>
  <c r="D42" i="4"/>
  <c r="E42" i="4"/>
  <c r="G42" i="4"/>
  <c r="H42" i="4"/>
  <c r="I42" i="4"/>
  <c r="K42" i="4"/>
  <c r="L42" i="4"/>
  <c r="M42" i="4"/>
  <c r="D43" i="4"/>
  <c r="E43" i="4"/>
  <c r="G43" i="4"/>
  <c r="H43" i="4"/>
  <c r="I43" i="4"/>
  <c r="K43" i="4"/>
  <c r="L43" i="4"/>
  <c r="M43" i="4"/>
  <c r="D44" i="4"/>
  <c r="E44" i="4"/>
  <c r="H44" i="4"/>
  <c r="I44" i="4"/>
  <c r="K44" i="4"/>
  <c r="C45" i="4"/>
  <c r="D45" i="4"/>
  <c r="E45" i="4"/>
  <c r="H45" i="4"/>
  <c r="I45" i="4"/>
  <c r="K45" i="4"/>
  <c r="G49" i="4"/>
  <c r="H49" i="4"/>
  <c r="K49" i="4"/>
  <c r="L49" i="4"/>
  <c r="M49" i="4"/>
  <c r="P8" i="5"/>
  <c r="P9" i="5"/>
  <c r="P10" i="5"/>
  <c r="P11" i="5"/>
  <c r="P12" i="5"/>
  <c r="P13" i="5"/>
  <c r="P22" i="5"/>
  <c r="P23" i="5"/>
  <c r="P24" i="5"/>
  <c r="P25" i="5"/>
  <c r="Q6" i="6"/>
  <c r="R6" i="6"/>
  <c r="S6" i="6"/>
  <c r="T6" i="6"/>
  <c r="Q7" i="6"/>
  <c r="R7" i="6"/>
  <c r="S7" i="6"/>
  <c r="T7" i="6"/>
  <c r="Q8" i="6"/>
  <c r="R8" i="6"/>
  <c r="S8" i="6"/>
  <c r="T8" i="6"/>
  <c r="Q9" i="6"/>
  <c r="R9" i="6"/>
  <c r="S9" i="6"/>
  <c r="T9" i="6"/>
  <c r="Q10" i="6"/>
  <c r="R10" i="6"/>
  <c r="S10" i="6"/>
  <c r="T10" i="6"/>
  <c r="Q11" i="6"/>
  <c r="R11" i="6"/>
  <c r="S11" i="6"/>
  <c r="T11" i="6"/>
  <c r="Q12" i="6"/>
  <c r="R12" i="6"/>
  <c r="S12" i="6"/>
  <c r="T12" i="6"/>
  <c r="Q13" i="6"/>
  <c r="R13" i="6"/>
  <c r="S13" i="6"/>
  <c r="T13" i="6"/>
  <c r="M14" i="6"/>
  <c r="Q14" i="6"/>
  <c r="Q30" i="6"/>
  <c r="R14" i="6"/>
  <c r="S14" i="6"/>
  <c r="T14" i="6"/>
  <c r="M15" i="6"/>
  <c r="Q15" i="6"/>
  <c r="R15" i="6"/>
  <c r="S15" i="6"/>
  <c r="T15" i="6"/>
  <c r="M16" i="6"/>
  <c r="Q16" i="6"/>
  <c r="R16" i="6"/>
  <c r="S16" i="6"/>
  <c r="T16" i="6"/>
  <c r="Q17" i="6"/>
  <c r="R17" i="6"/>
  <c r="S17" i="6"/>
  <c r="T17" i="6"/>
  <c r="Q18" i="6"/>
  <c r="R18" i="6"/>
  <c r="S18" i="6"/>
  <c r="T18" i="6"/>
  <c r="Q19" i="6"/>
  <c r="R19" i="6"/>
  <c r="S19" i="6"/>
  <c r="T19" i="6"/>
  <c r="Q20" i="6"/>
  <c r="R20" i="6"/>
  <c r="S20" i="6"/>
  <c r="T20" i="6"/>
  <c r="Q21" i="6"/>
  <c r="R21" i="6"/>
  <c r="S21" i="6"/>
  <c r="T21" i="6"/>
  <c r="Q22" i="6"/>
  <c r="R22" i="6"/>
  <c r="S22" i="6"/>
  <c r="T22" i="6"/>
  <c r="Q23" i="6"/>
  <c r="R23" i="6"/>
  <c r="S23" i="6"/>
  <c r="T23" i="6"/>
  <c r="Q24" i="6"/>
  <c r="R24" i="6"/>
  <c r="S24" i="6"/>
  <c r="T24" i="6"/>
  <c r="Q25" i="6"/>
  <c r="R25" i="6"/>
  <c r="S25" i="6"/>
  <c r="T25" i="6"/>
  <c r="Q26" i="6"/>
  <c r="R26" i="6"/>
  <c r="S26" i="6"/>
  <c r="T26" i="6"/>
  <c r="Q27" i="6"/>
  <c r="R27" i="6"/>
  <c r="S27" i="6"/>
  <c r="T27" i="6"/>
  <c r="Q28" i="6"/>
  <c r="R28" i="6"/>
  <c r="S28" i="6"/>
  <c r="T28" i="6"/>
  <c r="Q29" i="6"/>
  <c r="R29" i="6"/>
  <c r="S29" i="6"/>
  <c r="T29" i="6"/>
  <c r="F11" i="7"/>
  <c r="D4" i="10"/>
  <c r="G4" i="10"/>
  <c r="J4" i="10"/>
  <c r="D5" i="10"/>
  <c r="G5" i="10"/>
  <c r="J5" i="10"/>
  <c r="D6" i="10"/>
  <c r="G6" i="10"/>
  <c r="J6" i="10"/>
  <c r="D7" i="10"/>
  <c r="G7" i="10"/>
  <c r="J7" i="10"/>
  <c r="D8" i="10"/>
  <c r="G8" i="10"/>
  <c r="J8" i="10"/>
  <c r="D9" i="10"/>
  <c r="G9" i="10"/>
  <c r="J9" i="10"/>
  <c r="D10" i="10"/>
  <c r="G10" i="10"/>
  <c r="J10" i="10"/>
  <c r="D11" i="10"/>
  <c r="G11" i="10"/>
  <c r="J11" i="10"/>
  <c r="D12" i="10"/>
  <c r="G12" i="10"/>
  <c r="J12" i="10"/>
  <c r="D13" i="10"/>
  <c r="G13" i="10"/>
  <c r="J13" i="10"/>
  <c r="D14" i="10"/>
  <c r="G14" i="10"/>
  <c r="J14" i="10"/>
  <c r="D15" i="10"/>
  <c r="G15" i="10"/>
  <c r="J15" i="10"/>
  <c r="E16" i="10"/>
  <c r="J26" i="10" s="1"/>
  <c r="F16" i="10"/>
  <c r="J27" i="10" s="1"/>
  <c r="H16" i="10"/>
  <c r="J30" i="10" s="1"/>
  <c r="I16" i="10"/>
  <c r="J31" i="10" s="1"/>
  <c r="C24" i="10"/>
  <c r="C25" i="10"/>
  <c r="I25" i="10"/>
  <c r="C28" i="10"/>
  <c r="C29" i="10" s="1"/>
  <c r="I29" i="10"/>
  <c r="C32" i="10"/>
  <c r="C33" i="10"/>
  <c r="I33" i="10"/>
  <c r="C5" i="12"/>
  <c r="F5" i="12"/>
  <c r="I5" i="12"/>
  <c r="C6" i="12"/>
  <c r="F6" i="12"/>
  <c r="I6" i="12"/>
  <c r="C7" i="12"/>
  <c r="F7" i="12"/>
  <c r="I7" i="12"/>
  <c r="C8" i="12"/>
  <c r="F8" i="12"/>
  <c r="I8" i="12"/>
  <c r="C9" i="12"/>
  <c r="F9" i="12"/>
  <c r="I9" i="12"/>
  <c r="C10" i="12"/>
  <c r="F10" i="12"/>
  <c r="I10" i="12"/>
  <c r="C11" i="12"/>
  <c r="F11" i="12"/>
  <c r="I11" i="12"/>
  <c r="C12" i="12"/>
  <c r="F12" i="12"/>
  <c r="I12" i="12"/>
  <c r="C13" i="12"/>
  <c r="F13" i="12"/>
  <c r="I13" i="12"/>
  <c r="C14" i="12"/>
  <c r="F14" i="12"/>
  <c r="I14" i="12"/>
  <c r="C15" i="12"/>
  <c r="F15" i="12"/>
  <c r="I15" i="12"/>
  <c r="C16" i="12"/>
  <c r="F16" i="12"/>
  <c r="I16" i="12"/>
  <c r="C17" i="12"/>
  <c r="F17" i="12"/>
  <c r="I17" i="12"/>
  <c r="C18" i="12"/>
  <c r="F18" i="12"/>
  <c r="I18" i="12"/>
  <c r="C19" i="12"/>
  <c r="F19" i="12"/>
  <c r="I19" i="12"/>
  <c r="C20" i="12"/>
  <c r="F20" i="12"/>
  <c r="I20" i="12"/>
  <c r="C21" i="12"/>
  <c r="F21" i="12"/>
  <c r="I21" i="12"/>
  <c r="C22" i="12"/>
  <c r="F22" i="12"/>
  <c r="I22" i="12"/>
  <c r="C23" i="12"/>
  <c r="F23" i="12"/>
  <c r="I23" i="12"/>
  <c r="C24" i="12"/>
  <c r="F24" i="12"/>
  <c r="I24" i="12"/>
  <c r="C25" i="12"/>
  <c r="F25" i="12"/>
  <c r="I25" i="12"/>
  <c r="C26" i="12"/>
  <c r="F26" i="12"/>
  <c r="I26" i="12"/>
  <c r="C27" i="12"/>
  <c r="F27" i="12"/>
  <c r="I27" i="12"/>
  <c r="C28" i="12"/>
  <c r="F28" i="12"/>
  <c r="I28" i="12"/>
  <c r="G29" i="12"/>
  <c r="C8" i="11" s="1"/>
  <c r="H29" i="12"/>
  <c r="D8" i="11" s="1"/>
  <c r="J29" i="12"/>
  <c r="J30" i="12" s="1"/>
  <c r="F10" i="11" s="1"/>
  <c r="K29" i="12"/>
  <c r="D10" i="11" s="1"/>
  <c r="G31" i="12"/>
  <c r="G30" i="12" s="1"/>
  <c r="F8" i="11" s="1"/>
  <c r="H8" i="11" s="1"/>
  <c r="H31" i="12"/>
  <c r="H30" i="12"/>
  <c r="G8" i="11" s="1"/>
  <c r="J31" i="12"/>
  <c r="K31" i="12"/>
  <c r="K30" i="12" s="1"/>
  <c r="G10" i="11" s="1"/>
  <c r="K45" i="8"/>
  <c r="L45" i="8"/>
  <c r="H7" i="3"/>
  <c r="P20" i="5"/>
  <c r="J9" i="3"/>
  <c r="H4" i="3"/>
  <c r="H6" i="3"/>
  <c r="H10" i="3"/>
  <c r="J11" i="3"/>
  <c r="J10" i="11" l="1"/>
  <c r="C29" i="12"/>
  <c r="I29" i="12"/>
  <c r="I30" i="12" s="1"/>
  <c r="F31" i="12"/>
  <c r="F30" i="12" s="1"/>
  <c r="I31" i="12"/>
  <c r="C31" i="12"/>
  <c r="C30" i="12" s="1"/>
  <c r="C10" i="11"/>
  <c r="E10" i="11" s="1"/>
  <c r="K10" i="11" s="1"/>
  <c r="J16" i="10"/>
  <c r="J32" i="10" s="1"/>
  <c r="D30" i="12"/>
  <c r="F6" i="11" s="1"/>
  <c r="I6" i="11"/>
  <c r="F29" i="12"/>
  <c r="G16" i="10"/>
  <c r="J28" i="10" s="1"/>
  <c r="J29" i="10" s="1"/>
  <c r="D16" i="10"/>
  <c r="J24" i="10" s="1"/>
  <c r="J25" i="10" s="1"/>
  <c r="R30" i="6"/>
  <c r="I10" i="11"/>
  <c r="H10" i="11"/>
  <c r="E8" i="11"/>
  <c r="K8" i="11" s="1"/>
  <c r="I8" i="11"/>
  <c r="J8" i="11"/>
  <c r="H6" i="11"/>
  <c r="K6" i="11" s="1"/>
  <c r="J33" i="10"/>
  <c r="S30" i="6"/>
  <c r="T30" i="6"/>
</calcChain>
</file>

<file path=xl/sharedStrings.xml><?xml version="1.0" encoding="utf-8"?>
<sst xmlns="http://schemas.openxmlformats.org/spreadsheetml/2006/main" count="485" uniqueCount="300">
  <si>
    <t>福島桜島線</t>
    <rPh sb="0" eb="2">
      <t>フクシマ</t>
    </rPh>
    <rPh sb="2" eb="4">
      <t>サクラジマ</t>
    </rPh>
    <rPh sb="4" eb="5">
      <t>セン</t>
    </rPh>
    <phoneticPr fontId="37"/>
  </si>
  <si>
    <t>津守阿倍野杭全線</t>
    <rPh sb="0" eb="2">
      <t>ツモリ</t>
    </rPh>
    <rPh sb="2" eb="5">
      <t>アベノ</t>
    </rPh>
    <rPh sb="5" eb="7">
      <t>クマタ</t>
    </rPh>
    <rPh sb="7" eb="8">
      <t>セン</t>
    </rPh>
    <phoneticPr fontId="37"/>
  </si>
  <si>
    <t>府</t>
    <rPh sb="0" eb="1">
      <t>フ</t>
    </rPh>
    <phoneticPr fontId="37"/>
  </si>
  <si>
    <t>夜</t>
    <rPh sb="0" eb="1">
      <t>ヨル</t>
    </rPh>
    <phoneticPr fontId="37"/>
  </si>
  <si>
    <t>(注１)高速道路等を除く。</t>
    <rPh sb="1" eb="2">
      <t>チュウ</t>
    </rPh>
    <rPh sb="4" eb="6">
      <t>コウソク</t>
    </rPh>
    <rPh sb="6" eb="8">
      <t>ドウロ</t>
    </rPh>
    <rPh sb="8" eb="9">
      <t>トウ</t>
    </rPh>
    <rPh sb="10" eb="11">
      <t>ノゾ</t>
    </rPh>
    <phoneticPr fontId="37"/>
  </si>
  <si>
    <t>負　　傷　　者　　数</t>
    <rPh sb="0" eb="1">
      <t>フ</t>
    </rPh>
    <rPh sb="3" eb="4">
      <t>キズ</t>
    </rPh>
    <rPh sb="6" eb="7">
      <t>シャ</t>
    </rPh>
    <rPh sb="9" eb="10">
      <t>スウ</t>
    </rPh>
    <phoneticPr fontId="37"/>
  </si>
  <si>
    <t>大阪八尾線</t>
    <rPh sb="0" eb="2">
      <t>オオサカ</t>
    </rPh>
    <rPh sb="2" eb="4">
      <t>ヤオ</t>
    </rPh>
    <rPh sb="4" eb="5">
      <t>セン</t>
    </rPh>
    <phoneticPr fontId="37"/>
  </si>
  <si>
    <t>負傷者数</t>
    <rPh sb="0" eb="1">
      <t>フ</t>
    </rPh>
    <rPh sb="1" eb="3">
      <t>ショウシャ</t>
    </rPh>
    <rPh sb="3" eb="4">
      <t>スウ</t>
    </rPh>
    <phoneticPr fontId="37"/>
  </si>
  <si>
    <t>　　１　号</t>
    <rPh sb="4" eb="5">
      <t>ゴウ</t>
    </rPh>
    <phoneticPr fontId="37"/>
  </si>
  <si>
    <t>大阪羽曳野線</t>
    <rPh sb="0" eb="2">
      <t>オオサカ</t>
    </rPh>
    <rPh sb="2" eb="5">
      <t>ハビキノ</t>
    </rPh>
    <rPh sb="5" eb="6">
      <t>セン</t>
    </rPh>
    <phoneticPr fontId="37"/>
  </si>
  <si>
    <t>大阪高槻京都線</t>
    <rPh sb="0" eb="2">
      <t>オオサカ</t>
    </rPh>
    <rPh sb="2" eb="4">
      <t>タカツキ</t>
    </rPh>
    <rPh sb="4" eb="6">
      <t>キョウト</t>
    </rPh>
    <rPh sb="6" eb="7">
      <t>セン</t>
    </rPh>
    <phoneticPr fontId="37"/>
  </si>
  <si>
    <t>負傷者数（人）</t>
    <rPh sb="0" eb="1">
      <t>フ</t>
    </rPh>
    <rPh sb="1" eb="2">
      <t>キズ</t>
    </rPh>
    <rPh sb="2" eb="3">
      <t>モノ</t>
    </rPh>
    <rPh sb="3" eb="4">
      <t>スウ</t>
    </rPh>
    <rPh sb="5" eb="6">
      <t>ヒト</t>
    </rPh>
    <phoneticPr fontId="37"/>
  </si>
  <si>
    <t>松島安治川線</t>
    <rPh sb="0" eb="2">
      <t>マツシマ</t>
    </rPh>
    <rPh sb="2" eb="4">
      <t>アジ</t>
    </rPh>
    <rPh sb="4" eb="5">
      <t>ガワ</t>
    </rPh>
    <rPh sb="5" eb="6">
      <t>セン</t>
    </rPh>
    <phoneticPr fontId="37"/>
  </si>
  <si>
    <t>増減率　　％</t>
    <rPh sb="0" eb="2">
      <t>ゾウゲン</t>
    </rPh>
    <rPh sb="2" eb="3">
      <t>リツ</t>
    </rPh>
    <phoneticPr fontId="37"/>
  </si>
  <si>
    <t>天王寺</t>
    <rPh sb="0" eb="3">
      <t>テンノウジ</t>
    </rPh>
    <phoneticPr fontId="37"/>
  </si>
  <si>
    <t>住之江</t>
    <rPh sb="0" eb="3">
      <t>スミノエ</t>
    </rPh>
    <phoneticPr fontId="37"/>
  </si>
  <si>
    <t>人対車両</t>
    <rPh sb="0" eb="1">
      <t>ヒト</t>
    </rPh>
    <rPh sb="1" eb="2">
      <t>タイ</t>
    </rPh>
    <rPh sb="2" eb="4">
      <t>シャリョウ</t>
    </rPh>
    <phoneticPr fontId="37"/>
  </si>
  <si>
    <t>大和川北岸線</t>
    <rPh sb="0" eb="3">
      <t>ヤマトガワ</t>
    </rPh>
    <rPh sb="3" eb="5">
      <t>ホクガン</t>
    </rPh>
    <rPh sb="5" eb="6">
      <t>セン</t>
    </rPh>
    <phoneticPr fontId="37"/>
  </si>
  <si>
    <t>浪速</t>
    <rPh sb="0" eb="2">
      <t>ナニワ</t>
    </rPh>
    <phoneticPr fontId="37"/>
  </si>
  <si>
    <t>死者数</t>
    <rPh sb="0" eb="1">
      <t>シ</t>
    </rPh>
    <rPh sb="1" eb="2">
      <t>モノ</t>
    </rPh>
    <rPh sb="2" eb="3">
      <t>スウ</t>
    </rPh>
    <phoneticPr fontId="37"/>
  </si>
  <si>
    <t>豊崎鷺洲線</t>
    <rPh sb="0" eb="2">
      <t>トヨサキ</t>
    </rPh>
    <rPh sb="2" eb="4">
      <t>サギス</t>
    </rPh>
    <rPh sb="4" eb="5">
      <t>セン</t>
    </rPh>
    <phoneticPr fontId="37"/>
  </si>
  <si>
    <t>淀川北岸線</t>
    <rPh sb="0" eb="2">
      <t>ヨドガワ</t>
    </rPh>
    <rPh sb="2" eb="4">
      <t>ホクガン</t>
    </rPh>
    <rPh sb="4" eb="5">
      <t>セン</t>
    </rPh>
    <phoneticPr fontId="37"/>
  </si>
  <si>
    <t>死者数</t>
  </si>
  <si>
    <t>東淀川</t>
    <rPh sb="0" eb="3">
      <t>ヒガシヨドガワ</t>
    </rPh>
    <phoneticPr fontId="37"/>
  </si>
  <si>
    <t>死者数</t>
    <rPh sb="0" eb="2">
      <t>シシャ</t>
    </rPh>
    <rPh sb="2" eb="3">
      <t>スウ</t>
    </rPh>
    <phoneticPr fontId="37"/>
  </si>
  <si>
    <t>１６３　号</t>
    <rPh sb="4" eb="5">
      <t>ゴウ</t>
    </rPh>
    <phoneticPr fontId="37"/>
  </si>
  <si>
    <t>区分</t>
    <rPh sb="0" eb="2">
      <t>クブン</t>
    </rPh>
    <phoneticPr fontId="37"/>
  </si>
  <si>
    <t>車両単独</t>
    <rPh sb="0" eb="2">
      <t>シャリョウ</t>
    </rPh>
    <rPh sb="2" eb="4">
      <t>タンドク</t>
    </rPh>
    <phoneticPr fontId="37"/>
  </si>
  <si>
    <t>増▲減</t>
    <rPh sb="0" eb="1">
      <t>ゾウ</t>
    </rPh>
    <rPh sb="2" eb="3">
      <t>ゲン</t>
    </rPh>
    <phoneticPr fontId="37"/>
  </si>
  <si>
    <t>国
道</t>
    <rPh sb="0" eb="1">
      <t>クニ</t>
    </rPh>
    <rPh sb="6" eb="7">
      <t>ミチ</t>
    </rPh>
    <phoneticPr fontId="37"/>
  </si>
  <si>
    <t>一般府道</t>
    <rPh sb="0" eb="2">
      <t>イッパン</t>
    </rPh>
    <rPh sb="2" eb="3">
      <t>フ</t>
    </rPh>
    <rPh sb="3" eb="4">
      <t>ドウ</t>
    </rPh>
    <phoneticPr fontId="37"/>
  </si>
  <si>
    <t>一
般
府
道</t>
    <rPh sb="0" eb="1">
      <t>イチ</t>
    </rPh>
    <rPh sb="3" eb="4">
      <t>バン</t>
    </rPh>
    <rPh sb="6" eb="7">
      <t>フ</t>
    </rPh>
    <rPh sb="9" eb="10">
      <t>ドウ</t>
    </rPh>
    <phoneticPr fontId="37"/>
  </si>
  <si>
    <t>阪</t>
    <rPh sb="0" eb="1">
      <t>サカ</t>
    </rPh>
    <phoneticPr fontId="37"/>
  </si>
  <si>
    <t>(人）</t>
    <rPh sb="1" eb="2">
      <t>ヒト</t>
    </rPh>
    <phoneticPr fontId="37"/>
  </si>
  <si>
    <t>件　　数</t>
    <rPh sb="0" eb="1">
      <t>ケン</t>
    </rPh>
    <rPh sb="3" eb="4">
      <t>カズ</t>
    </rPh>
    <phoneticPr fontId="37"/>
  </si>
  <si>
    <t>全</t>
    <rPh sb="0" eb="1">
      <t>ゼン</t>
    </rPh>
    <phoneticPr fontId="37"/>
  </si>
  <si>
    <t>大阪高石線</t>
    <rPh sb="0" eb="2">
      <t>オオサカ</t>
    </rPh>
    <rPh sb="2" eb="4">
      <t>タカイシ</t>
    </rPh>
    <rPh sb="4" eb="5">
      <t>セン</t>
    </rPh>
    <phoneticPr fontId="37"/>
  </si>
  <si>
    <t>負傷者数</t>
    <rPh sb="1" eb="2">
      <t>キズ</t>
    </rPh>
    <rPh sb="2" eb="3">
      <t>シャ</t>
    </rPh>
    <rPh sb="3" eb="4">
      <t>スウ</t>
    </rPh>
    <phoneticPr fontId="37"/>
  </si>
  <si>
    <t>傷者</t>
    <rPh sb="0" eb="2">
      <t>ショウシャ</t>
    </rPh>
    <phoneticPr fontId="37"/>
  </si>
  <si>
    <t>住吉</t>
    <rPh sb="0" eb="2">
      <t>スミヨシ</t>
    </rPh>
    <phoneticPr fontId="37"/>
  </si>
  <si>
    <t>時間</t>
    <rPh sb="0" eb="2">
      <t>ジカン</t>
    </rPh>
    <phoneticPr fontId="37"/>
  </si>
  <si>
    <t>道路種別、月別発生件数、死者数、傷者数</t>
    <rPh sb="0" eb="2">
      <t>ドウロ</t>
    </rPh>
    <rPh sb="2" eb="4">
      <t>シュベツ</t>
    </rPh>
    <rPh sb="5" eb="7">
      <t>ツキベツ</t>
    </rPh>
    <rPh sb="7" eb="9">
      <t>ハッセイ</t>
    </rPh>
    <rPh sb="9" eb="11">
      <t>ケンスウ</t>
    </rPh>
    <rPh sb="12" eb="15">
      <t>シシャスウ</t>
    </rPh>
    <rPh sb="16" eb="18">
      <t>ショウシャ</t>
    </rPh>
    <rPh sb="18" eb="19">
      <t>スウ</t>
    </rPh>
    <phoneticPr fontId="37"/>
  </si>
  <si>
    <t>大阪市域内</t>
    <rPh sb="0" eb="3">
      <t>オオサカシ</t>
    </rPh>
    <rPh sb="3" eb="4">
      <t>イキ</t>
    </rPh>
    <rPh sb="4" eb="5">
      <t>ナイ</t>
    </rPh>
    <phoneticPr fontId="37"/>
  </si>
  <si>
    <t>交通事故発生状況</t>
    <rPh sb="0" eb="2">
      <t>コウツウ</t>
    </rPh>
    <rPh sb="2" eb="4">
      <t>ジコ</t>
    </rPh>
    <rPh sb="4" eb="6">
      <t>ハッセイ</t>
    </rPh>
    <rPh sb="6" eb="8">
      <t>ジョウキョウ</t>
    </rPh>
    <phoneticPr fontId="37"/>
  </si>
  <si>
    <t>前年比較</t>
    <rPh sb="0" eb="2">
      <t>ゼンネン</t>
    </rPh>
    <rPh sb="2" eb="4">
      <t>ヒカク</t>
    </rPh>
    <phoneticPr fontId="37"/>
  </si>
  <si>
    <t>（1970年）</t>
    <rPh sb="5" eb="6">
      <t>ネン</t>
    </rPh>
    <phoneticPr fontId="37"/>
  </si>
  <si>
    <t>市域内計</t>
    <rPh sb="0" eb="1">
      <t>シ</t>
    </rPh>
    <rPh sb="1" eb="3">
      <t>イキナイ</t>
    </rPh>
    <rPh sb="3" eb="4">
      <t>ケイ</t>
    </rPh>
    <phoneticPr fontId="37"/>
  </si>
  <si>
    <t>昭和４５年との比較</t>
    <rPh sb="0" eb="2">
      <t>ショウワ</t>
    </rPh>
    <rPh sb="4" eb="5">
      <t>ネン</t>
    </rPh>
    <rPh sb="7" eb="9">
      <t>ヒカク</t>
    </rPh>
    <phoneticPr fontId="37"/>
  </si>
  <si>
    <t>一般国道</t>
    <rPh sb="0" eb="2">
      <t>イッパン</t>
    </rPh>
    <rPh sb="2" eb="4">
      <t>コクドウ</t>
    </rPh>
    <phoneticPr fontId="37"/>
  </si>
  <si>
    <t>大阪市道</t>
    <rPh sb="0" eb="3">
      <t>オオサカシ</t>
    </rPh>
    <rPh sb="3" eb="4">
      <t>ドウ</t>
    </rPh>
    <phoneticPr fontId="37"/>
  </si>
  <si>
    <t>前年比</t>
    <rPh sb="0" eb="2">
      <t>ゼンネン</t>
    </rPh>
    <rPh sb="2" eb="3">
      <t>ヒ</t>
    </rPh>
    <phoneticPr fontId="37"/>
  </si>
  <si>
    <t>幹線道路計</t>
    <rPh sb="0" eb="2">
      <t>カンセン</t>
    </rPh>
    <rPh sb="2" eb="4">
      <t>ドウロ</t>
    </rPh>
    <rPh sb="4" eb="5">
      <t>ケイ</t>
    </rPh>
    <phoneticPr fontId="37"/>
  </si>
  <si>
    <t>.</t>
    <phoneticPr fontId="37"/>
  </si>
  <si>
    <t>路線別発生状況</t>
    <rPh sb="0" eb="2">
      <t>ロセン</t>
    </rPh>
    <rPh sb="2" eb="3">
      <t>ベツ</t>
    </rPh>
    <rPh sb="3" eb="5">
      <t>ハッセイ</t>
    </rPh>
    <rPh sb="5" eb="7">
      <t>ジョウキョウ</t>
    </rPh>
    <phoneticPr fontId="37"/>
  </si>
  <si>
    <t>５次</t>
    <rPh sb="1" eb="2">
      <t>ジ</t>
    </rPh>
    <phoneticPr fontId="37"/>
  </si>
  <si>
    <t>安全</t>
    <rPh sb="0" eb="2">
      <t>アンゼン</t>
    </rPh>
    <phoneticPr fontId="37"/>
  </si>
  <si>
    <t>昭和45年との対比</t>
    <rPh sb="0" eb="2">
      <t>ショウワ</t>
    </rPh>
    <rPh sb="4" eb="5">
      <t>ネン</t>
    </rPh>
    <rPh sb="7" eb="9">
      <t>タイヒ</t>
    </rPh>
    <phoneticPr fontId="37"/>
  </si>
  <si>
    <t>四天王寺巽線</t>
    <rPh sb="0" eb="4">
      <t>シテンノウジ</t>
    </rPh>
    <rPh sb="4" eb="5">
      <t>タツミ</t>
    </rPh>
    <rPh sb="5" eb="6">
      <t>セン</t>
    </rPh>
    <phoneticPr fontId="37"/>
  </si>
  <si>
    <t>人　　口</t>
    <rPh sb="0" eb="1">
      <t>ヒト</t>
    </rPh>
    <rPh sb="3" eb="4">
      <t>クチ</t>
    </rPh>
    <phoneticPr fontId="37"/>
  </si>
  <si>
    <t>７次</t>
    <rPh sb="1" eb="2">
      <t>ジ</t>
    </rPh>
    <phoneticPr fontId="37"/>
  </si>
  <si>
    <t>路　　線　　別</t>
    <rPh sb="0" eb="1">
      <t>ミチ</t>
    </rPh>
    <rPh sb="3" eb="4">
      <t>セン</t>
    </rPh>
    <rPh sb="6" eb="7">
      <t>ベツ</t>
    </rPh>
    <phoneticPr fontId="37"/>
  </si>
  <si>
    <t>堂島十三線</t>
    <rPh sb="0" eb="2">
      <t>ドウジマ</t>
    </rPh>
    <rPh sb="2" eb="4">
      <t>ジュウソウ</t>
    </rPh>
    <rPh sb="4" eb="5">
      <t>セン</t>
    </rPh>
    <phoneticPr fontId="37"/>
  </si>
  <si>
    <t>合計</t>
    <rPh sb="0" eb="2">
      <t>ゴウケイ</t>
    </rPh>
    <phoneticPr fontId="37"/>
  </si>
  <si>
    <t>桜川恵美須線</t>
    <rPh sb="0" eb="2">
      <t>サクラガワ</t>
    </rPh>
    <rPh sb="2" eb="5">
      <t>エビス</t>
    </rPh>
    <rPh sb="5" eb="6">
      <t>セン</t>
    </rPh>
    <phoneticPr fontId="37"/>
  </si>
  <si>
    <t>道路別</t>
    <rPh sb="0" eb="2">
      <t>ドウロ</t>
    </rPh>
    <rPh sb="2" eb="3">
      <t>ベツ</t>
    </rPh>
    <phoneticPr fontId="37"/>
  </si>
  <si>
    <t>西成</t>
    <rPh sb="0" eb="2">
      <t>ニシナリ</t>
    </rPh>
    <phoneticPr fontId="37"/>
  </si>
  <si>
    <t>道路種別交通事故発生率推移</t>
    <rPh sb="0" eb="2">
      <t>ドウロ</t>
    </rPh>
    <rPh sb="2" eb="4">
      <t>シュベツ</t>
    </rPh>
    <rPh sb="4" eb="6">
      <t>コウツウ</t>
    </rPh>
    <rPh sb="6" eb="8">
      <t>ジコ</t>
    </rPh>
    <rPh sb="8" eb="10">
      <t>ハッセイ</t>
    </rPh>
    <rPh sb="10" eb="11">
      <t>リツ</t>
    </rPh>
    <rPh sb="11" eb="13">
      <t>スイイ</t>
    </rPh>
    <phoneticPr fontId="37"/>
  </si>
  <si>
    <t>昭和46</t>
    <rPh sb="0" eb="2">
      <t>ショウワ</t>
    </rPh>
    <phoneticPr fontId="37"/>
  </si>
  <si>
    <t>東成</t>
    <rPh sb="0" eb="2">
      <t>ヒガシナリ</t>
    </rPh>
    <phoneticPr fontId="37"/>
  </si>
  <si>
    <t>３次</t>
    <rPh sb="1" eb="2">
      <t>ジ</t>
    </rPh>
    <phoneticPr fontId="37"/>
  </si>
  <si>
    <t>市</t>
    <rPh sb="0" eb="1">
      <t>シ</t>
    </rPh>
    <phoneticPr fontId="37"/>
  </si>
  <si>
    <t>　２５　号</t>
    <rPh sb="4" eb="5">
      <t>ゴウ</t>
    </rPh>
    <phoneticPr fontId="37"/>
  </si>
  <si>
    <t>負
傷
者
数</t>
    <rPh sb="0" eb="1">
      <t>フ</t>
    </rPh>
    <rPh sb="2" eb="3">
      <t>キズ</t>
    </rPh>
    <rPh sb="4" eb="5">
      <t>モノ</t>
    </rPh>
    <rPh sb="6" eb="7">
      <t>スウ</t>
    </rPh>
    <phoneticPr fontId="37"/>
  </si>
  <si>
    <t>件数</t>
    <rPh sb="0" eb="2">
      <t>ケンスウ</t>
    </rPh>
    <phoneticPr fontId="37"/>
  </si>
  <si>
    <t>総数</t>
  </si>
  <si>
    <t>域</t>
    <rPh sb="0" eb="1">
      <t>イキ</t>
    </rPh>
    <phoneticPr fontId="37"/>
  </si>
  <si>
    <t>外</t>
    <rPh sb="0" eb="1">
      <t>ガイ</t>
    </rPh>
    <phoneticPr fontId="37"/>
  </si>
  <si>
    <t>負　傷　者　数</t>
    <rPh sb="0" eb="1">
      <t>フ</t>
    </rPh>
    <rPh sb="2" eb="3">
      <t>キズ</t>
    </rPh>
    <rPh sb="4" eb="5">
      <t>シャ</t>
    </rPh>
    <rPh sb="6" eb="7">
      <t>スウ</t>
    </rPh>
    <phoneticPr fontId="37"/>
  </si>
  <si>
    <t>世代別</t>
    <rPh sb="0" eb="3">
      <t>セダイベツ</t>
    </rPh>
    <phoneticPr fontId="37"/>
  </si>
  <si>
    <t>東住吉</t>
    <rPh sb="0" eb="3">
      <t>ヒガシスミヨシ</t>
    </rPh>
    <phoneticPr fontId="37"/>
  </si>
  <si>
    <t>総数</t>
    <rPh sb="0" eb="1">
      <t>ソウ</t>
    </rPh>
    <rPh sb="1" eb="2">
      <t>スウ</t>
    </rPh>
    <phoneticPr fontId="37"/>
  </si>
  <si>
    <t>　　　　　件　数</t>
    <rPh sb="5" eb="6">
      <t>ケン</t>
    </rPh>
    <rPh sb="7" eb="8">
      <t>カズ</t>
    </rPh>
    <phoneticPr fontId="37"/>
  </si>
  <si>
    <t>大阪府全域</t>
    <rPh sb="0" eb="3">
      <t>オオサカフ</t>
    </rPh>
    <rPh sb="3" eb="5">
      <t>ゼンイキ</t>
    </rPh>
    <phoneticPr fontId="37"/>
  </si>
  <si>
    <t>中之島桜川線</t>
    <rPh sb="0" eb="3">
      <t>ナカノシマ</t>
    </rPh>
    <rPh sb="3" eb="5">
      <t>サクラガワ</t>
    </rPh>
    <rPh sb="5" eb="6">
      <t>セン</t>
    </rPh>
    <phoneticPr fontId="37"/>
  </si>
  <si>
    <t>住吉八尾線</t>
    <rPh sb="0" eb="2">
      <t>スミヨシ</t>
    </rPh>
    <rPh sb="2" eb="4">
      <t>ヤオ</t>
    </rPh>
    <rPh sb="4" eb="5">
      <t>セン</t>
    </rPh>
    <phoneticPr fontId="37"/>
  </si>
  <si>
    <t>大正</t>
    <rPh sb="0" eb="2">
      <t>タイショウ</t>
    </rPh>
    <phoneticPr fontId="37"/>
  </si>
  <si>
    <t>類型別</t>
    <rPh sb="0" eb="2">
      <t>ルイケイ</t>
    </rPh>
    <rPh sb="2" eb="3">
      <t>ベツ</t>
    </rPh>
    <phoneticPr fontId="37"/>
  </si>
  <si>
    <t>尼崎平野線</t>
    <rPh sb="0" eb="2">
      <t>アマガサキ</t>
    </rPh>
    <rPh sb="2" eb="4">
      <t>ヒラノ</t>
    </rPh>
    <rPh sb="4" eb="5">
      <t>セン</t>
    </rPh>
    <phoneticPr fontId="37"/>
  </si>
  <si>
    <t>石切大阪線</t>
    <rPh sb="0" eb="2">
      <t>イシキリ</t>
    </rPh>
    <rPh sb="2" eb="4">
      <t>オオサカ</t>
    </rPh>
    <rPh sb="4" eb="5">
      <t>セン</t>
    </rPh>
    <phoneticPr fontId="37"/>
  </si>
  <si>
    <t>月別交通事故発生状況</t>
    <rPh sb="0" eb="1">
      <t>ツキ</t>
    </rPh>
    <rPh sb="1" eb="2">
      <t>ベツ</t>
    </rPh>
    <rPh sb="2" eb="4">
      <t>コウツウ</t>
    </rPh>
    <rPh sb="4" eb="6">
      <t>ジコ</t>
    </rPh>
    <rPh sb="6" eb="8">
      <t>ハッセイ</t>
    </rPh>
    <rPh sb="8" eb="10">
      <t>ジョウキョウ</t>
    </rPh>
    <phoneticPr fontId="37"/>
  </si>
  <si>
    <t>鶴見</t>
    <rPh sb="0" eb="2">
      <t>ツルミ</t>
    </rPh>
    <phoneticPr fontId="37"/>
  </si>
  <si>
    <t>浜口南港線</t>
    <rPh sb="0" eb="2">
      <t>ハマグチ</t>
    </rPh>
    <rPh sb="2" eb="4">
      <t>ナンコウ</t>
    </rPh>
    <rPh sb="4" eb="5">
      <t>セン</t>
    </rPh>
    <phoneticPr fontId="37"/>
  </si>
  <si>
    <t>港</t>
    <rPh sb="0" eb="1">
      <t>ミナト</t>
    </rPh>
    <phoneticPr fontId="37"/>
  </si>
  <si>
    <t>総   数</t>
    <rPh sb="0" eb="1">
      <t>フサ</t>
    </rPh>
    <rPh sb="4" eb="5">
      <t>カズ</t>
    </rPh>
    <phoneticPr fontId="37"/>
  </si>
  <si>
    <t>十三吹田線</t>
    <rPh sb="0" eb="2">
      <t>ジュウソウ</t>
    </rPh>
    <rPh sb="2" eb="4">
      <t>スイタ</t>
    </rPh>
    <rPh sb="4" eb="5">
      <t>セン</t>
    </rPh>
    <phoneticPr fontId="37"/>
  </si>
  <si>
    <t>夜間計</t>
    <rPh sb="0" eb="2">
      <t>ヤカン</t>
    </rPh>
    <rPh sb="2" eb="3">
      <t>ケイ</t>
    </rPh>
    <phoneticPr fontId="37"/>
  </si>
  <si>
    <t>自動車保有台数</t>
    <rPh sb="0" eb="3">
      <t>ジドウシャ</t>
    </rPh>
    <rPh sb="3" eb="5">
      <t>ホユウ</t>
    </rPh>
    <rPh sb="5" eb="7">
      <t>ダイスウ</t>
    </rPh>
    <phoneticPr fontId="37"/>
  </si>
  <si>
    <t>人口･自動車保有台数・道路延長と交通事故死傷者の推移</t>
    <rPh sb="0" eb="2">
      <t>ジンコウ</t>
    </rPh>
    <rPh sb="3" eb="6">
      <t>ジドウシャ</t>
    </rPh>
    <rPh sb="6" eb="8">
      <t>ホユウ</t>
    </rPh>
    <rPh sb="8" eb="10">
      <t>ダイスウ</t>
    </rPh>
    <rPh sb="11" eb="13">
      <t>ドウロ</t>
    </rPh>
    <rPh sb="13" eb="15">
      <t>エンチョウ</t>
    </rPh>
    <rPh sb="16" eb="18">
      <t>コウツウ</t>
    </rPh>
    <rPh sb="18" eb="20">
      <t>ジコ</t>
    </rPh>
    <rPh sb="20" eb="23">
      <t>シショウシャ</t>
    </rPh>
    <rPh sb="24" eb="26">
      <t>スイイ</t>
    </rPh>
    <phoneticPr fontId="37"/>
  </si>
  <si>
    <t>(ｋｍ)</t>
    <phoneticPr fontId="37"/>
  </si>
  <si>
    <t>大阪生駒線</t>
    <rPh sb="0" eb="2">
      <t>オオサカ</t>
    </rPh>
    <rPh sb="2" eb="4">
      <t>イコマ</t>
    </rPh>
    <rPh sb="4" eb="5">
      <t>セン</t>
    </rPh>
    <phoneticPr fontId="37"/>
  </si>
  <si>
    <t>大
阪
市
域
内</t>
    <rPh sb="0" eb="1">
      <t>ダイ</t>
    </rPh>
    <rPh sb="2" eb="3">
      <t>サカ</t>
    </rPh>
    <rPh sb="4" eb="5">
      <t>シ</t>
    </rPh>
    <rPh sb="6" eb="7">
      <t>イキ</t>
    </rPh>
    <rPh sb="8" eb="9">
      <t>ナイ</t>
    </rPh>
    <phoneticPr fontId="37"/>
  </si>
  <si>
    <t>難波境川線</t>
    <rPh sb="0" eb="2">
      <t>ナンバ</t>
    </rPh>
    <rPh sb="2" eb="4">
      <t>サカイガワ</t>
    </rPh>
    <rPh sb="4" eb="5">
      <t>セン</t>
    </rPh>
    <phoneticPr fontId="37"/>
  </si>
  <si>
    <t>死者数</t>
    <rPh sb="0" eb="3">
      <t>シシャスウ</t>
    </rPh>
    <phoneticPr fontId="37"/>
  </si>
  <si>
    <t>大</t>
    <rPh sb="0" eb="1">
      <t>ダイ</t>
    </rPh>
    <phoneticPr fontId="37"/>
  </si>
  <si>
    <t>１００ｋｍ当り</t>
    <rPh sb="5" eb="6">
      <t>アタ</t>
    </rPh>
    <phoneticPr fontId="37"/>
  </si>
  <si>
    <t>浪速鶴町線</t>
    <rPh sb="0" eb="2">
      <t>ナニワ</t>
    </rPh>
    <rPh sb="2" eb="3">
      <t>ツル</t>
    </rPh>
    <rPh sb="3" eb="4">
      <t>マチ</t>
    </rPh>
    <rPh sb="4" eb="5">
      <t>セン</t>
    </rPh>
    <phoneticPr fontId="37"/>
  </si>
  <si>
    <t>元</t>
    <rPh sb="0" eb="1">
      <t>モト</t>
    </rPh>
    <phoneticPr fontId="37"/>
  </si>
  <si>
    <t>内</t>
    <rPh sb="0" eb="1">
      <t>ナイ</t>
    </rPh>
    <phoneticPr fontId="37"/>
  </si>
  <si>
    <t>２次</t>
    <rPh sb="1" eb="2">
      <t>ジ</t>
    </rPh>
    <phoneticPr fontId="37"/>
  </si>
  <si>
    <t>各年３月３１日現在</t>
    <rPh sb="0" eb="2">
      <t>カクネン</t>
    </rPh>
    <rPh sb="3" eb="4">
      <t>ガツ</t>
    </rPh>
    <rPh sb="6" eb="7">
      <t>ニチ</t>
    </rPh>
    <rPh sb="7" eb="9">
      <t>ゲンザイ</t>
    </rPh>
    <phoneticPr fontId="37"/>
  </si>
  <si>
    <t>０時とは０時から午前１時までの間をいう。以下同じ。</t>
    <rPh sb="1" eb="2">
      <t>ジ</t>
    </rPh>
    <rPh sb="5" eb="6">
      <t>ジ</t>
    </rPh>
    <rPh sb="8" eb="10">
      <t>ゴゼン</t>
    </rPh>
    <rPh sb="11" eb="12">
      <t>ジ</t>
    </rPh>
    <rPh sb="15" eb="16">
      <t>アイダ</t>
    </rPh>
    <rPh sb="20" eb="22">
      <t>イカ</t>
    </rPh>
    <rPh sb="22" eb="23">
      <t>オナ</t>
    </rPh>
    <phoneticPr fontId="37"/>
  </si>
  <si>
    <t>(人)</t>
    <rPh sb="1" eb="2">
      <t>ヒト</t>
    </rPh>
    <phoneticPr fontId="37"/>
  </si>
  <si>
    <t>(件)</t>
    <rPh sb="1" eb="2">
      <t>ケン</t>
    </rPh>
    <phoneticPr fontId="37"/>
  </si>
  <si>
    <t>４２３　号</t>
    <rPh sb="4" eb="5">
      <t>ゴウ</t>
    </rPh>
    <phoneticPr fontId="37"/>
  </si>
  <si>
    <t>江戸堀北通線</t>
    <rPh sb="0" eb="3">
      <t>エドボリ</t>
    </rPh>
    <rPh sb="3" eb="4">
      <t>キタ</t>
    </rPh>
    <rPh sb="4" eb="5">
      <t>トオ</t>
    </rPh>
    <rPh sb="5" eb="6">
      <t>セン</t>
    </rPh>
    <phoneticPr fontId="37"/>
  </si>
  <si>
    <t>死　　者　　数</t>
    <rPh sb="0" eb="1">
      <t>シ</t>
    </rPh>
    <rPh sb="3" eb="4">
      <t>シャ</t>
    </rPh>
    <rPh sb="6" eb="7">
      <t>スウ</t>
    </rPh>
    <phoneticPr fontId="37"/>
  </si>
  <si>
    <t>列車</t>
    <rPh sb="0" eb="2">
      <t>レッシャ</t>
    </rPh>
    <phoneticPr fontId="37"/>
  </si>
  <si>
    <t>旭</t>
    <rPh sb="0" eb="1">
      <t>アサヒ</t>
    </rPh>
    <phoneticPr fontId="37"/>
  </si>
  <si>
    <t>幹線道路の事故率（％）</t>
    <rPh sb="0" eb="2">
      <t>カンセン</t>
    </rPh>
    <rPh sb="2" eb="4">
      <t>ドウロ</t>
    </rPh>
    <rPh sb="5" eb="7">
      <t>ジコ</t>
    </rPh>
    <rPh sb="7" eb="8">
      <t>リツ</t>
    </rPh>
    <phoneticPr fontId="37"/>
  </si>
  <si>
    <t>人口</t>
    <rPh sb="0" eb="2">
      <t>ジンコウ</t>
    </rPh>
    <phoneticPr fontId="37"/>
  </si>
  <si>
    <t>件
数</t>
    <rPh sb="0" eb="1">
      <t>ケン</t>
    </rPh>
    <rPh sb="2" eb="3">
      <t>カズ</t>
    </rPh>
    <phoneticPr fontId="37"/>
  </si>
  <si>
    <t>負傷者数</t>
    <rPh sb="0" eb="1">
      <t>フ</t>
    </rPh>
    <rPh sb="1" eb="2">
      <t>キズ</t>
    </rPh>
    <rPh sb="2" eb="3">
      <t>モノ</t>
    </rPh>
    <rPh sb="3" eb="4">
      <t>スウ</t>
    </rPh>
    <phoneticPr fontId="37"/>
  </si>
  <si>
    <t>件
数</t>
    <rPh sb="0" eb="1">
      <t>ケン</t>
    </rPh>
    <rPh sb="3" eb="4">
      <t>スウ</t>
    </rPh>
    <phoneticPr fontId="37"/>
  </si>
  <si>
    <t>東淀川</t>
    <rPh sb="0" eb="1">
      <t>ヒガシ</t>
    </rPh>
    <rPh sb="1" eb="3">
      <t>ヨドガワ</t>
    </rPh>
    <phoneticPr fontId="37"/>
  </si>
  <si>
    <t>都島阿倍野線</t>
    <rPh sb="0" eb="2">
      <t>ミヤコジマ</t>
    </rPh>
    <rPh sb="2" eb="5">
      <t>アベノ</t>
    </rPh>
    <rPh sb="5" eb="6">
      <t>セン</t>
    </rPh>
    <phoneticPr fontId="37"/>
  </si>
  <si>
    <t>９次</t>
    <rPh sb="1" eb="2">
      <t>ツギ</t>
    </rPh>
    <phoneticPr fontId="37"/>
  </si>
  <si>
    <t>夜　　間</t>
    <rPh sb="0" eb="1">
      <t>ヨル</t>
    </rPh>
    <rPh sb="3" eb="4">
      <t>アイダ</t>
    </rPh>
    <phoneticPr fontId="37"/>
  </si>
  <si>
    <t>松島南恩加島町線</t>
    <rPh sb="0" eb="2">
      <t>マツシマ</t>
    </rPh>
    <rPh sb="2" eb="3">
      <t>ミナミ</t>
    </rPh>
    <rPh sb="3" eb="4">
      <t>オン</t>
    </rPh>
    <rPh sb="4" eb="7">
      <t>カシマチョウ</t>
    </rPh>
    <rPh sb="7" eb="8">
      <t>セン</t>
    </rPh>
    <phoneticPr fontId="37"/>
  </si>
  <si>
    <t>１７６　号</t>
    <rPh sb="4" eb="5">
      <t>ゴウ</t>
    </rPh>
    <phoneticPr fontId="37"/>
  </si>
  <si>
    <t>死
者
数</t>
    <rPh sb="0" eb="1">
      <t>シ</t>
    </rPh>
    <rPh sb="2" eb="3">
      <t>シャ</t>
    </rPh>
    <rPh sb="4" eb="5">
      <t>スウ</t>
    </rPh>
    <phoneticPr fontId="37"/>
  </si>
  <si>
    <t>　４３　号</t>
    <rPh sb="4" eb="5">
      <t>ゴウ</t>
    </rPh>
    <phoneticPr fontId="37"/>
  </si>
  <si>
    <t>(注)大阪市域内は高速道路等を除く。</t>
    <phoneticPr fontId="37"/>
  </si>
  <si>
    <t>大阪高槻線</t>
    <rPh sb="0" eb="2">
      <t>オオサカ</t>
    </rPh>
    <rPh sb="2" eb="4">
      <t>タカツキ</t>
    </rPh>
    <rPh sb="4" eb="5">
      <t>セン</t>
    </rPh>
    <phoneticPr fontId="37"/>
  </si>
  <si>
    <t>大
阪
市
道</t>
    <rPh sb="0" eb="1">
      <t>ダイ</t>
    </rPh>
    <rPh sb="4" eb="5">
      <t>サカ</t>
    </rPh>
    <rPh sb="8" eb="9">
      <t>イチ</t>
    </rPh>
    <rPh sb="12" eb="13">
      <t>ドウ</t>
    </rPh>
    <phoneticPr fontId="37"/>
  </si>
  <si>
    <t>行政区別発生状況</t>
    <rPh sb="0" eb="2">
      <t>ギョウセイ</t>
    </rPh>
    <rPh sb="2" eb="4">
      <t>クベツ</t>
    </rPh>
    <rPh sb="4" eb="6">
      <t>ハッセイ</t>
    </rPh>
    <rPh sb="6" eb="8">
      <t>ジョウキョウ</t>
    </rPh>
    <phoneticPr fontId="37"/>
  </si>
  <si>
    <t>原付乗車中</t>
    <rPh sb="0" eb="2">
      <t>ゲンツキ</t>
    </rPh>
    <rPh sb="2" eb="5">
      <t>ジョウシャチュウ</t>
    </rPh>
    <phoneticPr fontId="37"/>
  </si>
  <si>
    <t>自動車乗車中</t>
    <rPh sb="0" eb="3">
      <t>ジドウシャ</t>
    </rPh>
    <rPh sb="3" eb="6">
      <t>ジョウシャチュウ</t>
    </rPh>
    <phoneticPr fontId="37"/>
  </si>
  <si>
    <t>昼・夜間別発生状況対前年比</t>
    <rPh sb="0" eb="1">
      <t>ヒル</t>
    </rPh>
    <rPh sb="2" eb="4">
      <t>ヤカン</t>
    </rPh>
    <rPh sb="4" eb="5">
      <t>ベツ</t>
    </rPh>
    <rPh sb="5" eb="7">
      <t>ハッセイ</t>
    </rPh>
    <rPh sb="7" eb="9">
      <t>ジョウキョウ</t>
    </rPh>
    <rPh sb="9" eb="10">
      <t>タイ</t>
    </rPh>
    <rPh sb="10" eb="13">
      <t>ゼンネンヒ</t>
    </rPh>
    <phoneticPr fontId="37"/>
  </si>
  <si>
    <t>３０８　号</t>
    <rPh sb="4" eb="5">
      <t>ゴウ</t>
    </rPh>
    <phoneticPr fontId="37"/>
  </si>
  <si>
    <t>天満橋筋線</t>
    <rPh sb="0" eb="3">
      <t>テンマバシ</t>
    </rPh>
    <rPh sb="3" eb="4">
      <t>スジ</t>
    </rPh>
    <rPh sb="4" eb="5">
      <t>セン</t>
    </rPh>
    <phoneticPr fontId="37"/>
  </si>
  <si>
    <t>赤川天王寺線</t>
    <rPh sb="0" eb="2">
      <t>アカガワ</t>
    </rPh>
    <rPh sb="2" eb="5">
      <t>テンノウジ</t>
    </rPh>
    <rPh sb="5" eb="6">
      <t>セン</t>
    </rPh>
    <phoneticPr fontId="37"/>
  </si>
  <si>
    <t>死　者　数</t>
    <rPh sb="0" eb="1">
      <t>シ</t>
    </rPh>
    <rPh sb="2" eb="3">
      <t>モノ</t>
    </rPh>
    <rPh sb="4" eb="5">
      <t>スウ</t>
    </rPh>
    <phoneticPr fontId="37"/>
  </si>
  <si>
    <t>此花</t>
    <rPh sb="0" eb="2">
      <t>コノハナ</t>
    </rPh>
    <phoneticPr fontId="37"/>
  </si>
  <si>
    <t>旧大阪中央環状線</t>
    <rPh sb="0" eb="1">
      <t>キュウ</t>
    </rPh>
    <rPh sb="1" eb="3">
      <t>オオサカ</t>
    </rPh>
    <rPh sb="3" eb="5">
      <t>チュウオウ</t>
    </rPh>
    <rPh sb="5" eb="8">
      <t>カンジョウセン</t>
    </rPh>
    <phoneticPr fontId="37"/>
  </si>
  <si>
    <t>正蓮寺川北岸線</t>
    <rPh sb="0" eb="1">
      <t>セイ</t>
    </rPh>
    <rPh sb="1" eb="2">
      <t>ハス</t>
    </rPh>
    <rPh sb="2" eb="4">
      <t>テラガワ</t>
    </rPh>
    <rPh sb="4" eb="6">
      <t>ホクガン</t>
    </rPh>
    <rPh sb="6" eb="7">
      <t>セン</t>
    </rPh>
    <phoneticPr fontId="37"/>
  </si>
  <si>
    <t>その他</t>
    <rPh sb="2" eb="3">
      <t>タ</t>
    </rPh>
    <phoneticPr fontId="37"/>
  </si>
  <si>
    <t>件　　数</t>
    <rPh sb="0" eb="1">
      <t>ケン</t>
    </rPh>
    <rPh sb="3" eb="4">
      <t>スウ</t>
    </rPh>
    <phoneticPr fontId="37"/>
  </si>
  <si>
    <t>元</t>
    <rPh sb="0" eb="1">
      <t>ガン</t>
    </rPh>
    <phoneticPr fontId="37"/>
  </si>
  <si>
    <t>間</t>
    <rPh sb="0" eb="1">
      <t>アイダ</t>
    </rPh>
    <phoneticPr fontId="37"/>
  </si>
  <si>
    <t>区別</t>
    <rPh sb="0" eb="2">
      <t>クベツ</t>
    </rPh>
    <phoneticPr fontId="37"/>
  </si>
  <si>
    <t>（２）行政区別</t>
    <rPh sb="3" eb="6">
      <t>ギョウセイク</t>
    </rPh>
    <rPh sb="6" eb="7">
      <t>ベツ</t>
    </rPh>
    <phoneticPr fontId="37"/>
  </si>
  <si>
    <t>中野住道矢田線</t>
    <rPh sb="0" eb="2">
      <t>ナカノ</t>
    </rPh>
    <rPh sb="2" eb="4">
      <t>スミノドウ</t>
    </rPh>
    <rPh sb="4" eb="6">
      <t>ヤタ</t>
    </rPh>
    <rPh sb="6" eb="7">
      <t>セン</t>
    </rPh>
    <phoneticPr fontId="37"/>
  </si>
  <si>
    <t>昼間計</t>
    <rPh sb="0" eb="2">
      <t>チュウカン</t>
    </rPh>
    <rPh sb="2" eb="3">
      <t>ケイ</t>
    </rPh>
    <phoneticPr fontId="37"/>
  </si>
  <si>
    <t>大阪和泉泉南線</t>
    <rPh sb="0" eb="2">
      <t>オオサカ</t>
    </rPh>
    <rPh sb="2" eb="4">
      <t>イズミ</t>
    </rPh>
    <rPh sb="4" eb="6">
      <t>センナン</t>
    </rPh>
    <rPh sb="6" eb="7">
      <t>セン</t>
    </rPh>
    <phoneticPr fontId="37"/>
  </si>
  <si>
    <t>　(注)大阪市域内は、高速道路等を除く。</t>
    <rPh sb="2" eb="3">
      <t>チュウ</t>
    </rPh>
    <rPh sb="4" eb="7">
      <t>オオサカシ</t>
    </rPh>
    <rPh sb="7" eb="8">
      <t>イキ</t>
    </rPh>
    <rPh sb="8" eb="9">
      <t>ナイ</t>
    </rPh>
    <rPh sb="11" eb="13">
      <t>コウソク</t>
    </rPh>
    <rPh sb="13" eb="15">
      <t>ドウロ</t>
    </rPh>
    <rPh sb="15" eb="16">
      <t>ナド</t>
    </rPh>
    <rPh sb="17" eb="18">
      <t>ノゾ</t>
    </rPh>
    <phoneticPr fontId="37"/>
  </si>
  <si>
    <t>船町通線</t>
    <rPh sb="0" eb="2">
      <t>フナマチ</t>
    </rPh>
    <rPh sb="2" eb="3">
      <t>トオ</t>
    </rPh>
    <rPh sb="3" eb="4">
      <t>セン</t>
    </rPh>
    <phoneticPr fontId="37"/>
  </si>
  <si>
    <t>月別</t>
    <rPh sb="0" eb="2">
      <t>ツキベツ</t>
    </rPh>
    <phoneticPr fontId="37"/>
  </si>
  <si>
    <t>大阪中央環状線</t>
    <rPh sb="0" eb="2">
      <t>オオサカ</t>
    </rPh>
    <rPh sb="2" eb="4">
      <t>チュウオウ</t>
    </rPh>
    <rPh sb="4" eb="7">
      <t>カンジョウセン</t>
    </rPh>
    <phoneticPr fontId="37"/>
  </si>
  <si>
    <t>熊野大阪線</t>
    <rPh sb="0" eb="2">
      <t>クマノ</t>
    </rPh>
    <rPh sb="2" eb="4">
      <t>オオサカ</t>
    </rPh>
    <rPh sb="4" eb="5">
      <t>セン</t>
    </rPh>
    <phoneticPr fontId="37"/>
  </si>
  <si>
    <t>大阪東大阪線</t>
    <rPh sb="0" eb="2">
      <t>オオサカ</t>
    </rPh>
    <rPh sb="2" eb="3">
      <t>ヒガシ</t>
    </rPh>
    <rPh sb="3" eb="5">
      <t>オオサカ</t>
    </rPh>
    <rPh sb="5" eb="6">
      <t>セン</t>
    </rPh>
    <phoneticPr fontId="37"/>
  </si>
  <si>
    <t>子ども</t>
    <rPh sb="0" eb="1">
      <t>コ</t>
    </rPh>
    <phoneticPr fontId="37"/>
  </si>
  <si>
    <t>１０万人当り</t>
    <rPh sb="2" eb="4">
      <t>マンニン</t>
    </rPh>
    <rPh sb="4" eb="5">
      <t>アタ</t>
    </rPh>
    <phoneticPr fontId="37"/>
  </si>
  <si>
    <t>福島</t>
    <rPh sb="0" eb="2">
      <t>フクシマ</t>
    </rPh>
    <phoneticPr fontId="37"/>
  </si>
  <si>
    <t>道路延長</t>
    <rPh sb="0" eb="2">
      <t>ドウロ</t>
    </rPh>
    <rPh sb="2" eb="4">
      <t>エンチョウ</t>
    </rPh>
    <phoneticPr fontId="37"/>
  </si>
  <si>
    <t>西</t>
    <rPh sb="0" eb="1">
      <t>ニシ</t>
    </rPh>
    <phoneticPr fontId="37"/>
  </si>
  <si>
    <t>　　区　分</t>
    <rPh sb="2" eb="3">
      <t>ク</t>
    </rPh>
    <rPh sb="4" eb="5">
      <t>ブン</t>
    </rPh>
    <phoneticPr fontId="37"/>
  </si>
  <si>
    <t>(人)</t>
    <rPh sb="1" eb="2">
      <t>ニン</t>
    </rPh>
    <phoneticPr fontId="37"/>
  </si>
  <si>
    <t>阿倍野</t>
    <rPh sb="0" eb="3">
      <t>アベノ</t>
    </rPh>
    <phoneticPr fontId="37"/>
  </si>
  <si>
    <t>内高齢者</t>
    <rPh sb="0" eb="1">
      <t>ウチ</t>
    </rPh>
    <rPh sb="1" eb="4">
      <t>コウレイシャ</t>
    </rPh>
    <phoneticPr fontId="37"/>
  </si>
  <si>
    <t>主要地方道</t>
    <rPh sb="0" eb="2">
      <t>シュヨウ</t>
    </rPh>
    <rPh sb="2" eb="4">
      <t>チホウ</t>
    </rPh>
    <rPh sb="4" eb="5">
      <t>ドウ</t>
    </rPh>
    <phoneticPr fontId="37"/>
  </si>
  <si>
    <t>大阪環状線</t>
    <rPh sb="0" eb="2">
      <t>オオサカ</t>
    </rPh>
    <rPh sb="2" eb="5">
      <t>カンジョウセン</t>
    </rPh>
    <phoneticPr fontId="37"/>
  </si>
  <si>
    <t>片町徳庵線</t>
    <rPh sb="0" eb="2">
      <t>カタマチ</t>
    </rPh>
    <rPh sb="2" eb="4">
      <t>トクアン</t>
    </rPh>
    <rPh sb="4" eb="5">
      <t>セン</t>
    </rPh>
    <phoneticPr fontId="37"/>
  </si>
  <si>
    <t>扇町線</t>
    <rPh sb="0" eb="2">
      <t>オウギマチ</t>
    </rPh>
    <rPh sb="2" eb="3">
      <t>セン</t>
    </rPh>
    <phoneticPr fontId="37"/>
  </si>
  <si>
    <t>昼　　間</t>
    <rPh sb="0" eb="1">
      <t>ヒル</t>
    </rPh>
    <rPh sb="3" eb="4">
      <t>アイダ</t>
    </rPh>
    <phoneticPr fontId="37"/>
  </si>
  <si>
    <t>安治川南岸線</t>
    <rPh sb="0" eb="2">
      <t>アジ</t>
    </rPh>
    <rPh sb="2" eb="3">
      <t>カワ</t>
    </rPh>
    <rPh sb="3" eb="5">
      <t>ナンガン</t>
    </rPh>
    <rPh sb="5" eb="6">
      <t>セン</t>
    </rPh>
    <phoneticPr fontId="37"/>
  </si>
  <si>
    <t>８次</t>
    <rPh sb="1" eb="2">
      <t>ジ</t>
    </rPh>
    <phoneticPr fontId="37"/>
  </si>
  <si>
    <t>本町左専道線</t>
    <rPh sb="0" eb="2">
      <t>ホンマチ</t>
    </rPh>
    <rPh sb="2" eb="3">
      <t>ヒダリ</t>
    </rPh>
    <rPh sb="3" eb="4">
      <t>セン</t>
    </rPh>
    <rPh sb="4" eb="5">
      <t>ミチ</t>
    </rPh>
    <rPh sb="5" eb="6">
      <t>セン</t>
    </rPh>
    <phoneticPr fontId="37"/>
  </si>
  <si>
    <t>南北線</t>
    <rPh sb="0" eb="3">
      <t>ナンボクセン</t>
    </rPh>
    <phoneticPr fontId="37"/>
  </si>
  <si>
    <t>大阪狭山線</t>
    <rPh sb="0" eb="2">
      <t>オオサカ</t>
    </rPh>
    <rPh sb="2" eb="4">
      <t>サヤマ</t>
    </rPh>
    <rPh sb="4" eb="5">
      <t>セン</t>
    </rPh>
    <phoneticPr fontId="37"/>
  </si>
  <si>
    <t>（件数：件／死者数・負傷者数：人）</t>
    <phoneticPr fontId="37"/>
  </si>
  <si>
    <t>都島茨田線</t>
    <rPh sb="0" eb="2">
      <t>ミヤコジマ</t>
    </rPh>
    <rPh sb="2" eb="3">
      <t>イバラ</t>
    </rPh>
    <rPh sb="3" eb="4">
      <t>タ</t>
    </rPh>
    <rPh sb="4" eb="5">
      <t>セン</t>
    </rPh>
    <phoneticPr fontId="37"/>
  </si>
  <si>
    <t>年次別交通事故推移</t>
    <rPh sb="0" eb="2">
      <t>ネンジ</t>
    </rPh>
    <rPh sb="2" eb="3">
      <t>ベツ</t>
    </rPh>
    <rPh sb="3" eb="5">
      <t>コウツウ</t>
    </rPh>
    <rPh sb="5" eb="7">
      <t>ジコ</t>
    </rPh>
    <rPh sb="7" eb="9">
      <t>スイイ</t>
    </rPh>
    <phoneticPr fontId="37"/>
  </si>
  <si>
    <t>計画</t>
    <rPh sb="0" eb="2">
      <t>ケイカク</t>
    </rPh>
    <phoneticPr fontId="37"/>
  </si>
  <si>
    <t>増　▲　減</t>
    <rPh sb="0" eb="1">
      <t>ゾウ</t>
    </rPh>
    <rPh sb="4" eb="5">
      <t>ゲン</t>
    </rPh>
    <phoneticPr fontId="37"/>
  </si>
  <si>
    <t>上新庄生野線</t>
    <rPh sb="0" eb="1">
      <t>カミ</t>
    </rPh>
    <rPh sb="1" eb="3">
      <t>シンジョウ</t>
    </rPh>
    <rPh sb="3" eb="5">
      <t>イクノ</t>
    </rPh>
    <rPh sb="5" eb="6">
      <t>セン</t>
    </rPh>
    <phoneticPr fontId="37"/>
  </si>
  <si>
    <t>（１）月別</t>
    <rPh sb="3" eb="4">
      <t>ツキ</t>
    </rPh>
    <rPh sb="4" eb="5">
      <t>ベツ</t>
    </rPh>
    <phoneticPr fontId="37"/>
  </si>
  <si>
    <t>淀川</t>
    <rPh sb="0" eb="2">
      <t>ヨドガワ</t>
    </rPh>
    <phoneticPr fontId="37"/>
  </si>
  <si>
    <t>大阪臨海線</t>
    <rPh sb="0" eb="2">
      <t>オオサカ</t>
    </rPh>
    <rPh sb="2" eb="4">
      <t>リンカイ</t>
    </rPh>
    <rPh sb="4" eb="5">
      <t>セン</t>
    </rPh>
    <phoneticPr fontId="37"/>
  </si>
  <si>
    <t>(注)</t>
    <rPh sb="1" eb="2">
      <t>チュウ</t>
    </rPh>
    <phoneticPr fontId="37"/>
  </si>
  <si>
    <t>平野</t>
    <rPh sb="0" eb="2">
      <t>ヒラノ</t>
    </rPh>
    <phoneticPr fontId="37"/>
  </si>
  <si>
    <t>幹線道路</t>
    <rPh sb="0" eb="2">
      <t>カンセン</t>
    </rPh>
    <rPh sb="2" eb="4">
      <t>ドウロ</t>
    </rPh>
    <phoneticPr fontId="37"/>
  </si>
  <si>
    <t>死者</t>
    <rPh sb="0" eb="2">
      <t>シシャ</t>
    </rPh>
    <phoneticPr fontId="37"/>
  </si>
  <si>
    <t>うちシートベルト非着用</t>
    <rPh sb="8" eb="9">
      <t>ヒ</t>
    </rPh>
    <rPh sb="9" eb="11">
      <t>チャクヨウ</t>
    </rPh>
    <phoneticPr fontId="37"/>
  </si>
  <si>
    <t>死者数（人）</t>
    <rPh sb="0" eb="3">
      <t>シシャスウ</t>
    </rPh>
    <rPh sb="4" eb="5">
      <t>ヒト</t>
    </rPh>
    <phoneticPr fontId="37"/>
  </si>
  <si>
    <t>福町浜町線</t>
    <rPh sb="0" eb="2">
      <t>フクマチ</t>
    </rPh>
    <rPh sb="2" eb="3">
      <t>ハマ</t>
    </rPh>
    <rPh sb="3" eb="4">
      <t>チョウ</t>
    </rPh>
    <rPh sb="4" eb="5">
      <t>セン</t>
    </rPh>
    <phoneticPr fontId="37"/>
  </si>
  <si>
    <t>大阪池田線</t>
    <rPh sb="0" eb="2">
      <t>オオサカ</t>
    </rPh>
    <rPh sb="2" eb="4">
      <t>イケダ</t>
    </rPh>
    <rPh sb="4" eb="5">
      <t>セン</t>
    </rPh>
    <phoneticPr fontId="37"/>
  </si>
  <si>
    <t>総数</t>
    <rPh sb="0" eb="2">
      <t>ソウスウ</t>
    </rPh>
    <phoneticPr fontId="37"/>
  </si>
  <si>
    <t>１７２　号</t>
    <rPh sb="4" eb="5">
      <t>ゴウ</t>
    </rPh>
    <phoneticPr fontId="37"/>
  </si>
  <si>
    <t>全　　　国</t>
    <rPh sb="0" eb="1">
      <t>ゼン</t>
    </rPh>
    <rPh sb="4" eb="5">
      <t>クニ</t>
    </rPh>
    <phoneticPr fontId="37"/>
  </si>
  <si>
    <t>６次</t>
    <rPh sb="1" eb="2">
      <t>ジ</t>
    </rPh>
    <phoneticPr fontId="37"/>
  </si>
  <si>
    <t>大阪市域内</t>
    <rPh sb="0" eb="3">
      <t>オオサカシ</t>
    </rPh>
    <rPh sb="3" eb="5">
      <t>イキナイ</t>
    </rPh>
    <phoneticPr fontId="37"/>
  </si>
  <si>
    <t>築港深江線</t>
    <rPh sb="0" eb="2">
      <t>チッコウ</t>
    </rPh>
    <rPh sb="2" eb="4">
      <t>フカエ</t>
    </rPh>
    <rPh sb="4" eb="5">
      <t>セン</t>
    </rPh>
    <phoneticPr fontId="37"/>
  </si>
  <si>
    <t>自転車乗車中</t>
    <rPh sb="0" eb="3">
      <t>ジテンシャ</t>
    </rPh>
    <rPh sb="3" eb="6">
      <t>ジョウシャチュウ</t>
    </rPh>
    <phoneticPr fontId="37"/>
  </si>
  <si>
    <t>１次</t>
    <rPh sb="1" eb="2">
      <t>ジ</t>
    </rPh>
    <phoneticPr fontId="37"/>
  </si>
  <si>
    <t>自動二輪車乗車中</t>
    <rPh sb="0" eb="2">
      <t>ジドウ</t>
    </rPh>
    <rPh sb="2" eb="5">
      <t>ニリンシャ</t>
    </rPh>
    <rPh sb="5" eb="8">
      <t>ジョウシャチュウ</t>
    </rPh>
    <phoneticPr fontId="37"/>
  </si>
  <si>
    <t>天王寺方面東西33号線</t>
    <rPh sb="0" eb="3">
      <t>テンノウジ</t>
    </rPh>
    <rPh sb="3" eb="5">
      <t>ホウメン</t>
    </rPh>
    <rPh sb="5" eb="7">
      <t>トウザイ</t>
    </rPh>
    <rPh sb="9" eb="10">
      <t>ゴウ</t>
    </rPh>
    <rPh sb="10" eb="11">
      <t>セン</t>
    </rPh>
    <phoneticPr fontId="37"/>
  </si>
  <si>
    <t>交通事故死者（大阪市域内）</t>
    <rPh sb="0" eb="2">
      <t>コウツウ</t>
    </rPh>
    <rPh sb="2" eb="4">
      <t>ジコ</t>
    </rPh>
    <rPh sb="4" eb="6">
      <t>シシャ</t>
    </rPh>
    <rPh sb="7" eb="10">
      <t>オオサカシ</t>
    </rPh>
    <rPh sb="10" eb="12">
      <t>イキナイ</t>
    </rPh>
    <phoneticPr fontId="37"/>
  </si>
  <si>
    <t>内子ども</t>
    <rPh sb="0" eb="1">
      <t>ウチ</t>
    </rPh>
    <rPh sb="1" eb="2">
      <t>コ</t>
    </rPh>
    <phoneticPr fontId="37"/>
  </si>
  <si>
    <t>中央</t>
    <rPh sb="0" eb="2">
      <t>チュウオウ</t>
    </rPh>
    <phoneticPr fontId="37"/>
  </si>
  <si>
    <t>幹
線
道
路</t>
    <rPh sb="0" eb="1">
      <t>ミキ</t>
    </rPh>
    <rPh sb="6" eb="7">
      <t>セン</t>
    </rPh>
    <rPh sb="12" eb="13">
      <t>ミチ</t>
    </rPh>
    <rPh sb="18" eb="19">
      <t>ロ</t>
    </rPh>
    <phoneticPr fontId="37"/>
  </si>
  <si>
    <t>大
阪
府
全
域</t>
    <rPh sb="0" eb="1">
      <t>ダイ</t>
    </rPh>
    <rPh sb="2" eb="3">
      <t>サカ</t>
    </rPh>
    <rPh sb="4" eb="5">
      <t>フ</t>
    </rPh>
    <rPh sb="6" eb="7">
      <t>ゼン</t>
    </rPh>
    <rPh sb="8" eb="9">
      <t>イキ</t>
    </rPh>
    <phoneticPr fontId="37"/>
  </si>
  <si>
    <t>昭和45年</t>
    <rPh sb="0" eb="2">
      <t>ショウワ</t>
    </rPh>
    <rPh sb="4" eb="5">
      <t>ネン</t>
    </rPh>
    <phoneticPr fontId="37"/>
  </si>
  <si>
    <t>増減率％</t>
    <rPh sb="0" eb="2">
      <t>ゾウゲン</t>
    </rPh>
    <rPh sb="2" eb="3">
      <t>リツ</t>
    </rPh>
    <phoneticPr fontId="37"/>
  </si>
  <si>
    <t>木津川平野線</t>
    <rPh sb="0" eb="2">
      <t>キヅ</t>
    </rPh>
    <rPh sb="2" eb="3">
      <t>ガワ</t>
    </rPh>
    <rPh sb="3" eb="5">
      <t>ヒラノ</t>
    </rPh>
    <rPh sb="5" eb="6">
      <t>セン</t>
    </rPh>
    <phoneticPr fontId="37"/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</si>
  <si>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37"/>
  </si>
  <si>
    <t>４７９　号</t>
    <rPh sb="4" eb="5">
      <t>ゴウ</t>
    </rPh>
    <phoneticPr fontId="37"/>
  </si>
  <si>
    <t>計</t>
    <rPh sb="0" eb="1">
      <t>ケイ</t>
    </rPh>
    <phoneticPr fontId="37"/>
  </si>
  <si>
    <t>城東</t>
    <rPh sb="0" eb="2">
      <t>ジョウトウ</t>
    </rPh>
    <phoneticPr fontId="37"/>
  </si>
  <si>
    <t>負傷者数</t>
  </si>
  <si>
    <t>中津太子橋線</t>
    <rPh sb="0" eb="2">
      <t>ナカツ</t>
    </rPh>
    <rPh sb="2" eb="4">
      <t>タイシ</t>
    </rPh>
    <rPh sb="4" eb="5">
      <t>バシ</t>
    </rPh>
    <rPh sb="5" eb="6">
      <t>セン</t>
    </rPh>
    <phoneticPr fontId="37"/>
  </si>
  <si>
    <t>新庄長柄線</t>
    <rPh sb="0" eb="2">
      <t>シンジョウ</t>
    </rPh>
    <rPh sb="2" eb="4">
      <t>ナガラ</t>
    </rPh>
    <rPh sb="4" eb="5">
      <t>セン</t>
    </rPh>
    <phoneticPr fontId="37"/>
  </si>
  <si>
    <t>（２）交通情勢の推移</t>
    <rPh sb="3" eb="5">
      <t>コウツウ</t>
    </rPh>
    <rPh sb="5" eb="7">
      <t>ジョウセイ</t>
    </rPh>
    <rPh sb="8" eb="10">
      <t>スイイ</t>
    </rPh>
    <phoneticPr fontId="37"/>
  </si>
  <si>
    <t>１万台当り</t>
    <rPh sb="1" eb="2">
      <t>マン</t>
    </rPh>
    <rPh sb="2" eb="3">
      <t>ダイ</t>
    </rPh>
    <rPh sb="3" eb="4">
      <t>アタ</t>
    </rPh>
    <phoneticPr fontId="37"/>
  </si>
  <si>
    <t>大阪港八尾線</t>
    <rPh sb="0" eb="3">
      <t>オオサカコウ</t>
    </rPh>
    <rPh sb="3" eb="5">
      <t>ヤオ</t>
    </rPh>
    <rPh sb="5" eb="6">
      <t>セン</t>
    </rPh>
    <phoneticPr fontId="37"/>
  </si>
  <si>
    <t>合計</t>
    <rPh sb="0" eb="1">
      <t>ゴウ</t>
    </rPh>
    <rPh sb="1" eb="2">
      <t>ケイ</t>
    </rPh>
    <phoneticPr fontId="37"/>
  </si>
  <si>
    <t>指数</t>
    <rPh sb="0" eb="2">
      <t>シスウ</t>
    </rPh>
    <phoneticPr fontId="37"/>
  </si>
  <si>
    <t>片町野江森小路線</t>
    <rPh sb="0" eb="2">
      <t>カタマチ</t>
    </rPh>
    <rPh sb="2" eb="4">
      <t>ノエ</t>
    </rPh>
    <rPh sb="4" eb="5">
      <t>モリ</t>
    </rPh>
    <rPh sb="5" eb="7">
      <t>ショウジ</t>
    </rPh>
    <rPh sb="7" eb="8">
      <t>セン</t>
    </rPh>
    <phoneticPr fontId="37"/>
  </si>
  <si>
    <t>生野</t>
    <rPh sb="0" eb="2">
      <t>イクノ</t>
    </rPh>
    <phoneticPr fontId="37"/>
  </si>
  <si>
    <t>難波足代線</t>
    <rPh sb="0" eb="2">
      <t>ナンバ</t>
    </rPh>
    <rPh sb="2" eb="4">
      <t>アジロ</t>
    </rPh>
    <rPh sb="4" eb="5">
      <t>セン</t>
    </rPh>
    <phoneticPr fontId="37"/>
  </si>
  <si>
    <t>天神橋天王寺線</t>
    <rPh sb="0" eb="3">
      <t>テンジンバシ</t>
    </rPh>
    <rPh sb="3" eb="6">
      <t>テンノウジ</t>
    </rPh>
    <rPh sb="6" eb="7">
      <t>セン</t>
    </rPh>
    <phoneticPr fontId="37"/>
  </si>
  <si>
    <t>西淀川</t>
    <rPh sb="0" eb="3">
      <t>ニシヨドガワ</t>
    </rPh>
    <phoneticPr fontId="37"/>
  </si>
  <si>
    <t>交通</t>
    <rPh sb="0" eb="2">
      <t>コウツウ</t>
    </rPh>
    <phoneticPr fontId="37"/>
  </si>
  <si>
    <t>件数（件）</t>
    <rPh sb="0" eb="2">
      <t>ケンスウ</t>
    </rPh>
    <rPh sb="3" eb="4">
      <t>ケン</t>
    </rPh>
    <phoneticPr fontId="37"/>
  </si>
  <si>
    <t>西野田中津線</t>
    <rPh sb="0" eb="1">
      <t>ニシ</t>
    </rPh>
    <rPh sb="1" eb="3">
      <t>ノダ</t>
    </rPh>
    <rPh sb="3" eb="5">
      <t>ナカツ</t>
    </rPh>
    <rPh sb="5" eb="6">
      <t>セン</t>
    </rPh>
    <phoneticPr fontId="37"/>
  </si>
  <si>
    <t>状態別</t>
    <rPh sb="0" eb="2">
      <t>ジョウタイ</t>
    </rPh>
    <rPh sb="2" eb="3">
      <t>ベツ</t>
    </rPh>
    <phoneticPr fontId="37"/>
  </si>
  <si>
    <t>(人)</t>
    <phoneticPr fontId="37"/>
  </si>
  <si>
    <t>年別</t>
    <rPh sb="0" eb="2">
      <t>ネンベツ</t>
    </rPh>
    <phoneticPr fontId="37"/>
  </si>
  <si>
    <t>高齢者</t>
    <rPh sb="0" eb="3">
      <t>コウレイシャ</t>
    </rPh>
    <phoneticPr fontId="37"/>
  </si>
  <si>
    <t>都島</t>
    <rPh sb="0" eb="2">
      <t>ミヤコジマ</t>
    </rPh>
    <phoneticPr fontId="37"/>
  </si>
  <si>
    <t>全
国</t>
    <rPh sb="0" eb="1">
      <t>ゼン</t>
    </rPh>
    <rPh sb="2" eb="3">
      <t>クニ</t>
    </rPh>
    <phoneticPr fontId="37"/>
  </si>
  <si>
    <t>　　２　号</t>
    <rPh sb="4" eb="5">
      <t>ゴウ</t>
    </rPh>
    <phoneticPr fontId="37"/>
  </si>
  <si>
    <t>(台)</t>
    <rPh sb="1" eb="2">
      <t>ダイ</t>
    </rPh>
    <phoneticPr fontId="37"/>
  </si>
  <si>
    <t>九条梅田線</t>
    <rPh sb="0" eb="2">
      <t>クジョウ</t>
    </rPh>
    <rPh sb="2" eb="3">
      <t>ウメ</t>
    </rPh>
    <rPh sb="3" eb="4">
      <t>タ</t>
    </rPh>
    <rPh sb="4" eb="5">
      <t>セン</t>
    </rPh>
    <phoneticPr fontId="37"/>
  </si>
  <si>
    <t>北</t>
    <rPh sb="0" eb="1">
      <t>キタ</t>
    </rPh>
    <phoneticPr fontId="37"/>
  </si>
  <si>
    <t>大阪枚岡奈良線</t>
    <rPh sb="0" eb="2">
      <t>オオサカ</t>
    </rPh>
    <rPh sb="2" eb="4">
      <t>ヒラオカ</t>
    </rPh>
    <rPh sb="4" eb="6">
      <t>ナラ</t>
    </rPh>
    <rPh sb="6" eb="7">
      <t>セン</t>
    </rPh>
    <phoneticPr fontId="37"/>
  </si>
  <si>
    <t>件数</t>
    <rPh sb="0" eb="1">
      <t>ケン</t>
    </rPh>
    <rPh sb="1" eb="2">
      <t>スウ</t>
    </rPh>
    <phoneticPr fontId="37"/>
  </si>
  <si>
    <t>３０９　号</t>
    <rPh sb="4" eb="5">
      <t>ゴウ</t>
    </rPh>
    <phoneticPr fontId="37"/>
  </si>
  <si>
    <t>（４）時間別</t>
    <rPh sb="3" eb="5">
      <t>ジカン</t>
    </rPh>
    <rPh sb="5" eb="6">
      <t>ベツ</t>
    </rPh>
    <phoneticPr fontId="37"/>
  </si>
  <si>
    <t>４次</t>
    <rPh sb="1" eb="2">
      <t>ジ</t>
    </rPh>
    <phoneticPr fontId="37"/>
  </si>
  <si>
    <t>昼間の事故の割合（％）</t>
    <rPh sb="0" eb="2">
      <t>ヒルマ</t>
    </rPh>
    <rPh sb="3" eb="5">
      <t>ジコ</t>
    </rPh>
    <rPh sb="6" eb="8">
      <t>ワリアイ</t>
    </rPh>
    <phoneticPr fontId="37"/>
  </si>
  <si>
    <t>路線別発生状況概略図（件数）</t>
    <rPh sb="0" eb="2">
      <t>ロセン</t>
    </rPh>
    <rPh sb="2" eb="3">
      <t>ベツ</t>
    </rPh>
    <rPh sb="3" eb="5">
      <t>ハッセイ</t>
    </rPh>
    <rPh sb="5" eb="7">
      <t>ジョウキョウ</t>
    </rPh>
    <rPh sb="7" eb="9">
      <t>ガイリャク</t>
    </rPh>
    <rPh sb="9" eb="10">
      <t>ズ</t>
    </rPh>
    <rPh sb="11" eb="13">
      <t>ケンスウ</t>
    </rPh>
    <phoneticPr fontId="37"/>
  </si>
  <si>
    <t>（件数：件／死者数・負傷者数：人）</t>
    <rPh sb="1" eb="3">
      <t>ケンスウ</t>
    </rPh>
    <rPh sb="4" eb="5">
      <t>ケン</t>
    </rPh>
    <rPh sb="6" eb="9">
      <t>シシャスウ</t>
    </rPh>
    <rPh sb="10" eb="13">
      <t>フショウシャ</t>
    </rPh>
    <rPh sb="13" eb="14">
      <t>スウ</t>
    </rPh>
    <rPh sb="15" eb="16">
      <t>ニン</t>
    </rPh>
    <phoneticPr fontId="37"/>
  </si>
  <si>
    <t>件数</t>
  </si>
  <si>
    <t>恵美須南森町線</t>
    <rPh sb="0" eb="3">
      <t>エビス</t>
    </rPh>
    <rPh sb="3" eb="4">
      <t>ミナミ</t>
    </rPh>
    <rPh sb="4" eb="5">
      <t>モリ</t>
    </rPh>
    <rPh sb="5" eb="6">
      <t>マチ</t>
    </rPh>
    <rPh sb="6" eb="7">
      <t>セン</t>
    </rPh>
    <phoneticPr fontId="37"/>
  </si>
  <si>
    <t>増減率（％）</t>
    <rPh sb="0" eb="2">
      <t>ゾウゲン</t>
    </rPh>
    <rPh sb="2" eb="3">
      <t>リツ</t>
    </rPh>
    <phoneticPr fontId="37"/>
  </si>
  <si>
    <t>　２６　号</t>
    <rPh sb="4" eb="5">
      <t>ゴウ</t>
    </rPh>
    <phoneticPr fontId="37"/>
  </si>
  <si>
    <t>歌島豊里線</t>
    <rPh sb="0" eb="2">
      <t>ウタジマ</t>
    </rPh>
    <rPh sb="2" eb="3">
      <t>トヨ</t>
    </rPh>
    <rPh sb="3" eb="4">
      <t>サト</t>
    </rPh>
    <rPh sb="4" eb="5">
      <t>セン</t>
    </rPh>
    <phoneticPr fontId="37"/>
  </si>
  <si>
    <t>車両相互</t>
    <rPh sb="0" eb="2">
      <t>シャリョウ</t>
    </rPh>
    <rPh sb="2" eb="4">
      <t>ソウゴ</t>
    </rPh>
    <phoneticPr fontId="37"/>
  </si>
  <si>
    <t>種別</t>
    <rPh sb="0" eb="2">
      <t>シュベツ</t>
    </rPh>
    <phoneticPr fontId="37"/>
  </si>
  <si>
    <t xml:space="preserve"> 時間別（幹線道路・その他）発生状況</t>
    <phoneticPr fontId="37"/>
  </si>
  <si>
    <t>巽生野加美線</t>
    <rPh sb="0" eb="1">
      <t>タツミ</t>
    </rPh>
    <rPh sb="1" eb="3">
      <t>イクノ</t>
    </rPh>
    <rPh sb="3" eb="5">
      <t>カミ</t>
    </rPh>
    <rPh sb="5" eb="6">
      <t>セン</t>
    </rPh>
    <phoneticPr fontId="37"/>
  </si>
  <si>
    <t>大阪伊丹線</t>
    <rPh sb="0" eb="2">
      <t>オオサカ</t>
    </rPh>
    <rPh sb="2" eb="5">
      <t>イタミセン</t>
    </rPh>
    <phoneticPr fontId="37"/>
  </si>
  <si>
    <t>２．交通事故の推移</t>
    <rPh sb="2" eb="4">
      <t>コウツウ</t>
    </rPh>
    <rPh sb="4" eb="6">
      <t>ジコ</t>
    </rPh>
    <rPh sb="7" eb="9">
      <t>スイイ</t>
    </rPh>
    <phoneticPr fontId="37"/>
  </si>
  <si>
    <t>（３）道路種別</t>
    <rPh sb="3" eb="5">
      <t>ドウロ</t>
    </rPh>
    <rPh sb="5" eb="6">
      <t>シュ</t>
    </rPh>
    <rPh sb="6" eb="7">
      <t>ベツ</t>
    </rPh>
    <phoneticPr fontId="37"/>
  </si>
  <si>
    <t>　</t>
    <phoneticPr fontId="37"/>
  </si>
  <si>
    <t>（件数：件／死者数・負傷者数：人）</t>
    <phoneticPr fontId="37"/>
  </si>
  <si>
    <t>（１）交通事故の年別推移（昭和４５年以降）</t>
    <rPh sb="3" eb="5">
      <t>コウツウ</t>
    </rPh>
    <rPh sb="5" eb="7">
      <t>ジコ</t>
    </rPh>
    <rPh sb="8" eb="10">
      <t>ネンベツ</t>
    </rPh>
    <rPh sb="10" eb="12">
      <t>スイイ</t>
    </rPh>
    <rPh sb="13" eb="15">
      <t>ショウワ</t>
    </rPh>
    <rPh sb="17" eb="20">
      <t>ネンイコウ</t>
    </rPh>
    <phoneticPr fontId="37"/>
  </si>
  <si>
    <t>各年１０月１日現在</t>
    <phoneticPr fontId="37"/>
  </si>
  <si>
    <t>高速道路等は大阪市域外に計上。</t>
    <rPh sb="0" eb="2">
      <t>コウソク</t>
    </rPh>
    <rPh sb="2" eb="4">
      <t>ドウロ</t>
    </rPh>
    <rPh sb="4" eb="5">
      <t>ナド</t>
    </rPh>
    <rPh sb="6" eb="8">
      <t>オオサカ</t>
    </rPh>
    <rPh sb="8" eb="10">
      <t>シイキ</t>
    </rPh>
    <rPh sb="10" eb="11">
      <t>ガイ</t>
    </rPh>
    <rPh sb="12" eb="14">
      <t>ケイジョウ</t>
    </rPh>
    <phoneticPr fontId="37"/>
  </si>
  <si>
    <t>子ども及び高齢者は自身の数を計上。</t>
    <rPh sb="0" eb="1">
      <t>コ</t>
    </rPh>
    <rPh sb="3" eb="4">
      <t>オヨ</t>
    </rPh>
    <rPh sb="5" eb="8">
      <t>コウレイシャ</t>
    </rPh>
    <rPh sb="9" eb="11">
      <t>ジシン</t>
    </rPh>
    <rPh sb="12" eb="13">
      <t>カズ</t>
    </rPh>
    <rPh sb="14" eb="16">
      <t>ケイジョウ</t>
    </rPh>
    <phoneticPr fontId="37"/>
  </si>
  <si>
    <t>平野守口線</t>
    <rPh sb="0" eb="2">
      <t>ヒラノ</t>
    </rPh>
    <rPh sb="2" eb="4">
      <t>モリグチ</t>
    </rPh>
    <rPh sb="4" eb="5">
      <t>セン</t>
    </rPh>
    <phoneticPr fontId="37"/>
  </si>
  <si>
    <t>主
要
地
方
道</t>
    <phoneticPr fontId="37"/>
  </si>
  <si>
    <t>幹線道路とは、８ページ記載の国道、主要地方道、一般府道、大阪市道を指す。
（以下のページについても同様である。）</t>
    <rPh sb="0" eb="2">
      <t>カンセン</t>
    </rPh>
    <rPh sb="2" eb="4">
      <t>ドウロ</t>
    </rPh>
    <rPh sb="11" eb="13">
      <t>キサイ</t>
    </rPh>
    <rPh sb="14" eb="16">
      <t>コクドウ</t>
    </rPh>
    <rPh sb="17" eb="19">
      <t>シュヨウ</t>
    </rPh>
    <rPh sb="19" eb="21">
      <t>チホウ</t>
    </rPh>
    <rPh sb="21" eb="22">
      <t>ミチ</t>
    </rPh>
    <rPh sb="23" eb="25">
      <t>イッパン</t>
    </rPh>
    <rPh sb="25" eb="27">
      <t>フドウ</t>
    </rPh>
    <rPh sb="28" eb="30">
      <t>オオサカ</t>
    </rPh>
    <rPh sb="30" eb="32">
      <t>シドウ</t>
    </rPh>
    <rPh sb="33" eb="34">
      <t>サ</t>
    </rPh>
    <rPh sb="38" eb="40">
      <t>イカ</t>
    </rPh>
    <rPh sb="49" eb="51">
      <t>ドウヨウ</t>
    </rPh>
    <phoneticPr fontId="37"/>
  </si>
  <si>
    <t>10次</t>
    <rPh sb="2" eb="3">
      <t>ジ</t>
    </rPh>
    <phoneticPr fontId="37"/>
  </si>
  <si>
    <t>新木津川大橋</t>
    <rPh sb="0" eb="1">
      <t>シン</t>
    </rPh>
    <rPh sb="1" eb="4">
      <t>キヅガワ</t>
    </rPh>
    <rPh sb="4" eb="6">
      <t>オオハシ</t>
    </rPh>
    <phoneticPr fontId="37"/>
  </si>
  <si>
    <t>平成29年</t>
    <rPh sb="0" eb="2">
      <t>ヘイセイ</t>
    </rPh>
    <rPh sb="4" eb="5">
      <t>ネン</t>
    </rPh>
    <phoneticPr fontId="37"/>
  </si>
  <si>
    <t>月別　   道路別</t>
    <rPh sb="0" eb="1">
      <t>ツキ</t>
    </rPh>
    <rPh sb="1" eb="2">
      <t>ベツ</t>
    </rPh>
    <rPh sb="6" eb="8">
      <t>ドウロ</t>
    </rPh>
    <rPh sb="8" eb="9">
      <t>ベツ</t>
    </rPh>
    <phoneticPr fontId="37"/>
  </si>
  <si>
    <t>１．平成30年中の交通事故の概要</t>
    <rPh sb="2" eb="4">
      <t>ヘイセイ</t>
    </rPh>
    <rPh sb="6" eb="7">
      <t>ネン</t>
    </rPh>
    <rPh sb="7" eb="8">
      <t>チュウ</t>
    </rPh>
    <rPh sb="9" eb="13">
      <t>コウツウジコ</t>
    </rPh>
    <rPh sb="14" eb="16">
      <t>ガイヨウ</t>
    </rPh>
    <phoneticPr fontId="37"/>
  </si>
  <si>
    <t>平成30年</t>
    <rPh sb="0" eb="2">
      <t>ヘイセイ</t>
    </rPh>
    <rPh sb="4" eb="5">
      <t>ネン</t>
    </rPh>
    <phoneticPr fontId="37"/>
  </si>
  <si>
    <t>（2018年）</t>
    <rPh sb="5" eb="6">
      <t>ネン</t>
    </rPh>
    <phoneticPr fontId="37"/>
  </si>
  <si>
    <t>３．平成30年中の大阪市の交通事故の発生状況</t>
    <rPh sb="2" eb="4">
      <t>ヘイセイ</t>
    </rPh>
    <rPh sb="6" eb="7">
      <t>ネン</t>
    </rPh>
    <rPh sb="7" eb="8">
      <t>チュウ</t>
    </rPh>
    <rPh sb="9" eb="12">
      <t>オオサカシ</t>
    </rPh>
    <rPh sb="13" eb="15">
      <t>コウツウ</t>
    </rPh>
    <rPh sb="15" eb="17">
      <t>ジコ</t>
    </rPh>
    <rPh sb="18" eb="20">
      <t>ハッセイ</t>
    </rPh>
    <rPh sb="20" eb="22">
      <t>ジョウキョウ</t>
    </rPh>
    <phoneticPr fontId="37"/>
  </si>
  <si>
    <t>(注２)人口は平成30年10月1日現在の数値である。</t>
    <rPh sb="1" eb="2">
      <t>チュウ</t>
    </rPh>
    <rPh sb="4" eb="6">
      <t>ジンコウ</t>
    </rPh>
    <rPh sb="7" eb="9">
      <t>ヘイセイ</t>
    </rPh>
    <rPh sb="11" eb="12">
      <t>ネン</t>
    </rPh>
    <rPh sb="14" eb="15">
      <t>ガツ</t>
    </rPh>
    <rPh sb="16" eb="17">
      <t>ニチ</t>
    </rPh>
    <rPh sb="17" eb="19">
      <t>ゲンザイ</t>
    </rPh>
    <rPh sb="20" eb="22">
      <t>スウチ</t>
    </rPh>
    <phoneticPr fontId="37"/>
  </si>
  <si>
    <t>平成24</t>
    <rPh sb="0" eb="2">
      <t>ヘイセイ</t>
    </rPh>
    <phoneticPr fontId="37"/>
  </si>
  <si>
    <t>１号線</t>
    <rPh sb="1" eb="3">
      <t>ゴウセン</t>
    </rPh>
    <phoneticPr fontId="37"/>
  </si>
  <si>
    <t>２号線</t>
    <rPh sb="1" eb="3">
      <t>ゴウセン</t>
    </rPh>
    <phoneticPr fontId="37"/>
  </si>
  <si>
    <t>２５号線</t>
    <rPh sb="2" eb="4">
      <t>ゴウセン</t>
    </rPh>
    <phoneticPr fontId="37"/>
  </si>
  <si>
    <t>２６号線</t>
    <rPh sb="2" eb="4">
      <t>ゴウセン</t>
    </rPh>
    <phoneticPr fontId="37"/>
  </si>
  <si>
    <t>４３号線</t>
    <rPh sb="2" eb="4">
      <t>ゴウセン</t>
    </rPh>
    <phoneticPr fontId="37"/>
  </si>
  <si>
    <t>１７６号線</t>
    <rPh sb="3" eb="5">
      <t>ゴウセン</t>
    </rPh>
    <phoneticPr fontId="37"/>
  </si>
  <si>
    <t>４２３号線</t>
    <rPh sb="3" eb="5">
      <t>ゴウセン</t>
    </rPh>
    <phoneticPr fontId="37"/>
  </si>
  <si>
    <t>３０８号線</t>
    <rPh sb="3" eb="5">
      <t>ゴウセン</t>
    </rPh>
    <phoneticPr fontId="37"/>
  </si>
  <si>
    <t>４７９号線</t>
    <rPh sb="3" eb="5">
      <t>ゴウセン</t>
    </rPh>
    <phoneticPr fontId="37"/>
  </si>
  <si>
    <t>大阪中央環状線</t>
    <rPh sb="0" eb="2">
      <t>オオサカ</t>
    </rPh>
    <rPh sb="2" eb="4">
      <t>チュウオウ</t>
    </rPh>
    <rPh sb="4" eb="7">
      <t>カンジョウセン</t>
    </rPh>
    <phoneticPr fontId="37"/>
  </si>
  <si>
    <t>大阪和泉泉南線</t>
    <rPh sb="0" eb="2">
      <t>オオサカ</t>
    </rPh>
    <rPh sb="2" eb="4">
      <t>イズミ</t>
    </rPh>
    <rPh sb="4" eb="6">
      <t>センナン</t>
    </rPh>
    <rPh sb="6" eb="7">
      <t>セン</t>
    </rPh>
    <phoneticPr fontId="37"/>
  </si>
  <si>
    <t>大阪高石線</t>
    <rPh sb="0" eb="2">
      <t>オオサカ</t>
    </rPh>
    <rPh sb="2" eb="4">
      <t>タカイシ</t>
    </rPh>
    <rPh sb="4" eb="5">
      <t>セン</t>
    </rPh>
    <phoneticPr fontId="37"/>
  </si>
  <si>
    <t>大阪臨海線</t>
    <rPh sb="0" eb="2">
      <t>オオサカ</t>
    </rPh>
    <rPh sb="2" eb="4">
      <t>リンカイ</t>
    </rPh>
    <rPh sb="4" eb="5">
      <t>セン</t>
    </rPh>
    <phoneticPr fontId="37"/>
  </si>
  <si>
    <t>大阪伊丹線</t>
    <rPh sb="0" eb="2">
      <t>オオサカ</t>
    </rPh>
    <rPh sb="2" eb="4">
      <t>イタミ</t>
    </rPh>
    <rPh sb="4" eb="5">
      <t>セン</t>
    </rPh>
    <phoneticPr fontId="37"/>
  </si>
  <si>
    <t>築港深江線</t>
    <rPh sb="0" eb="2">
      <t>チッコウ</t>
    </rPh>
    <rPh sb="2" eb="4">
      <t>フカエ</t>
    </rPh>
    <rPh sb="4" eb="5">
      <t>セン</t>
    </rPh>
    <phoneticPr fontId="37"/>
  </si>
  <si>
    <t>大阪枚岡奈良線</t>
    <rPh sb="0" eb="2">
      <t>オオサカ</t>
    </rPh>
    <rPh sb="2" eb="4">
      <t>ヒラオカ</t>
    </rPh>
    <rPh sb="4" eb="6">
      <t>ナラ</t>
    </rPh>
    <rPh sb="6" eb="7">
      <t>セン</t>
    </rPh>
    <phoneticPr fontId="37"/>
  </si>
  <si>
    <t>-</t>
    <phoneticPr fontId="3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</si>
</sst>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;&quot;△ &quot;#,##0"/>
    <numFmt numFmtId="177" formatCode="#,##0;&quot;▲ &quot;#,##0"/>
    <numFmt numFmtId="178" formatCode="0.0;&quot;△ &quot;0.0"/>
    <numFmt numFmtId="179" formatCode="0.0;&quot;▲ &quot;0.0"/>
    <numFmt numFmtId="180" formatCode="0;&quot;▲ &quot;0"/>
    <numFmt numFmtId="181" formatCode="#,##0_);[Red]\(#,##0\)"/>
    <numFmt numFmtId="182" formatCode="0.0"/>
    <numFmt numFmtId="183" formatCode="#,##0.0;[Red]\-#,##0.0"/>
    <numFmt numFmtId="184" formatCode="#,##0_ "/>
    <numFmt numFmtId="185" formatCode="#,##0_ ;[Red]\-#,##0\ "/>
    <numFmt numFmtId="186" formatCode="#,##0.0_);[Red]\(#,##0.0\)"/>
    <numFmt numFmtId="187" formatCode="General&quot;件&quot;"/>
  </numFmts>
  <fonts count="4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3"/>
      <name val="ＭＳ 明朝"/>
      <family val="1"/>
      <charset val="128"/>
    </font>
    <font>
      <sz val="12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63"/>
      <name val="ＭＳ Ｐゴシック"/>
      <family val="3"/>
      <charset val="128"/>
    </font>
    <font>
      <sz val="11"/>
      <color indexed="63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8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</fills>
  <borders count="9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9" fontId="41" fillId="0" borderId="0" applyFont="0" applyFill="0" applyBorder="0" applyAlignment="0" applyProtection="0"/>
    <xf numFmtId="0" fontId="4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41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707">
    <xf numFmtId="0" fontId="0" fillId="0" borderId="0" xfId="0"/>
    <xf numFmtId="0" fontId="18" fillId="0" borderId="0" xfId="0" applyFont="1" applyAlignment="1">
      <alignment vertical="center"/>
    </xf>
    <xf numFmtId="0" fontId="0" fillId="0" borderId="0" xfId="0" applyAlignment="1"/>
    <xf numFmtId="0" fontId="19" fillId="0" borderId="0" xfId="0" applyFont="1"/>
    <xf numFmtId="0" fontId="20" fillId="0" borderId="10" xfId="0" applyFont="1" applyBorder="1" applyAlignment="1">
      <alignment horizontal="right"/>
    </xf>
    <xf numFmtId="0" fontId="19" fillId="0" borderId="11" xfId="0" applyFont="1" applyBorder="1"/>
    <xf numFmtId="0" fontId="19" fillId="0" borderId="12" xfId="0" applyFont="1" applyBorder="1"/>
    <xf numFmtId="0" fontId="19" fillId="0" borderId="13" xfId="0" applyFont="1" applyBorder="1"/>
    <xf numFmtId="0" fontId="19" fillId="0" borderId="10" xfId="0" applyFont="1" applyBorder="1"/>
    <xf numFmtId="0" fontId="19" fillId="0" borderId="14" xfId="0" applyFont="1" applyBorder="1"/>
    <xf numFmtId="0" fontId="19" fillId="0" borderId="0" xfId="0" applyFont="1" applyBorder="1"/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distributed" vertical="center"/>
    </xf>
    <xf numFmtId="0" fontId="19" fillId="0" borderId="19" xfId="0" applyFont="1" applyBorder="1" applyAlignment="1">
      <alignment horizontal="distributed" vertical="center"/>
    </xf>
    <xf numFmtId="0" fontId="19" fillId="0" borderId="20" xfId="0" applyFont="1" applyBorder="1" applyAlignment="1">
      <alignment horizontal="right"/>
    </xf>
    <xf numFmtId="0" fontId="19" fillId="0" borderId="21" xfId="0" applyFont="1" applyBorder="1"/>
    <xf numFmtId="0" fontId="19" fillId="0" borderId="22" xfId="0" applyFont="1" applyFill="1" applyBorder="1"/>
    <xf numFmtId="0" fontId="19" fillId="0" borderId="23" xfId="0" applyFont="1" applyFill="1" applyBorder="1"/>
    <xf numFmtId="179" fontId="19" fillId="0" borderId="24" xfId="0" applyNumberFormat="1" applyFont="1" applyBorder="1" applyAlignment="1">
      <alignment horizontal="right" vertical="center"/>
    </xf>
    <xf numFmtId="0" fontId="19" fillId="0" borderId="0" xfId="0" applyFont="1" applyFill="1" applyBorder="1"/>
    <xf numFmtId="0" fontId="19" fillId="0" borderId="25" xfId="0" applyFont="1" applyFill="1" applyBorder="1"/>
    <xf numFmtId="0" fontId="19" fillId="0" borderId="26" xfId="0" applyFont="1" applyFill="1" applyBorder="1"/>
    <xf numFmtId="0" fontId="19" fillId="0" borderId="18" xfId="0" applyFont="1" applyFill="1" applyBorder="1"/>
    <xf numFmtId="0" fontId="19" fillId="0" borderId="27" xfId="0" applyFont="1" applyFill="1" applyBorder="1"/>
    <xf numFmtId="0" fontId="19" fillId="0" borderId="28" xfId="0" applyFont="1" applyFill="1" applyBorder="1"/>
    <xf numFmtId="179" fontId="19" fillId="0" borderId="29" xfId="0" applyNumberFormat="1" applyFont="1" applyBorder="1" applyAlignment="1">
      <alignment horizontal="right" vertical="center"/>
    </xf>
    <xf numFmtId="0" fontId="19" fillId="0" borderId="10" xfId="0" applyFont="1" applyFill="1" applyBorder="1"/>
    <xf numFmtId="0" fontId="19" fillId="0" borderId="30" xfId="0" applyFont="1" applyFill="1" applyBorder="1"/>
    <xf numFmtId="0" fontId="0" fillId="0" borderId="0" xfId="0" applyFont="1"/>
    <xf numFmtId="0" fontId="21" fillId="0" borderId="0" xfId="0" applyFont="1"/>
    <xf numFmtId="0" fontId="19" fillId="0" borderId="0" xfId="0" applyFont="1" applyFill="1"/>
    <xf numFmtId="0" fontId="19" fillId="0" borderId="31" xfId="0" applyFont="1" applyBorder="1" applyAlignment="1">
      <alignment horizontal="right"/>
    </xf>
    <xf numFmtId="0" fontId="19" fillId="0" borderId="32" xfId="0" applyFont="1" applyBorder="1"/>
    <xf numFmtId="0" fontId="19" fillId="0" borderId="33" xfId="0" applyFont="1" applyBorder="1"/>
    <xf numFmtId="0" fontId="19" fillId="0" borderId="34" xfId="0" applyFont="1" applyBorder="1"/>
    <xf numFmtId="0" fontId="20" fillId="0" borderId="35" xfId="0" applyFont="1" applyBorder="1" applyAlignment="1">
      <alignment horizontal="distributed" vertical="center"/>
    </xf>
    <xf numFmtId="0" fontId="20" fillId="0" borderId="36" xfId="0" applyFont="1" applyBorder="1" applyAlignment="1">
      <alignment horizontal="distributed" vertical="center"/>
    </xf>
    <xf numFmtId="0" fontId="20" fillId="0" borderId="37" xfId="0" applyFont="1" applyBorder="1" applyAlignment="1">
      <alignment horizontal="distributed" vertical="center"/>
    </xf>
    <xf numFmtId="0" fontId="20" fillId="0" borderId="38" xfId="0" applyFont="1" applyBorder="1" applyAlignment="1">
      <alignment horizontal="distributed" vertical="center"/>
    </xf>
    <xf numFmtId="0" fontId="19" fillId="0" borderId="39" xfId="0" applyFont="1" applyBorder="1"/>
    <xf numFmtId="0" fontId="19" fillId="0" borderId="40" xfId="0" applyFont="1" applyBorder="1" applyAlignment="1">
      <alignment horizontal="center"/>
    </xf>
    <xf numFmtId="181" fontId="19" fillId="0" borderId="27" xfId="34" applyNumberFormat="1" applyFont="1" applyBorder="1" applyAlignment="1">
      <alignment vertical="center"/>
    </xf>
    <xf numFmtId="181" fontId="19" fillId="0" borderId="41" xfId="0" applyNumberFormat="1" applyFont="1" applyBorder="1" applyAlignment="1">
      <alignment vertical="center"/>
    </xf>
    <xf numFmtId="181" fontId="19" fillId="0" borderId="42" xfId="34" applyNumberFormat="1" applyFont="1" applyBorder="1" applyAlignment="1">
      <alignment vertical="center"/>
    </xf>
    <xf numFmtId="181" fontId="19" fillId="0" borderId="43" xfId="34" applyNumberFormat="1" applyFont="1" applyBorder="1" applyAlignment="1">
      <alignment vertical="center"/>
    </xf>
    <xf numFmtId="181" fontId="19" fillId="0" borderId="41" xfId="34" applyNumberFormat="1" applyFont="1" applyBorder="1" applyAlignment="1">
      <alignment vertical="center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/>
    </xf>
    <xf numFmtId="181" fontId="19" fillId="0" borderId="16" xfId="34" applyNumberFormat="1" applyFont="1" applyBorder="1" applyAlignment="1">
      <alignment vertical="center"/>
    </xf>
    <xf numFmtId="181" fontId="19" fillId="0" borderId="46" xfId="0" applyNumberFormat="1" applyFont="1" applyBorder="1" applyAlignment="1">
      <alignment vertical="center"/>
    </xf>
    <xf numFmtId="181" fontId="19" fillId="0" borderId="47" xfId="34" applyNumberFormat="1" applyFont="1" applyBorder="1" applyAlignment="1">
      <alignment vertical="center"/>
    </xf>
    <xf numFmtId="181" fontId="19" fillId="0" borderId="17" xfId="34" applyNumberFormat="1" applyFont="1" applyBorder="1" applyAlignment="1">
      <alignment vertical="center"/>
    </xf>
    <xf numFmtId="181" fontId="19" fillId="0" borderId="46" xfId="34" applyNumberFormat="1" applyFont="1" applyBorder="1" applyAlignment="1">
      <alignment vertical="center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/>
    </xf>
    <xf numFmtId="181" fontId="19" fillId="0" borderId="26" xfId="34" applyNumberFormat="1" applyFont="1" applyBorder="1" applyAlignment="1">
      <alignment vertical="center"/>
    </xf>
    <xf numFmtId="181" fontId="19" fillId="0" borderId="50" xfId="0" applyNumberFormat="1" applyFont="1" applyBorder="1" applyAlignment="1">
      <alignment vertical="center"/>
    </xf>
    <xf numFmtId="181" fontId="19" fillId="0" borderId="51" xfId="34" applyNumberFormat="1" applyFont="1" applyBorder="1" applyAlignment="1">
      <alignment vertical="center"/>
    </xf>
    <xf numFmtId="181" fontId="19" fillId="0" borderId="29" xfId="34" applyNumberFormat="1" applyFont="1" applyBorder="1" applyAlignment="1">
      <alignment vertical="center"/>
    </xf>
    <xf numFmtId="181" fontId="19" fillId="0" borderId="50" xfId="34" applyNumberFormat="1" applyFont="1" applyBorder="1" applyAlignment="1">
      <alignment vertical="center"/>
    </xf>
    <xf numFmtId="0" fontId="19" fillId="0" borderId="32" xfId="0" applyFont="1" applyBorder="1" applyAlignment="1">
      <alignment horizontal="center"/>
    </xf>
    <xf numFmtId="181" fontId="19" fillId="0" borderId="0" xfId="34" applyNumberFormat="1" applyFont="1" applyBorder="1" applyAlignment="1">
      <alignment vertical="center"/>
    </xf>
    <xf numFmtId="181" fontId="19" fillId="0" borderId="52" xfId="0" applyNumberFormat="1" applyFont="1" applyBorder="1" applyAlignment="1">
      <alignment vertical="center"/>
    </xf>
    <xf numFmtId="181" fontId="19" fillId="0" borderId="53" xfId="34" applyNumberFormat="1" applyFont="1" applyBorder="1" applyAlignment="1">
      <alignment vertical="center"/>
    </xf>
    <xf numFmtId="181" fontId="19" fillId="0" borderId="54" xfId="34" applyNumberFormat="1" applyFont="1" applyBorder="1" applyAlignment="1">
      <alignment vertical="center"/>
    </xf>
    <xf numFmtId="181" fontId="19" fillId="0" borderId="52" xfId="34" applyNumberFormat="1" applyFont="1" applyBorder="1" applyAlignment="1">
      <alignment vertical="center"/>
    </xf>
    <xf numFmtId="181" fontId="19" fillId="0" borderId="29" xfId="34" applyNumberFormat="1" applyFont="1" applyFill="1" applyBorder="1" applyAlignment="1">
      <alignment vertical="center"/>
    </xf>
    <xf numFmtId="181" fontId="19" fillId="0" borderId="43" xfId="34" applyNumberFormat="1" applyFont="1" applyFill="1" applyBorder="1" applyAlignment="1">
      <alignment vertical="center"/>
    </xf>
    <xf numFmtId="181" fontId="19" fillId="0" borderId="17" xfId="34" applyNumberFormat="1" applyFont="1" applyFill="1" applyBorder="1" applyAlignment="1">
      <alignment vertical="center"/>
    </xf>
    <xf numFmtId="181" fontId="19" fillId="0" borderId="54" xfId="34" applyNumberFormat="1" applyFont="1" applyFill="1" applyBorder="1" applyAlignment="1">
      <alignment vertical="center"/>
    </xf>
    <xf numFmtId="181" fontId="19" fillId="0" borderId="49" xfId="34" applyNumberFormat="1" applyFont="1" applyFill="1" applyBorder="1" applyAlignment="1">
      <alignment vertical="center"/>
    </xf>
    <xf numFmtId="181" fontId="19" fillId="0" borderId="45" xfId="34" applyNumberFormat="1" applyFont="1" applyFill="1" applyBorder="1" applyAlignment="1">
      <alignment vertical="center"/>
    </xf>
    <xf numFmtId="0" fontId="19" fillId="0" borderId="55" xfId="0" applyFont="1" applyBorder="1" applyAlignment="1">
      <alignment horizontal="center"/>
    </xf>
    <xf numFmtId="181" fontId="19" fillId="0" borderId="44" xfId="34" applyNumberFormat="1" applyFont="1" applyBorder="1" applyAlignment="1">
      <alignment vertical="center"/>
    </xf>
    <xf numFmtId="181" fontId="19" fillId="0" borderId="55" xfId="34" applyNumberFormat="1" applyFont="1" applyBorder="1" applyAlignment="1">
      <alignment vertical="center"/>
    </xf>
    <xf numFmtId="181" fontId="19" fillId="0" borderId="44" xfId="34" applyNumberFormat="1" applyFont="1" applyFill="1" applyBorder="1" applyAlignment="1">
      <alignment vertical="center"/>
    </xf>
    <xf numFmtId="181" fontId="19" fillId="0" borderId="46" xfId="0" applyNumberFormat="1" applyFont="1" applyFill="1" applyBorder="1" applyAlignment="1">
      <alignment vertical="center"/>
    </xf>
    <xf numFmtId="181" fontId="19" fillId="0" borderId="15" xfId="34" applyNumberFormat="1" applyFont="1" applyBorder="1" applyAlignment="1">
      <alignment vertical="center"/>
    </xf>
    <xf numFmtId="181" fontId="19" fillId="0" borderId="45" xfId="34" applyNumberFormat="1" applyFont="1" applyBorder="1" applyAlignment="1">
      <alignment vertical="center"/>
    </xf>
    <xf numFmtId="181" fontId="19" fillId="0" borderId="16" xfId="0" applyNumberFormat="1" applyFont="1" applyBorder="1" applyAlignment="1">
      <alignment vertical="center"/>
    </xf>
    <xf numFmtId="181" fontId="19" fillId="0" borderId="15" xfId="34" applyNumberFormat="1" applyFont="1" applyFill="1" applyBorder="1" applyAlignment="1">
      <alignment vertical="center"/>
    </xf>
    <xf numFmtId="181" fontId="19" fillId="0" borderId="16" xfId="0" applyNumberFormat="1" applyFont="1" applyFill="1" applyBorder="1" applyAlignment="1">
      <alignment vertical="center"/>
    </xf>
    <xf numFmtId="0" fontId="19" fillId="0" borderId="18" xfId="0" applyFont="1" applyFill="1" applyBorder="1" applyAlignment="1">
      <alignment horizontal="center"/>
    </xf>
    <xf numFmtId="181" fontId="19" fillId="0" borderId="56" xfId="34" applyNumberFormat="1" applyFont="1" applyFill="1" applyBorder="1" applyAlignment="1">
      <alignment vertical="center"/>
    </xf>
    <xf numFmtId="181" fontId="19" fillId="0" borderId="50" xfId="0" applyNumberFormat="1" applyFont="1" applyFill="1" applyBorder="1" applyAlignment="1">
      <alignment vertical="center"/>
    </xf>
    <xf numFmtId="181" fontId="19" fillId="0" borderId="57" xfId="34" applyNumberFormat="1" applyFont="1" applyFill="1" applyBorder="1" applyAlignment="1">
      <alignment vertical="center"/>
    </xf>
    <xf numFmtId="181" fontId="19" fillId="0" borderId="18" xfId="34" applyNumberFormat="1" applyFont="1" applyFill="1" applyBorder="1" applyAlignment="1">
      <alignment vertical="center"/>
    </xf>
    <xf numFmtId="181" fontId="19" fillId="0" borderId="50" xfId="34" applyNumberFormat="1" applyFont="1" applyFill="1" applyBorder="1" applyAlignment="1">
      <alignment vertical="center"/>
    </xf>
    <xf numFmtId="0" fontId="19" fillId="0" borderId="28" xfId="0" applyFont="1" applyFill="1" applyBorder="1" applyAlignment="1">
      <alignment horizontal="center"/>
    </xf>
    <xf numFmtId="181" fontId="19" fillId="0" borderId="39" xfId="34" applyNumberFormat="1" applyFont="1" applyFill="1" applyBorder="1" applyAlignment="1">
      <alignment vertical="center"/>
    </xf>
    <xf numFmtId="181" fontId="19" fillId="0" borderId="41" xfId="0" applyNumberFormat="1" applyFont="1" applyFill="1" applyBorder="1" applyAlignment="1">
      <alignment vertical="center"/>
    </xf>
    <xf numFmtId="181" fontId="19" fillId="0" borderId="40" xfId="34" applyNumberFormat="1" applyFont="1" applyFill="1" applyBorder="1" applyAlignment="1">
      <alignment vertical="center"/>
    </xf>
    <xf numFmtId="181" fontId="19" fillId="0" borderId="58" xfId="34" applyNumberFormat="1" applyFont="1" applyFill="1" applyBorder="1" applyAlignment="1">
      <alignment vertical="center"/>
    </xf>
    <xf numFmtId="181" fontId="19" fillId="0" borderId="28" xfId="34" applyNumberFormat="1" applyFont="1" applyFill="1" applyBorder="1" applyAlignment="1">
      <alignment vertical="center"/>
    </xf>
    <xf numFmtId="181" fontId="19" fillId="0" borderId="41" xfId="34" applyNumberFormat="1" applyFont="1" applyFill="1" applyBorder="1" applyAlignment="1">
      <alignment vertical="center"/>
    </xf>
    <xf numFmtId="0" fontId="19" fillId="0" borderId="25" xfId="0" applyFont="1" applyFill="1" applyBorder="1" applyAlignment="1">
      <alignment horizontal="center"/>
    </xf>
    <xf numFmtId="181" fontId="19" fillId="0" borderId="48" xfId="34" applyNumberFormat="1" applyFont="1" applyFill="1" applyBorder="1" applyAlignment="1">
      <alignment vertical="center"/>
    </xf>
    <xf numFmtId="181" fontId="19" fillId="0" borderId="52" xfId="0" applyNumberFormat="1" applyFont="1" applyFill="1" applyBorder="1" applyAlignment="1">
      <alignment vertical="center"/>
    </xf>
    <xf numFmtId="181" fontId="19" fillId="0" borderId="32" xfId="34" applyNumberFormat="1" applyFont="1" applyFill="1" applyBorder="1" applyAlignment="1">
      <alignment vertical="center"/>
    </xf>
    <xf numFmtId="181" fontId="19" fillId="0" borderId="59" xfId="34" applyNumberFormat="1" applyFont="1" applyFill="1" applyBorder="1" applyAlignment="1">
      <alignment vertical="center"/>
    </xf>
    <xf numFmtId="181" fontId="19" fillId="0" borderId="25" xfId="34" applyNumberFormat="1" applyFont="1" applyFill="1" applyBorder="1" applyAlignment="1">
      <alignment vertical="center"/>
    </xf>
    <xf numFmtId="181" fontId="19" fillId="0" borderId="52" xfId="34" applyNumberFormat="1" applyFont="1" applyFill="1" applyBorder="1" applyAlignment="1">
      <alignment vertical="center"/>
    </xf>
    <xf numFmtId="181" fontId="19" fillId="0" borderId="56" xfId="0" applyNumberFormat="1" applyFont="1" applyFill="1" applyBorder="1" applyAlignment="1">
      <alignment vertical="center"/>
    </xf>
    <xf numFmtId="181" fontId="19" fillId="0" borderId="49" xfId="0" applyNumberFormat="1" applyFont="1" applyFill="1" applyBorder="1" applyAlignment="1">
      <alignment vertical="center"/>
    </xf>
    <xf numFmtId="181" fontId="19" fillId="0" borderId="57" xfId="0" applyNumberFormat="1" applyFont="1" applyFill="1" applyBorder="1" applyAlignment="1">
      <alignment vertical="center"/>
    </xf>
    <xf numFmtId="0" fontId="19" fillId="0" borderId="11" xfId="0" applyFont="1" applyBorder="1" applyAlignment="1">
      <alignment horizontal="right"/>
    </xf>
    <xf numFmtId="0" fontId="19" fillId="0" borderId="31" xfId="0" applyFont="1" applyBorder="1" applyAlignment="1">
      <alignment horizontal="distributed" vertical="center"/>
    </xf>
    <xf numFmtId="38" fontId="19" fillId="0" borderId="23" xfId="34" applyFont="1" applyBorder="1" applyAlignment="1">
      <alignment horizontal="center" vertical="center"/>
    </xf>
    <xf numFmtId="177" fontId="19" fillId="0" borderId="60" xfId="34" applyNumberFormat="1" applyFont="1" applyBorder="1" applyAlignment="1">
      <alignment horizontal="right" vertical="center"/>
    </xf>
    <xf numFmtId="0" fontId="19" fillId="0" borderId="53" xfId="0" applyFont="1" applyBorder="1" applyAlignment="1">
      <alignment vertical="center"/>
    </xf>
    <xf numFmtId="0" fontId="19" fillId="0" borderId="49" xfId="0" applyFont="1" applyBorder="1" applyAlignment="1">
      <alignment horizontal="distributed" vertical="center"/>
    </xf>
    <xf numFmtId="38" fontId="19" fillId="0" borderId="18" xfId="34" applyFont="1" applyBorder="1" applyAlignment="1">
      <alignment horizontal="center" vertical="center"/>
    </xf>
    <xf numFmtId="177" fontId="19" fillId="0" borderId="57" xfId="34" applyNumberFormat="1" applyFont="1" applyBorder="1" applyAlignment="1">
      <alignment horizontal="right" vertical="center"/>
    </xf>
    <xf numFmtId="0" fontId="19" fillId="0" borderId="42" xfId="0" applyFont="1" applyBorder="1"/>
    <xf numFmtId="0" fontId="19" fillId="0" borderId="40" xfId="0" applyFont="1" applyBorder="1" applyAlignment="1">
      <alignment horizontal="distributed" vertical="center"/>
    </xf>
    <xf numFmtId="0" fontId="19" fillId="0" borderId="53" xfId="0" applyFont="1" applyBorder="1"/>
    <xf numFmtId="0" fontId="19" fillId="0" borderId="32" xfId="0" applyFont="1" applyBorder="1" applyAlignment="1">
      <alignment horizontal="distributed" vertical="center"/>
    </xf>
    <xf numFmtId="0" fontId="19" fillId="0" borderId="53" xfId="0" applyFont="1" applyBorder="1" applyAlignment="1">
      <alignment horizontal="center" vertical="center"/>
    </xf>
    <xf numFmtId="0" fontId="19" fillId="0" borderId="34" xfId="0" applyFont="1" applyBorder="1" applyAlignment="1">
      <alignment horizontal="distributed" vertical="center"/>
    </xf>
    <xf numFmtId="38" fontId="19" fillId="0" borderId="19" xfId="34" applyFont="1" applyBorder="1" applyAlignment="1">
      <alignment horizontal="center" vertical="center"/>
    </xf>
    <xf numFmtId="177" fontId="19" fillId="0" borderId="61" xfId="34" applyNumberFormat="1" applyFont="1" applyBorder="1" applyAlignment="1">
      <alignment horizontal="right" vertical="center"/>
    </xf>
    <xf numFmtId="179" fontId="19" fillId="0" borderId="38" xfId="0" applyNumberFormat="1" applyFont="1" applyBorder="1" applyAlignment="1">
      <alignment horizontal="right" vertical="center"/>
    </xf>
    <xf numFmtId="0" fontId="22" fillId="0" borderId="0" xfId="0" applyFont="1"/>
    <xf numFmtId="0" fontId="23" fillId="0" borderId="0" xfId="0" applyFont="1"/>
    <xf numFmtId="0" fontId="24" fillId="0" borderId="0" xfId="0" applyFont="1" applyFill="1"/>
    <xf numFmtId="0" fontId="25" fillId="0" borderId="0" xfId="0" applyFont="1" applyFill="1"/>
    <xf numFmtId="0" fontId="26" fillId="0" borderId="0" xfId="0" applyFont="1" applyFill="1"/>
    <xf numFmtId="0" fontId="0" fillId="0" borderId="0" xfId="0" applyFont="1" applyAlignment="1">
      <alignment wrapText="1"/>
    </xf>
    <xf numFmtId="0" fontId="19" fillId="0" borderId="62" xfId="0" applyFont="1" applyBorder="1" applyAlignment="1">
      <alignment horizontal="right"/>
    </xf>
    <xf numFmtId="0" fontId="0" fillId="0" borderId="50" xfId="0" applyBorder="1"/>
    <xf numFmtId="0" fontId="19" fillId="0" borderId="63" xfId="0" applyFont="1" applyBorder="1"/>
    <xf numFmtId="0" fontId="20" fillId="0" borderId="13" xfId="0" applyFont="1" applyBorder="1" applyAlignment="1">
      <alignment horizontal="right" vertical="center"/>
    </xf>
    <xf numFmtId="0" fontId="19" fillId="0" borderId="64" xfId="0" applyFont="1" applyBorder="1" applyAlignment="1">
      <alignment horizontal="center"/>
    </xf>
    <xf numFmtId="38" fontId="19" fillId="0" borderId="0" xfId="34" applyFont="1" applyFill="1" applyBorder="1"/>
    <xf numFmtId="0" fontId="19" fillId="0" borderId="52" xfId="0" applyFont="1" applyFill="1" applyBorder="1"/>
    <xf numFmtId="182" fontId="19" fillId="0" borderId="52" xfId="0" applyNumberFormat="1" applyFont="1" applyFill="1" applyBorder="1"/>
    <xf numFmtId="183" fontId="19" fillId="0" borderId="32" xfId="34" applyNumberFormat="1" applyFont="1" applyFill="1" applyBorder="1"/>
    <xf numFmtId="38" fontId="19" fillId="0" borderId="53" xfId="34" applyFont="1" applyFill="1" applyBorder="1"/>
    <xf numFmtId="0" fontId="19" fillId="0" borderId="65" xfId="0" applyFont="1" applyBorder="1" applyAlignment="1">
      <alignment horizontal="center"/>
    </xf>
    <xf numFmtId="38" fontId="19" fillId="0" borderId="26" xfId="34" applyFont="1" applyFill="1" applyBorder="1"/>
    <xf numFmtId="182" fontId="19" fillId="0" borderId="50" xfId="0" applyNumberFormat="1" applyFont="1" applyFill="1" applyBorder="1"/>
    <xf numFmtId="183" fontId="19" fillId="0" borderId="49" xfId="34" applyNumberFormat="1" applyFont="1" applyFill="1" applyBorder="1"/>
    <xf numFmtId="38" fontId="19" fillId="0" borderId="51" xfId="34" applyFont="1" applyFill="1" applyBorder="1"/>
    <xf numFmtId="182" fontId="19" fillId="0" borderId="49" xfId="0" applyNumberFormat="1" applyFont="1" applyFill="1" applyBorder="1"/>
    <xf numFmtId="182" fontId="19" fillId="0" borderId="32" xfId="0" applyNumberFormat="1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8" fontId="19" fillId="0" borderId="56" xfId="34" applyFont="1" applyFill="1" applyBorder="1"/>
    <xf numFmtId="38" fontId="19" fillId="0" borderId="16" xfId="34" applyFont="1" applyFill="1" applyBorder="1"/>
    <xf numFmtId="182" fontId="19" fillId="0" borderId="46" xfId="0" applyNumberFormat="1" applyFont="1" applyFill="1" applyBorder="1"/>
    <xf numFmtId="38" fontId="19" fillId="0" borderId="47" xfId="34" applyFont="1" applyFill="1" applyBorder="1"/>
    <xf numFmtId="182" fontId="19" fillId="0" borderId="17" xfId="0" applyNumberFormat="1" applyFont="1" applyFill="1" applyBorder="1"/>
    <xf numFmtId="183" fontId="19" fillId="0" borderId="17" xfId="34" applyNumberFormat="1" applyFont="1" applyFill="1" applyBorder="1"/>
    <xf numFmtId="0" fontId="19" fillId="0" borderId="66" xfId="0" applyFont="1" applyBorder="1" applyAlignment="1">
      <alignment horizontal="center"/>
    </xf>
    <xf numFmtId="0" fontId="19" fillId="0" borderId="66" xfId="0" applyFont="1" applyFill="1" applyBorder="1" applyAlignment="1">
      <alignment horizontal="center"/>
    </xf>
    <xf numFmtId="0" fontId="19" fillId="0" borderId="67" xfId="0" applyFont="1" applyBorder="1" applyAlignment="1">
      <alignment vertical="center"/>
    </xf>
    <xf numFmtId="182" fontId="0" fillId="0" borderId="0" xfId="0" applyNumberFormat="1" applyFont="1" applyBorder="1"/>
    <xf numFmtId="0" fontId="18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/>
    <xf numFmtId="0" fontId="20" fillId="0" borderId="11" xfId="0" applyFont="1" applyBorder="1"/>
    <xf numFmtId="0" fontId="20" fillId="0" borderId="12" xfId="0" applyFont="1" applyBorder="1"/>
    <xf numFmtId="0" fontId="20" fillId="0" borderId="12" xfId="0" applyFont="1" applyBorder="1" applyAlignment="1">
      <alignment horizontal="right"/>
    </xf>
    <xf numFmtId="0" fontId="20" fillId="0" borderId="53" xfId="0" applyFont="1" applyBorder="1"/>
    <xf numFmtId="0" fontId="20" fillId="0" borderId="0" xfId="0" applyFont="1" applyBorder="1"/>
    <xf numFmtId="0" fontId="19" fillId="0" borderId="68" xfId="0" applyFont="1" applyBorder="1" applyAlignment="1">
      <alignment horizontal="center"/>
    </xf>
    <xf numFmtId="184" fontId="0" fillId="0" borderId="0" xfId="0" applyNumberFormat="1"/>
    <xf numFmtId="0" fontId="19" fillId="0" borderId="48" xfId="0" applyFont="1" applyBorder="1" applyAlignment="1">
      <alignment horizontal="center"/>
    </xf>
    <xf numFmtId="0" fontId="19" fillId="0" borderId="55" xfId="0" applyFont="1" applyBorder="1" applyAlignment="1">
      <alignment horizontal="distributed" vertical="center"/>
    </xf>
    <xf numFmtId="0" fontId="19" fillId="0" borderId="52" xfId="0" applyFont="1" applyBorder="1" applyAlignment="1">
      <alignment horizontal="distributed" vertical="center"/>
    </xf>
    <xf numFmtId="0" fontId="19" fillId="0" borderId="41" xfId="0" applyFont="1" applyBorder="1" applyAlignment="1">
      <alignment horizontal="distributed" vertical="center"/>
    </xf>
    <xf numFmtId="0" fontId="19" fillId="0" borderId="33" xfId="0" applyFont="1" applyBorder="1" applyAlignment="1">
      <alignment horizontal="center"/>
    </xf>
    <xf numFmtId="0" fontId="19" fillId="0" borderId="69" xfId="0" applyFont="1" applyBorder="1" applyAlignment="1">
      <alignment horizontal="distributed" vertical="center"/>
    </xf>
    <xf numFmtId="0" fontId="19" fillId="0" borderId="0" xfId="0" applyFont="1" applyFill="1" applyBorder="1" applyAlignment="1"/>
    <xf numFmtId="0" fontId="24" fillId="0" borderId="0" xfId="0" applyFont="1"/>
    <xf numFmtId="0" fontId="0" fillId="0" borderId="50" xfId="0" applyBorder="1" applyAlignment="1">
      <alignment horizontal="center" vertical="center"/>
    </xf>
    <xf numFmtId="0" fontId="19" fillId="0" borderId="70" xfId="0" applyFont="1" applyBorder="1" applyAlignment="1">
      <alignment horizontal="distributed" vertical="center"/>
    </xf>
    <xf numFmtId="38" fontId="0" fillId="0" borderId="50" xfId="34" applyFont="1" applyBorder="1" applyAlignment="1">
      <alignment vertical="center"/>
    </xf>
    <xf numFmtId="0" fontId="19" fillId="0" borderId="65" xfId="0" applyFont="1" applyBorder="1" applyAlignment="1">
      <alignment horizontal="distributed" vertical="center"/>
    </xf>
    <xf numFmtId="0" fontId="19" fillId="0" borderId="67" xfId="0" applyFont="1" applyBorder="1" applyAlignment="1">
      <alignment horizontal="distributed" vertical="center"/>
    </xf>
    <xf numFmtId="0" fontId="19" fillId="0" borderId="67" xfId="0" applyFont="1" applyFill="1" applyBorder="1" applyAlignment="1">
      <alignment horizontal="distributed" vertical="center"/>
    </xf>
    <xf numFmtId="0" fontId="19" fillId="0" borderId="21" xfId="0" applyFont="1" applyBorder="1" applyAlignment="1">
      <alignment horizontal="distributed" vertical="center"/>
    </xf>
    <xf numFmtId="184" fontId="30" fillId="0" borderId="50" xfId="0" applyNumberFormat="1" applyFont="1" applyBorder="1" applyAlignment="1">
      <alignment horizontal="center" vertical="center"/>
    </xf>
    <xf numFmtId="0" fontId="19" fillId="0" borderId="51" xfId="0" applyFont="1" applyBorder="1" applyAlignment="1">
      <alignment horizontal="distributed" vertical="center"/>
    </xf>
    <xf numFmtId="184" fontId="31" fillId="0" borderId="0" xfId="0" applyNumberFormat="1" applyFont="1" applyBorder="1" applyAlignment="1"/>
    <xf numFmtId="0" fontId="19" fillId="0" borderId="71" xfId="0" applyFont="1" applyBorder="1" applyAlignment="1">
      <alignment horizontal="distributed" vertical="center"/>
    </xf>
    <xf numFmtId="0" fontId="19" fillId="0" borderId="71" xfId="0" applyFont="1" applyFill="1" applyBorder="1" applyAlignment="1">
      <alignment horizontal="distributed" vertical="center"/>
    </xf>
    <xf numFmtId="184" fontId="29" fillId="0" borderId="12" xfId="0" applyNumberFormat="1" applyFont="1" applyFill="1" applyBorder="1" applyAlignment="1">
      <alignment horizontal="right" vertical="center"/>
    </xf>
    <xf numFmtId="0" fontId="27" fillId="0" borderId="0" xfId="0" applyFont="1"/>
    <xf numFmtId="0" fontId="0" fillId="0" borderId="0" xfId="0" applyFont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38" fontId="0" fillId="0" borderId="0" xfId="34" applyFont="1" applyFill="1" applyBorder="1"/>
    <xf numFmtId="0" fontId="0" fillId="0" borderId="0" xfId="0" applyFill="1" applyBorder="1"/>
    <xf numFmtId="38" fontId="0" fillId="0" borderId="0" xfId="34" applyFont="1" applyBorder="1"/>
    <xf numFmtId="38" fontId="0" fillId="0" borderId="0" xfId="0" applyNumberFormat="1" applyBorder="1"/>
    <xf numFmtId="0" fontId="16" fillId="0" borderId="0" xfId="0" applyFont="1"/>
    <xf numFmtId="0" fontId="0" fillId="0" borderId="72" xfId="0" applyFont="1" applyBorder="1" applyAlignment="1">
      <alignment vertical="center"/>
    </xf>
    <xf numFmtId="0" fontId="34" fillId="0" borderId="18" xfId="0" applyFont="1" applyFill="1" applyBorder="1" applyAlignment="1">
      <alignment horizontal="distributed" vertical="center"/>
    </xf>
    <xf numFmtId="184" fontId="16" fillId="24" borderId="0" xfId="0" applyNumberFormat="1" applyFont="1" applyFill="1" applyBorder="1" applyAlignment="1">
      <alignment vertical="center"/>
    </xf>
    <xf numFmtId="0" fontId="34" fillId="0" borderId="27" xfId="0" applyFont="1" applyFill="1" applyBorder="1" applyAlignment="1">
      <alignment horizontal="distributed" vertical="center"/>
    </xf>
    <xf numFmtId="0" fontId="34" fillId="0" borderId="26" xfId="0" applyFont="1" applyFill="1" applyBorder="1" applyAlignment="1">
      <alignment horizontal="distributed" vertical="center"/>
    </xf>
    <xf numFmtId="181" fontId="0" fillId="0" borderId="0" xfId="0" applyNumberFormat="1"/>
    <xf numFmtId="0" fontId="35" fillId="0" borderId="18" xfId="0" applyFont="1" applyFill="1" applyBorder="1" applyAlignment="1">
      <alignment horizontal="distributed" vertical="center"/>
    </xf>
    <xf numFmtId="0" fontId="34" fillId="0" borderId="55" xfId="0" applyFont="1" applyFill="1" applyBorder="1" applyAlignment="1">
      <alignment horizontal="distributed" vertical="center"/>
    </xf>
    <xf numFmtId="181" fontId="0" fillId="0" borderId="73" xfId="34" applyNumberFormat="1" applyFont="1" applyFill="1" applyBorder="1" applyAlignment="1">
      <alignment vertical="center"/>
    </xf>
    <xf numFmtId="181" fontId="0" fillId="0" borderId="74" xfId="34" applyNumberFormat="1" applyFont="1" applyFill="1" applyBorder="1" applyAlignment="1">
      <alignment vertical="center"/>
    </xf>
    <xf numFmtId="0" fontId="32" fillId="0" borderId="0" xfId="0" applyFont="1"/>
    <xf numFmtId="0" fontId="36" fillId="0" borderId="0" xfId="0" applyFont="1" applyAlignment="1">
      <alignment vertical="center"/>
    </xf>
    <xf numFmtId="0" fontId="33" fillId="0" borderId="0" xfId="0" applyFont="1" applyBorder="1" applyAlignment="1">
      <alignment horizontal="right"/>
    </xf>
    <xf numFmtId="0" fontId="0" fillId="0" borderId="0" xfId="0" applyFont="1" applyBorder="1" applyAlignment="1">
      <alignment horizontal="center" vertical="center"/>
    </xf>
    <xf numFmtId="0" fontId="37" fillId="0" borderId="53" xfId="0" applyFont="1" applyBorder="1" applyAlignment="1">
      <alignment vertical="center"/>
    </xf>
    <xf numFmtId="0" fontId="34" fillId="0" borderId="44" xfId="0" applyFont="1" applyBorder="1" applyAlignment="1">
      <alignment horizontal="distributed" vertical="center"/>
    </xf>
    <xf numFmtId="0" fontId="34" fillId="0" borderId="46" xfId="0" applyFont="1" applyFill="1" applyBorder="1" applyAlignment="1">
      <alignment horizontal="distributed" vertical="center"/>
    </xf>
    <xf numFmtId="0" fontId="34" fillId="0" borderId="55" xfId="0" applyFont="1" applyBorder="1" applyAlignment="1">
      <alignment horizontal="distributed" vertical="center"/>
    </xf>
    <xf numFmtId="0" fontId="34" fillId="0" borderId="45" xfId="0" applyFont="1" applyBorder="1" applyAlignment="1">
      <alignment horizontal="distributed" vertical="center"/>
    </xf>
    <xf numFmtId="0" fontId="34" fillId="0" borderId="15" xfId="0" applyFont="1" applyBorder="1" applyAlignment="1">
      <alignment horizontal="distributed" vertical="center"/>
    </xf>
    <xf numFmtId="0" fontId="34" fillId="0" borderId="0" xfId="0" applyFont="1" applyBorder="1" applyAlignment="1">
      <alignment horizontal="distributed" vertical="center"/>
    </xf>
    <xf numFmtId="185" fontId="1" fillId="0" borderId="31" xfId="34" applyNumberFormat="1" applyFont="1" applyBorder="1" applyAlignment="1">
      <alignment vertical="center"/>
    </xf>
    <xf numFmtId="185" fontId="1" fillId="0" borderId="31" xfId="34" applyNumberFormat="1" applyFont="1" applyFill="1" applyBorder="1" applyAlignment="1">
      <alignment vertical="center"/>
    </xf>
    <xf numFmtId="185" fontId="1" fillId="0" borderId="0" xfId="34" applyNumberFormat="1" applyFont="1" applyBorder="1" applyAlignment="1">
      <alignment vertical="center"/>
    </xf>
    <xf numFmtId="185" fontId="1" fillId="0" borderId="49" xfId="34" applyNumberFormat="1" applyFont="1" applyBorder="1" applyAlignment="1">
      <alignment vertical="center"/>
    </xf>
    <xf numFmtId="185" fontId="1" fillId="0" borderId="49" xfId="34" applyNumberFormat="1" applyFont="1" applyFill="1" applyBorder="1" applyAlignment="1">
      <alignment vertical="center"/>
    </xf>
    <xf numFmtId="185" fontId="1" fillId="0" borderId="34" xfId="34" applyNumberFormat="1" applyFont="1" applyBorder="1" applyAlignment="1">
      <alignment vertical="center"/>
    </xf>
    <xf numFmtId="185" fontId="1" fillId="0" borderId="34" xfId="34" applyNumberFormat="1" applyFont="1" applyFill="1" applyBorder="1" applyAlignment="1">
      <alignment vertical="center"/>
    </xf>
    <xf numFmtId="0" fontId="0" fillId="0" borderId="75" xfId="0" applyFont="1" applyBorder="1" applyAlignment="1">
      <alignment horizontal="center" vertical="center"/>
    </xf>
    <xf numFmtId="185" fontId="1" fillId="0" borderId="76" xfId="34" applyNumberFormat="1" applyFont="1" applyBorder="1" applyAlignment="1">
      <alignment vertical="center"/>
    </xf>
    <xf numFmtId="185" fontId="1" fillId="0" borderId="77" xfId="34" applyNumberFormat="1" applyFont="1" applyBorder="1" applyAlignment="1">
      <alignment vertical="center"/>
    </xf>
    <xf numFmtId="185" fontId="1" fillId="0" borderId="78" xfId="34" applyNumberFormat="1" applyFont="1" applyBorder="1" applyAlignment="1">
      <alignment vertical="center"/>
    </xf>
    <xf numFmtId="185" fontId="1" fillId="0" borderId="79" xfId="34" applyNumberFormat="1" applyFont="1" applyBorder="1" applyAlignment="1">
      <alignment vertical="center"/>
    </xf>
    <xf numFmtId="0" fontId="32" fillId="0" borderId="0" xfId="0" applyFont="1" applyBorder="1"/>
    <xf numFmtId="0" fontId="0" fillId="0" borderId="11" xfId="0" applyFont="1" applyBorder="1"/>
    <xf numFmtId="0" fontId="0" fillId="0" borderId="20" xfId="0" applyFont="1" applyBorder="1" applyAlignment="1">
      <alignment horizontal="right"/>
    </xf>
    <xf numFmtId="0" fontId="0" fillId="0" borderId="13" xfId="0" applyFont="1" applyBorder="1"/>
    <xf numFmtId="0" fontId="33" fillId="0" borderId="14" xfId="0" applyFont="1" applyBorder="1"/>
    <xf numFmtId="0" fontId="34" fillId="0" borderId="40" xfId="0" applyFont="1" applyBorder="1" applyAlignment="1">
      <alignment horizontal="distributed" vertical="center"/>
    </xf>
    <xf numFmtId="181" fontId="0" fillId="0" borderId="72" xfId="34" applyNumberFormat="1" applyFont="1" applyBorder="1" applyAlignment="1">
      <alignment horizontal="right" vertical="center"/>
    </xf>
    <xf numFmtId="181" fontId="1" fillId="0" borderId="80" xfId="34" applyNumberFormat="1" applyFont="1" applyFill="1" applyBorder="1" applyAlignment="1">
      <alignment horizontal="right" vertical="center"/>
    </xf>
    <xf numFmtId="181" fontId="1" fillId="0" borderId="22" xfId="34" applyNumberFormat="1" applyFont="1" applyFill="1" applyBorder="1" applyAlignment="1">
      <alignment horizontal="right" vertical="center"/>
    </xf>
    <xf numFmtId="181" fontId="1" fillId="0" borderId="23" xfId="34" applyNumberFormat="1" applyFont="1" applyFill="1" applyBorder="1" applyAlignment="1">
      <alignment horizontal="right" vertical="center"/>
    </xf>
    <xf numFmtId="38" fontId="32" fillId="0" borderId="0" xfId="34" applyFont="1" applyBorder="1" applyAlignment="1">
      <alignment horizontal="right" vertical="center"/>
    </xf>
    <xf numFmtId="38" fontId="38" fillId="0" borderId="0" xfId="34" applyFont="1" applyBorder="1" applyAlignment="1">
      <alignment horizontal="right" vertical="center"/>
    </xf>
    <xf numFmtId="0" fontId="34" fillId="0" borderId="49" xfId="0" applyFont="1" applyFill="1" applyBorder="1" applyAlignment="1">
      <alignment horizontal="distributed" vertical="center"/>
    </xf>
    <xf numFmtId="181" fontId="0" fillId="0" borderId="56" xfId="34" applyNumberFormat="1" applyFont="1" applyFill="1" applyBorder="1" applyAlignment="1">
      <alignment horizontal="right" vertical="center"/>
    </xf>
    <xf numFmtId="181" fontId="1" fillId="0" borderId="50" xfId="34" applyNumberFormat="1" applyFont="1" applyFill="1" applyBorder="1" applyAlignment="1">
      <alignment horizontal="right" vertical="center"/>
    </xf>
    <xf numFmtId="181" fontId="1" fillId="0" borderId="26" xfId="34" applyNumberFormat="1" applyFont="1" applyFill="1" applyBorder="1" applyAlignment="1">
      <alignment horizontal="right" vertical="center"/>
    </xf>
    <xf numFmtId="181" fontId="1" fillId="0" borderId="18" xfId="34" applyNumberFormat="1" applyFont="1" applyFill="1" applyBorder="1" applyAlignment="1">
      <alignment horizontal="right" vertical="center"/>
    </xf>
    <xf numFmtId="0" fontId="34" fillId="0" borderId="54" xfId="0" applyFont="1" applyFill="1" applyBorder="1" applyAlignment="1">
      <alignment horizontal="center" vertical="center"/>
    </xf>
    <xf numFmtId="181" fontId="0" fillId="0" borderId="48" xfId="34" applyNumberFormat="1" applyFont="1" applyFill="1" applyBorder="1" applyAlignment="1">
      <alignment horizontal="right" vertical="center"/>
    </xf>
    <xf numFmtId="0" fontId="34" fillId="0" borderId="45" xfId="0" applyFont="1" applyFill="1" applyBorder="1" applyAlignment="1">
      <alignment horizontal="center" vertical="center" wrapText="1"/>
    </xf>
    <xf numFmtId="186" fontId="0" fillId="0" borderId="81" xfId="0" applyNumberFormat="1" applyFont="1" applyFill="1" applyBorder="1" applyAlignment="1">
      <alignment horizontal="right" vertical="center"/>
    </xf>
    <xf numFmtId="186" fontId="0" fillId="0" borderId="36" xfId="0" applyNumberFormat="1" applyFont="1" applyFill="1" applyBorder="1" applyAlignment="1">
      <alignment horizontal="right" vertical="center"/>
    </xf>
    <xf numFmtId="186" fontId="0" fillId="0" borderId="35" xfId="0" applyNumberFormat="1" applyFont="1" applyFill="1" applyBorder="1" applyAlignment="1">
      <alignment horizontal="right" vertical="center"/>
    </xf>
    <xf numFmtId="186" fontId="0" fillId="0" borderId="19" xfId="0" applyNumberFormat="1" applyFont="1" applyFill="1" applyBorder="1" applyAlignment="1">
      <alignment horizontal="right" vertical="center"/>
    </xf>
    <xf numFmtId="186" fontId="0" fillId="0" borderId="37" xfId="0" applyNumberFormat="1" applyFont="1" applyFill="1" applyBorder="1" applyAlignment="1">
      <alignment horizontal="right" vertical="center"/>
    </xf>
    <xf numFmtId="182" fontId="32" fillId="0" borderId="0" xfId="0" applyNumberFormat="1" applyFont="1" applyBorder="1" applyAlignment="1">
      <alignment horizontal="right" vertical="center"/>
    </xf>
    <xf numFmtId="182" fontId="38" fillId="0" borderId="0" xfId="0" applyNumberFormat="1" applyFont="1" applyBorder="1" applyAlignment="1">
      <alignment horizontal="right" vertical="center"/>
    </xf>
    <xf numFmtId="0" fontId="34" fillId="0" borderId="82" xfId="0" applyFont="1" applyFill="1" applyBorder="1" applyAlignment="1">
      <alignment horizontal="distributed" vertical="center"/>
    </xf>
    <xf numFmtId="181" fontId="0" fillId="0" borderId="72" xfId="34" applyNumberFormat="1" applyFont="1" applyFill="1" applyBorder="1" applyAlignment="1">
      <alignment horizontal="right" vertical="center"/>
    </xf>
    <xf numFmtId="0" fontId="34" fillId="0" borderId="37" xfId="0" applyFont="1" applyFill="1" applyBorder="1" applyAlignment="1">
      <alignment horizontal="center" vertical="center" wrapText="1"/>
    </xf>
    <xf numFmtId="0" fontId="34" fillId="0" borderId="40" xfId="0" applyFont="1" applyFill="1" applyBorder="1" applyAlignment="1">
      <alignment horizontal="distributed" vertical="center"/>
    </xf>
    <xf numFmtId="186" fontId="0" fillId="0" borderId="69" xfId="0" applyNumberFormat="1" applyFont="1" applyFill="1" applyBorder="1" applyAlignment="1">
      <alignment horizontal="right" vertical="center"/>
    </xf>
    <xf numFmtId="186" fontId="0" fillId="0" borderId="10" xfId="0" applyNumberFormat="1" applyFont="1" applyFill="1" applyBorder="1" applyAlignment="1">
      <alignment horizontal="right" vertical="center"/>
    </xf>
    <xf numFmtId="186" fontId="0" fillId="0" borderId="30" xfId="0" applyNumberFormat="1" applyFont="1" applyFill="1" applyBorder="1" applyAlignment="1">
      <alignment horizontal="right" vertical="center"/>
    </xf>
    <xf numFmtId="186" fontId="0" fillId="0" borderId="34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33" fillId="0" borderId="44" xfId="0" applyFont="1" applyBorder="1" applyAlignment="1">
      <alignment horizontal="center" vertical="center"/>
    </xf>
    <xf numFmtId="0" fontId="33" fillId="0" borderId="46" xfId="0" applyFont="1" applyFill="1" applyBorder="1" applyAlignment="1">
      <alignment horizontal="center" vertical="center"/>
    </xf>
    <xf numFmtId="0" fontId="33" fillId="0" borderId="55" xfId="0" applyFont="1" applyFill="1" applyBorder="1" applyAlignment="1">
      <alignment horizontal="center" vertical="center"/>
    </xf>
    <xf numFmtId="0" fontId="33" fillId="0" borderId="44" xfId="0" applyFont="1" applyFill="1" applyBorder="1" applyAlignment="1">
      <alignment horizontal="center" vertical="center"/>
    </xf>
    <xf numFmtId="0" fontId="33" fillId="0" borderId="45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181" fontId="39" fillId="0" borderId="23" xfId="0" applyNumberFormat="1" applyFont="1" applyFill="1" applyBorder="1" applyAlignment="1">
      <alignment vertical="center"/>
    </xf>
    <xf numFmtId="181" fontId="39" fillId="0" borderId="31" xfId="0" applyNumberFormat="1" applyFont="1" applyFill="1" applyBorder="1" applyAlignment="1">
      <alignment vertical="center"/>
    </xf>
    <xf numFmtId="186" fontId="39" fillId="0" borderId="83" xfId="0" applyNumberFormat="1" applyFont="1" applyFill="1" applyBorder="1" applyAlignment="1">
      <alignment vertical="center"/>
    </xf>
    <xf numFmtId="186" fontId="39" fillId="0" borderId="84" xfId="0" applyNumberFormat="1" applyFont="1" applyFill="1" applyBorder="1" applyAlignment="1">
      <alignment vertical="center"/>
    </xf>
    <xf numFmtId="186" fontId="39" fillId="0" borderId="31" xfId="0" applyNumberFormat="1" applyFont="1" applyFill="1" applyBorder="1" applyAlignment="1">
      <alignment vertical="center"/>
    </xf>
    <xf numFmtId="0" fontId="33" fillId="0" borderId="37" xfId="0" applyFont="1" applyBorder="1" applyAlignment="1">
      <alignment horizontal="center" vertical="center"/>
    </xf>
    <xf numFmtId="181" fontId="39" fillId="0" borderId="48" xfId="0" applyNumberFormat="1" applyFont="1" applyFill="1" applyBorder="1" applyAlignment="1">
      <alignment vertical="center"/>
    </xf>
    <xf numFmtId="181" fontId="39" fillId="0" borderId="52" xfId="0" applyNumberFormat="1" applyFont="1" applyFill="1" applyBorder="1" applyAlignment="1">
      <alignment vertical="center"/>
    </xf>
    <xf numFmtId="181" fontId="39" fillId="0" borderId="25" xfId="0" applyNumberFormat="1" applyFont="1" applyFill="1" applyBorder="1" applyAlignment="1">
      <alignment vertical="center"/>
    </xf>
    <xf numFmtId="181" fontId="39" fillId="0" borderId="37" xfId="0" applyNumberFormat="1" applyFont="1" applyFill="1" applyBorder="1" applyAlignment="1">
      <alignment vertical="center"/>
    </xf>
    <xf numFmtId="186" fontId="39" fillId="0" borderId="61" xfId="0" applyNumberFormat="1" applyFont="1" applyFill="1" applyBorder="1" applyAlignment="1">
      <alignment vertical="center"/>
    </xf>
    <xf numFmtId="186" fontId="39" fillId="0" borderId="36" xfId="0" applyNumberFormat="1" applyFont="1" applyFill="1" applyBorder="1" applyAlignment="1">
      <alignment vertical="center"/>
    </xf>
    <xf numFmtId="186" fontId="39" fillId="0" borderId="37" xfId="0" applyNumberFormat="1" applyFont="1" applyFill="1" applyBorder="1" applyAlignment="1">
      <alignment vertical="center"/>
    </xf>
    <xf numFmtId="181" fontId="39" fillId="0" borderId="33" xfId="0" applyNumberFormat="1" applyFont="1" applyFill="1" applyBorder="1" applyAlignment="1">
      <alignment vertical="center"/>
    </xf>
    <xf numFmtId="181" fontId="39" fillId="0" borderId="69" xfId="0" applyNumberFormat="1" applyFont="1" applyFill="1" applyBorder="1" applyAlignment="1">
      <alignment vertical="center"/>
    </xf>
    <xf numFmtId="181" fontId="39" fillId="0" borderId="30" xfId="0" applyNumberFormat="1" applyFont="1" applyFill="1" applyBorder="1" applyAlignment="1">
      <alignment vertical="center"/>
    </xf>
    <xf numFmtId="186" fontId="39" fillId="0" borderId="72" xfId="0" applyNumberFormat="1" applyFont="1" applyFill="1" applyBorder="1" applyAlignment="1">
      <alignment vertical="center"/>
    </xf>
    <xf numFmtId="186" fontId="39" fillId="0" borderId="80" xfId="0" applyNumberFormat="1" applyFont="1" applyFill="1" applyBorder="1" applyAlignment="1">
      <alignment vertical="center"/>
    </xf>
    <xf numFmtId="186" fontId="39" fillId="0" borderId="82" xfId="0" applyNumberFormat="1" applyFont="1" applyFill="1" applyBorder="1" applyAlignment="1">
      <alignment vertical="center"/>
    </xf>
    <xf numFmtId="186" fontId="39" fillId="0" borderId="81" xfId="0" applyNumberFormat="1" applyFont="1" applyFill="1" applyBorder="1" applyAlignment="1">
      <alignment vertical="center"/>
    </xf>
    <xf numFmtId="0" fontId="40" fillId="0" borderId="0" xfId="0" applyFont="1"/>
    <xf numFmtId="0" fontId="40" fillId="0" borderId="0" xfId="0" applyFont="1" applyAlignment="1">
      <alignment vertical="center" wrapText="1"/>
    </xf>
    <xf numFmtId="0" fontId="34" fillId="0" borderId="12" xfId="0" applyFont="1" applyBorder="1" applyAlignment="1">
      <alignment horizontal="right"/>
    </xf>
    <xf numFmtId="0" fontId="0" fillId="0" borderId="24" xfId="0" applyBorder="1" applyAlignment="1">
      <alignment horizontal="right" vertical="center"/>
    </xf>
    <xf numFmtId="0" fontId="0" fillId="0" borderId="53" xfId="0" applyFont="1" applyBorder="1"/>
    <xf numFmtId="0" fontId="0" fillId="0" borderId="0" xfId="0" applyFont="1" applyBorder="1"/>
    <xf numFmtId="0" fontId="0" fillId="0" borderId="4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34" fillId="0" borderId="13" xfId="0" applyFont="1" applyBorder="1"/>
    <xf numFmtId="0" fontId="0" fillId="0" borderId="10" xfId="0" applyFont="1" applyBorder="1"/>
    <xf numFmtId="0" fontId="0" fillId="0" borderId="48" xfId="0" applyFont="1" applyBorder="1" applyAlignment="1">
      <alignment horizontal="center" vertical="center"/>
    </xf>
    <xf numFmtId="0" fontId="34" fillId="0" borderId="46" xfId="0" applyFont="1" applyBorder="1" applyAlignment="1">
      <alignment horizontal="distributed" vertical="center"/>
    </xf>
    <xf numFmtId="0" fontId="34" fillId="0" borderId="45" xfId="0" applyFont="1" applyFill="1" applyBorder="1" applyAlignment="1">
      <alignment horizontal="distributed" vertical="center"/>
    </xf>
    <xf numFmtId="0" fontId="0" fillId="0" borderId="68" xfId="0" applyFont="1" applyBorder="1" applyAlignment="1">
      <alignment horizontal="center" vertical="center"/>
    </xf>
    <xf numFmtId="0" fontId="0" fillId="0" borderId="82" xfId="0" applyFont="1" applyBorder="1" applyAlignment="1">
      <alignment vertical="center"/>
    </xf>
    <xf numFmtId="185" fontId="1" fillId="0" borderId="72" xfId="34" applyNumberFormat="1" applyFont="1" applyBorder="1" applyAlignment="1">
      <alignment vertical="center"/>
    </xf>
    <xf numFmtId="185" fontId="1" fillId="0" borderId="72" xfId="34" applyNumberFormat="1" applyFont="1" applyFill="1" applyBorder="1" applyAlignment="1">
      <alignment vertical="center"/>
    </xf>
    <xf numFmtId="0" fontId="0" fillId="0" borderId="49" xfId="0" applyFont="1" applyBorder="1" applyAlignment="1">
      <alignment vertical="center"/>
    </xf>
    <xf numFmtId="185" fontId="1" fillId="0" borderId="56" xfId="34" applyNumberFormat="1" applyFont="1" applyBorder="1" applyAlignment="1">
      <alignment vertical="center"/>
    </xf>
    <xf numFmtId="185" fontId="1" fillId="0" borderId="56" xfId="34" applyNumberFormat="1" applyFont="1" applyFill="1" applyBorder="1" applyAlignment="1">
      <alignment vertical="center"/>
    </xf>
    <xf numFmtId="0" fontId="0" fillId="0" borderId="39" xfId="0" applyFont="1" applyBorder="1" applyAlignment="1">
      <alignment horizontal="center" vertical="center"/>
    </xf>
    <xf numFmtId="0" fontId="0" fillId="0" borderId="51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44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7" xfId="0" applyFont="1" applyBorder="1" applyAlignment="1">
      <alignment vertical="center"/>
    </xf>
    <xf numFmtId="185" fontId="1" fillId="0" borderId="81" xfId="34" applyNumberFormat="1" applyFont="1" applyBorder="1" applyAlignment="1">
      <alignment vertical="center"/>
    </xf>
    <xf numFmtId="185" fontId="1" fillId="0" borderId="81" xfId="34" applyNumberFormat="1" applyFont="1" applyFill="1" applyBorder="1" applyAlignment="1">
      <alignment vertical="center"/>
    </xf>
    <xf numFmtId="185" fontId="1" fillId="0" borderId="80" xfId="34" applyNumberFormat="1" applyFont="1" applyFill="1" applyBorder="1" applyAlignment="1">
      <alignment vertical="center"/>
    </xf>
    <xf numFmtId="185" fontId="1" fillId="0" borderId="82" xfId="34" applyNumberFormat="1" applyFont="1" applyFill="1" applyBorder="1" applyAlignment="1">
      <alignment vertical="center"/>
    </xf>
    <xf numFmtId="185" fontId="1" fillId="0" borderId="50" xfId="34" applyNumberFormat="1" applyFont="1" applyFill="1" applyBorder="1" applyAlignment="1">
      <alignment vertical="center"/>
    </xf>
    <xf numFmtId="185" fontId="1" fillId="0" borderId="36" xfId="34" applyNumberFormat="1" applyFont="1" applyFill="1" applyBorder="1" applyAlignment="1">
      <alignment vertical="center"/>
    </xf>
    <xf numFmtId="185" fontId="1" fillId="0" borderId="37" xfId="34" applyNumberFormat="1" applyFont="1" applyFill="1" applyBorder="1" applyAlignment="1">
      <alignment vertical="center"/>
    </xf>
    <xf numFmtId="0" fontId="0" fillId="0" borderId="0" xfId="0" applyNumberFormat="1" applyAlignment="1">
      <alignment vertical="center"/>
    </xf>
    <xf numFmtId="0" fontId="19" fillId="0" borderId="10" xfId="0" applyFont="1" applyBorder="1" applyAlignment="1">
      <alignment horizontal="center" vertical="center"/>
    </xf>
    <xf numFmtId="176" fontId="19" fillId="0" borderId="22" xfId="0" applyNumberFormat="1" applyFont="1" applyFill="1" applyBorder="1" applyAlignment="1">
      <alignment vertical="center"/>
    </xf>
    <xf numFmtId="177" fontId="19" fillId="0" borderId="83" xfId="34" applyNumberFormat="1" applyFont="1" applyFill="1" applyBorder="1" applyAlignment="1">
      <alignment vertical="center"/>
    </xf>
    <xf numFmtId="178" fontId="19" fillId="0" borderId="22" xfId="0" applyNumberFormat="1" applyFont="1" applyFill="1" applyBorder="1" applyAlignment="1">
      <alignment vertical="center"/>
    </xf>
    <xf numFmtId="179" fontId="19" fillId="0" borderId="24" xfId="28" applyNumberFormat="1" applyFont="1" applyFill="1" applyBorder="1" applyAlignment="1">
      <alignment vertical="center"/>
    </xf>
    <xf numFmtId="0" fontId="19" fillId="0" borderId="18" xfId="0" applyFont="1" applyFill="1" applyBorder="1" applyAlignment="1">
      <alignment horizontal="distributed" vertical="center"/>
    </xf>
    <xf numFmtId="176" fontId="19" fillId="0" borderId="26" xfId="0" applyNumberFormat="1" applyFont="1" applyFill="1" applyBorder="1" applyAlignment="1">
      <alignment vertical="center"/>
    </xf>
    <xf numFmtId="177" fontId="19" fillId="0" borderId="57" xfId="34" applyNumberFormat="1" applyFont="1" applyFill="1" applyBorder="1" applyAlignment="1">
      <alignment vertical="center"/>
    </xf>
    <xf numFmtId="178" fontId="19" fillId="0" borderId="26" xfId="0" applyNumberFormat="1" applyFont="1" applyFill="1" applyBorder="1" applyAlignment="1">
      <alignment vertical="center"/>
    </xf>
    <xf numFmtId="179" fontId="19" fillId="0" borderId="29" xfId="28" applyNumberFormat="1" applyFont="1" applyFill="1" applyBorder="1" applyAlignment="1">
      <alignment vertical="center"/>
    </xf>
    <xf numFmtId="0" fontId="19" fillId="0" borderId="18" xfId="0" applyFont="1" applyFill="1" applyBorder="1" applyAlignment="1">
      <alignment horizontal="center" vertical="center" shrinkToFit="1"/>
    </xf>
    <xf numFmtId="177" fontId="19" fillId="0" borderId="59" xfId="34" applyNumberFormat="1" applyFont="1" applyFill="1" applyBorder="1" applyAlignment="1">
      <alignment vertical="center"/>
    </xf>
    <xf numFmtId="176" fontId="19" fillId="0" borderId="35" xfId="0" applyNumberFormat="1" applyFont="1" applyFill="1" applyBorder="1" applyAlignment="1">
      <alignment vertical="center"/>
    </xf>
    <xf numFmtId="177" fontId="19" fillId="0" borderId="85" xfId="34" applyNumberFormat="1" applyFont="1" applyFill="1" applyBorder="1" applyAlignment="1">
      <alignment vertical="center"/>
    </xf>
    <xf numFmtId="178" fontId="19" fillId="0" borderId="35" xfId="0" applyNumberFormat="1" applyFont="1" applyFill="1" applyBorder="1" applyAlignment="1">
      <alignment vertical="center"/>
    </xf>
    <xf numFmtId="179" fontId="19" fillId="0" borderId="38" xfId="28" applyNumberFormat="1" applyFont="1" applyFill="1" applyBorder="1" applyAlignment="1">
      <alignment vertical="center"/>
    </xf>
    <xf numFmtId="177" fontId="19" fillId="0" borderId="60" xfId="34" applyNumberFormat="1" applyFont="1" applyFill="1" applyBorder="1" applyAlignment="1">
      <alignment vertical="center"/>
    </xf>
    <xf numFmtId="177" fontId="19" fillId="0" borderId="58" xfId="34" applyNumberFormat="1" applyFont="1" applyFill="1" applyBorder="1" applyAlignment="1">
      <alignment vertical="center"/>
    </xf>
    <xf numFmtId="176" fontId="19" fillId="0" borderId="27" xfId="0" applyNumberFormat="1" applyFont="1" applyFill="1" applyBorder="1" applyAlignment="1">
      <alignment vertical="center"/>
    </xf>
    <xf numFmtId="178" fontId="19" fillId="0" borderId="27" xfId="0" applyNumberFormat="1" applyFont="1" applyFill="1" applyBorder="1" applyAlignment="1">
      <alignment vertical="center"/>
    </xf>
    <xf numFmtId="179" fontId="19" fillId="0" borderId="43" xfId="28" applyNumberFormat="1" applyFont="1" applyFill="1" applyBorder="1" applyAlignment="1">
      <alignment vertical="center"/>
    </xf>
    <xf numFmtId="0" fontId="19" fillId="0" borderId="12" xfId="0" applyFont="1" applyFill="1" applyBorder="1"/>
    <xf numFmtId="0" fontId="19" fillId="0" borderId="20" xfId="0" applyFont="1" applyFill="1" applyBorder="1" applyAlignment="1">
      <alignment horizontal="right"/>
    </xf>
    <xf numFmtId="0" fontId="19" fillId="0" borderId="14" xfId="0" applyFont="1" applyFill="1" applyBorder="1"/>
    <xf numFmtId="0" fontId="19" fillId="0" borderId="10" xfId="0" applyFont="1" applyFill="1" applyBorder="1" applyAlignment="1">
      <alignment horizontal="center"/>
    </xf>
    <xf numFmtId="0" fontId="19" fillId="0" borderId="24" xfId="0" applyFont="1" applyFill="1" applyBorder="1"/>
    <xf numFmtId="0" fontId="19" fillId="0" borderId="60" xfId="0" applyFont="1" applyFill="1" applyBorder="1"/>
    <xf numFmtId="180" fontId="19" fillId="0" borderId="12" xfId="0" applyNumberFormat="1" applyFont="1" applyFill="1" applyBorder="1"/>
    <xf numFmtId="0" fontId="19" fillId="0" borderId="55" xfId="0" applyFont="1" applyFill="1" applyBorder="1"/>
    <xf numFmtId="0" fontId="19" fillId="0" borderId="16" xfId="0" applyFont="1" applyFill="1" applyBorder="1"/>
    <xf numFmtId="0" fontId="19" fillId="0" borderId="54" xfId="0" applyFont="1" applyFill="1" applyBorder="1"/>
    <xf numFmtId="0" fontId="19" fillId="0" borderId="59" xfId="0" applyFont="1" applyFill="1" applyBorder="1"/>
    <xf numFmtId="180" fontId="19" fillId="0" borderId="50" xfId="0" applyNumberFormat="1" applyFont="1" applyFill="1" applyBorder="1"/>
    <xf numFmtId="0" fontId="19" fillId="0" borderId="29" xfId="0" applyFont="1" applyFill="1" applyBorder="1"/>
    <xf numFmtId="0" fontId="19" fillId="0" borderId="57" xfId="0" applyFont="1" applyFill="1" applyBorder="1"/>
    <xf numFmtId="180" fontId="19" fillId="0" borderId="0" xfId="0" applyNumberFormat="1" applyFont="1" applyFill="1" applyBorder="1"/>
    <xf numFmtId="0" fontId="19" fillId="0" borderId="43" xfId="0" applyFont="1" applyFill="1" applyBorder="1"/>
    <xf numFmtId="0" fontId="19" fillId="0" borderId="58" xfId="0" applyFont="1" applyFill="1" applyBorder="1"/>
    <xf numFmtId="0" fontId="0" fillId="0" borderId="58" xfId="0" applyFill="1" applyBorder="1"/>
    <xf numFmtId="0" fontId="20" fillId="0" borderId="18" xfId="0" applyFont="1" applyFill="1" applyBorder="1"/>
    <xf numFmtId="0" fontId="19" fillId="0" borderId="85" xfId="0" applyFont="1" applyFill="1" applyBorder="1"/>
    <xf numFmtId="180" fontId="19" fillId="0" borderId="10" xfId="0" applyNumberFormat="1" applyFont="1" applyFill="1" applyBorder="1"/>
    <xf numFmtId="0" fontId="0" fillId="0" borderId="0" xfId="0" applyFill="1"/>
    <xf numFmtId="184" fontId="19" fillId="0" borderId="0" xfId="0" applyNumberFormat="1" applyFont="1" applyFill="1"/>
    <xf numFmtId="0" fontId="19" fillId="0" borderId="0" xfId="0" applyFont="1" applyAlignment="1">
      <alignment vertical="center"/>
    </xf>
    <xf numFmtId="0" fontId="19" fillId="0" borderId="37" xfId="0" applyFont="1" applyBorder="1" applyAlignment="1">
      <alignment horizontal="center" vertical="center"/>
    </xf>
    <xf numFmtId="181" fontId="19" fillId="0" borderId="31" xfId="34" applyNumberFormat="1" applyFont="1" applyFill="1" applyBorder="1"/>
    <xf numFmtId="181" fontId="19" fillId="0" borderId="31" xfId="0" applyNumberFormat="1" applyFont="1" applyFill="1" applyBorder="1"/>
    <xf numFmtId="181" fontId="19" fillId="0" borderId="32" xfId="34" applyNumberFormat="1" applyFont="1" applyFill="1" applyBorder="1"/>
    <xf numFmtId="181" fontId="19" fillId="0" borderId="49" xfId="34" applyNumberFormat="1" applyFont="1" applyFill="1" applyBorder="1"/>
    <xf numFmtId="181" fontId="19" fillId="0" borderId="49" xfId="0" applyNumberFormat="1" applyFont="1" applyFill="1" applyBorder="1"/>
    <xf numFmtId="181" fontId="19" fillId="0" borderId="32" xfId="0" applyNumberFormat="1" applyFont="1" applyFill="1" applyBorder="1"/>
    <xf numFmtId="181" fontId="19" fillId="0" borderId="37" xfId="34" applyNumberFormat="1" applyFont="1" applyFill="1" applyBorder="1"/>
    <xf numFmtId="181" fontId="19" fillId="0" borderId="37" xfId="0" applyNumberFormat="1" applyFont="1" applyFill="1" applyBorder="1"/>
    <xf numFmtId="0" fontId="19" fillId="0" borderId="63" xfId="0" applyFont="1" applyBorder="1" applyAlignment="1">
      <alignment horizontal="distributed" vertical="center"/>
    </xf>
    <xf numFmtId="181" fontId="19" fillId="0" borderId="30" xfId="0" applyNumberFormat="1" applyFont="1" applyBorder="1"/>
    <xf numFmtId="181" fontId="19" fillId="0" borderId="34" xfId="0" applyNumberFormat="1" applyFont="1" applyBorder="1"/>
    <xf numFmtId="181" fontId="19" fillId="0" borderId="10" xfId="34" applyNumberFormat="1" applyFont="1" applyBorder="1"/>
    <xf numFmtId="0" fontId="19" fillId="0" borderId="62" xfId="0" applyFont="1" applyFill="1" applyBorder="1" applyAlignment="1">
      <alignment horizontal="distributed" vertical="center"/>
    </xf>
    <xf numFmtId="0" fontId="19" fillId="0" borderId="65" xfId="0" applyFont="1" applyFill="1" applyBorder="1" applyAlignment="1">
      <alignment horizontal="distributed" vertical="center"/>
    </xf>
    <xf numFmtId="0" fontId="19" fillId="0" borderId="64" xfId="0" applyFont="1" applyFill="1" applyBorder="1" applyAlignment="1">
      <alignment horizontal="distributed" vertical="center"/>
    </xf>
    <xf numFmtId="0" fontId="33" fillId="0" borderId="80" xfId="0" applyFont="1" applyFill="1" applyBorder="1" applyAlignment="1">
      <alignment horizontal="distributed" vertical="center"/>
    </xf>
    <xf numFmtId="0" fontId="33" fillId="0" borderId="82" xfId="0" applyFont="1" applyFill="1" applyBorder="1" applyAlignment="1">
      <alignment horizontal="distributed" vertical="center"/>
    </xf>
    <xf numFmtId="0" fontId="42" fillId="0" borderId="0" xfId="0" applyFont="1" applyFill="1"/>
    <xf numFmtId="0" fontId="27" fillId="0" borderId="0" xfId="0" applyFont="1" applyAlignment="1">
      <alignment vertical="center"/>
    </xf>
    <xf numFmtId="0" fontId="16" fillId="0" borderId="0" xfId="0" applyFont="1" applyBorder="1"/>
    <xf numFmtId="184" fontId="16" fillId="0" borderId="0" xfId="0" applyNumberFormat="1" applyFont="1" applyBorder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81" fontId="19" fillId="0" borderId="48" xfId="0" applyNumberFormat="1" applyFont="1" applyFill="1" applyBorder="1" applyAlignment="1">
      <alignment vertical="center"/>
    </xf>
    <xf numFmtId="181" fontId="19" fillId="0" borderId="32" xfId="0" applyNumberFormat="1" applyFont="1" applyFill="1" applyBorder="1" applyAlignment="1">
      <alignment vertical="center"/>
    </xf>
    <xf numFmtId="181" fontId="19" fillId="0" borderId="59" xfId="0" applyNumberFormat="1" applyFont="1" applyFill="1" applyBorder="1" applyAlignment="1">
      <alignment vertical="center"/>
    </xf>
    <xf numFmtId="0" fontId="19" fillId="0" borderId="19" xfId="0" applyFont="1" applyFill="1" applyBorder="1" applyAlignment="1">
      <alignment horizont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38" fontId="20" fillId="0" borderId="13" xfId="34" applyFont="1" applyFill="1" applyBorder="1" applyAlignment="1">
      <alignment horizontal="right" vertical="center"/>
    </xf>
    <xf numFmtId="38" fontId="20" fillId="0" borderId="77" xfId="34" applyFont="1" applyFill="1" applyBorder="1" applyAlignment="1">
      <alignment horizontal="right" vertical="center"/>
    </xf>
    <xf numFmtId="38" fontId="20" fillId="0" borderId="79" xfId="34" applyFont="1" applyFill="1" applyBorder="1" applyAlignment="1">
      <alignment horizontal="right" vertical="center"/>
    </xf>
    <xf numFmtId="38" fontId="20" fillId="0" borderId="86" xfId="34" applyFont="1" applyFill="1" applyBorder="1" applyAlignment="1">
      <alignment horizontal="right" vertical="center"/>
    </xf>
    <xf numFmtId="38" fontId="20" fillId="0" borderId="76" xfId="34" applyFont="1" applyFill="1" applyBorder="1" applyAlignment="1">
      <alignment horizontal="right" vertical="center"/>
    </xf>
    <xf numFmtId="176" fontId="19" fillId="0" borderId="82" xfId="0" applyNumberFormat="1" applyFont="1" applyFill="1" applyBorder="1" applyAlignment="1">
      <alignment vertical="center"/>
    </xf>
    <xf numFmtId="176" fontId="19" fillId="0" borderId="49" xfId="0" applyNumberFormat="1" applyFont="1" applyFill="1" applyBorder="1" applyAlignment="1">
      <alignment vertical="center"/>
    </xf>
    <xf numFmtId="176" fontId="19" fillId="0" borderId="37" xfId="0" applyNumberFormat="1" applyFont="1" applyFill="1" applyBorder="1" applyAlignment="1">
      <alignment vertical="center"/>
    </xf>
    <xf numFmtId="176" fontId="19" fillId="0" borderId="40" xfId="0" applyNumberFormat="1" applyFont="1" applyFill="1" applyBorder="1" applyAlignment="1">
      <alignment vertical="center"/>
    </xf>
    <xf numFmtId="179" fontId="19" fillId="0" borderId="29" xfId="28" applyNumberFormat="1" applyFont="1" applyFill="1" applyBorder="1" applyAlignment="1">
      <alignment horizontal="right" vertical="center"/>
    </xf>
    <xf numFmtId="181" fontId="39" fillId="0" borderId="72" xfId="0" applyNumberFormat="1" applyFont="1" applyFill="1" applyBorder="1" applyAlignment="1">
      <alignment vertical="center"/>
    </xf>
    <xf numFmtId="181" fontId="39" fillId="0" borderId="80" xfId="0" applyNumberFormat="1" applyFont="1" applyFill="1" applyBorder="1" applyAlignment="1">
      <alignment vertical="center"/>
    </xf>
    <xf numFmtId="0" fontId="33" fillId="0" borderId="23" xfId="0" applyFont="1" applyFill="1" applyBorder="1" applyAlignment="1">
      <alignment horizontal="distributed" vertical="center"/>
    </xf>
    <xf numFmtId="0" fontId="0" fillId="0" borderId="72" xfId="0" applyFont="1" applyFill="1" applyBorder="1" applyAlignment="1">
      <alignment vertical="center"/>
    </xf>
    <xf numFmtId="0" fontId="34" fillId="0" borderId="26" xfId="0" applyFont="1" applyFill="1" applyBorder="1" applyAlignment="1">
      <alignment vertical="center"/>
    </xf>
    <xf numFmtId="0" fontId="34" fillId="0" borderId="16" xfId="0" applyFont="1" applyFill="1" applyBorder="1" applyAlignment="1">
      <alignment horizontal="distributed" vertical="center"/>
    </xf>
    <xf numFmtId="0" fontId="34" fillId="0" borderId="19" xfId="0" applyFont="1" applyFill="1" applyBorder="1" applyAlignment="1">
      <alignment horizontal="distributed" vertical="center"/>
    </xf>
    <xf numFmtId="181" fontId="0" fillId="0" borderId="76" xfId="34" applyNumberFormat="1" applyFont="1" applyFill="1" applyBorder="1" applyAlignment="1">
      <alignment vertical="center"/>
    </xf>
    <xf numFmtId="0" fontId="0" fillId="0" borderId="87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19" fillId="0" borderId="55" xfId="0" applyFont="1" applyFill="1" applyBorder="1" applyAlignment="1">
      <alignment horizontal="center"/>
    </xf>
    <xf numFmtId="181" fontId="19" fillId="0" borderId="44" xfId="0" applyNumberFormat="1" applyFont="1" applyFill="1" applyBorder="1" applyAlignment="1">
      <alignment vertical="center"/>
    </xf>
    <xf numFmtId="181" fontId="19" fillId="0" borderId="46" xfId="34" applyNumberFormat="1" applyFont="1" applyFill="1" applyBorder="1" applyAlignment="1">
      <alignment vertical="center"/>
    </xf>
    <xf numFmtId="181" fontId="19" fillId="0" borderId="45" xfId="0" applyNumberFormat="1" applyFont="1" applyFill="1" applyBorder="1" applyAlignment="1">
      <alignment vertical="center"/>
    </xf>
    <xf numFmtId="181" fontId="19" fillId="0" borderId="15" xfId="0" applyNumberFormat="1" applyFont="1" applyFill="1" applyBorder="1" applyAlignment="1">
      <alignment vertical="center"/>
    </xf>
    <xf numFmtId="0" fontId="19" fillId="0" borderId="20" xfId="0" applyFont="1" applyBorder="1" applyAlignment="1">
      <alignment horizontal="right" vertical="center"/>
    </xf>
    <xf numFmtId="38" fontId="28" fillId="0" borderId="62" xfId="34" applyFont="1" applyBorder="1" applyAlignment="1">
      <alignment vertical="center"/>
    </xf>
    <xf numFmtId="38" fontId="28" fillId="0" borderId="65" xfId="34" applyFont="1" applyBorder="1" applyAlignment="1">
      <alignment vertical="center"/>
    </xf>
    <xf numFmtId="38" fontId="28" fillId="0" borderId="64" xfId="34" applyFont="1" applyBorder="1" applyAlignment="1">
      <alignment vertical="center"/>
    </xf>
    <xf numFmtId="38" fontId="28" fillId="0" borderId="70" xfId="34" applyFont="1" applyBorder="1" applyAlignment="1">
      <alignment vertical="center"/>
    </xf>
    <xf numFmtId="38" fontId="29" fillId="0" borderId="72" xfId="34" applyFont="1" applyFill="1" applyBorder="1" applyAlignment="1">
      <alignment vertical="center"/>
    </xf>
    <xf numFmtId="38" fontId="29" fillId="0" borderId="80" xfId="34" applyFont="1" applyFill="1" applyBorder="1" applyAlignment="1">
      <alignment vertical="center"/>
    </xf>
    <xf numFmtId="38" fontId="29" fillId="0" borderId="82" xfId="34" applyFont="1" applyFill="1" applyBorder="1" applyAlignment="1">
      <alignment vertical="center"/>
    </xf>
    <xf numFmtId="38" fontId="29" fillId="0" borderId="56" xfId="34" applyFont="1" applyFill="1" applyBorder="1" applyAlignment="1">
      <alignment vertical="center"/>
    </xf>
    <xf numFmtId="38" fontId="29" fillId="0" borderId="50" xfId="34" applyFont="1" applyFill="1" applyBorder="1" applyAlignment="1">
      <alignment vertical="center"/>
    </xf>
    <xf numFmtId="38" fontId="29" fillId="0" borderId="18" xfId="34" applyFont="1" applyFill="1" applyBorder="1" applyAlignment="1">
      <alignment vertical="center"/>
    </xf>
    <xf numFmtId="38" fontId="29" fillId="0" borderId="49" xfId="34" applyFont="1" applyFill="1" applyBorder="1" applyAlignment="1">
      <alignment vertical="center"/>
    </xf>
    <xf numFmtId="38" fontId="29" fillId="0" borderId="81" xfId="34" applyFont="1" applyFill="1" applyBorder="1" applyAlignment="1">
      <alignment vertical="center"/>
    </xf>
    <xf numFmtId="38" fontId="29" fillId="0" borderId="36" xfId="34" applyFont="1" applyFill="1" applyBorder="1" applyAlignment="1">
      <alignment vertical="center"/>
    </xf>
    <xf numFmtId="38" fontId="29" fillId="0" borderId="37" xfId="34" applyFont="1" applyFill="1" applyBorder="1" applyAlignment="1">
      <alignment vertical="center"/>
    </xf>
    <xf numFmtId="38" fontId="28" fillId="0" borderId="63" xfId="34" applyFont="1" applyBorder="1" applyAlignment="1">
      <alignment vertical="center"/>
    </xf>
    <xf numFmtId="0" fontId="37" fillId="0" borderId="11" xfId="0" applyFont="1" applyBorder="1" applyAlignment="1">
      <alignment horizontal="right" vertical="top"/>
    </xf>
    <xf numFmtId="181" fontId="1" fillId="0" borderId="82" xfId="34" applyNumberFormat="1" applyFont="1" applyFill="1" applyBorder="1" applyAlignment="1">
      <alignment horizontal="right" vertical="center"/>
    </xf>
    <xf numFmtId="181" fontId="1" fillId="0" borderId="49" xfId="34" applyNumberFormat="1" applyFont="1" applyFill="1" applyBorder="1" applyAlignment="1">
      <alignment horizontal="right" vertical="center"/>
    </xf>
    <xf numFmtId="187" fontId="0" fillId="0" borderId="0" xfId="0" applyNumberFormat="1"/>
    <xf numFmtId="176" fontId="19" fillId="0" borderId="21" xfId="0" applyNumberFormat="1" applyFont="1" applyFill="1" applyBorder="1" applyAlignment="1">
      <alignment vertical="center"/>
    </xf>
    <xf numFmtId="176" fontId="19" fillId="0" borderId="51" xfId="0" applyNumberFormat="1" applyFont="1" applyFill="1" applyBorder="1" applyAlignment="1">
      <alignment vertical="center"/>
    </xf>
    <xf numFmtId="176" fontId="19" fillId="0" borderId="71" xfId="0" applyNumberFormat="1" applyFont="1" applyFill="1" applyBorder="1" applyAlignment="1">
      <alignment vertical="center"/>
    </xf>
    <xf numFmtId="176" fontId="19" fillId="0" borderId="42" xfId="0" applyNumberFormat="1" applyFont="1" applyFill="1" applyBorder="1" applyAlignment="1">
      <alignment vertical="center"/>
    </xf>
    <xf numFmtId="181" fontId="19" fillId="0" borderId="81" xfId="0" applyNumberFormat="1" applyFont="1" applyFill="1" applyBorder="1" applyAlignment="1">
      <alignment vertical="center"/>
    </xf>
    <xf numFmtId="181" fontId="19" fillId="0" borderId="36" xfId="34" applyNumberFormat="1" applyFont="1" applyFill="1" applyBorder="1" applyAlignment="1">
      <alignment vertical="center"/>
    </xf>
    <xf numFmtId="181" fontId="19" fillId="0" borderId="38" xfId="34" applyNumberFormat="1" applyFont="1" applyFill="1" applyBorder="1" applyAlignment="1">
      <alignment vertical="center"/>
    </xf>
    <xf numFmtId="181" fontId="19" fillId="0" borderId="36" xfId="0" applyNumberFormat="1" applyFont="1" applyFill="1" applyBorder="1" applyAlignment="1">
      <alignment vertical="center"/>
    </xf>
    <xf numFmtId="181" fontId="19" fillId="0" borderId="37" xfId="0" applyNumberFormat="1" applyFont="1" applyFill="1" applyBorder="1" applyAlignment="1">
      <alignment vertical="center"/>
    </xf>
    <xf numFmtId="181" fontId="19" fillId="0" borderId="61" xfId="0" applyNumberFormat="1" applyFont="1" applyFill="1" applyBorder="1" applyAlignment="1">
      <alignment vertical="center"/>
    </xf>
    <xf numFmtId="38" fontId="29" fillId="0" borderId="72" xfId="34" applyFont="1" applyFill="1" applyBorder="1" applyAlignment="1">
      <alignment horizontal="right" vertical="center"/>
    </xf>
    <xf numFmtId="38" fontId="29" fillId="0" borderId="80" xfId="34" applyFont="1" applyFill="1" applyBorder="1" applyAlignment="1">
      <alignment horizontal="right" vertical="center"/>
    </xf>
    <xf numFmtId="38" fontId="29" fillId="0" borderId="23" xfId="34" applyFont="1" applyFill="1" applyBorder="1" applyAlignment="1">
      <alignment horizontal="right" vertical="center"/>
    </xf>
    <xf numFmtId="38" fontId="29" fillId="0" borderId="51" xfId="34" applyFont="1" applyFill="1" applyBorder="1" applyAlignment="1">
      <alignment vertical="center"/>
    </xf>
    <xf numFmtId="38" fontId="29" fillId="0" borderId="57" xfId="34" applyFont="1" applyFill="1" applyBorder="1" applyAlignment="1">
      <alignment vertical="center"/>
    </xf>
    <xf numFmtId="38" fontId="29" fillId="0" borderId="44" xfId="34" applyFont="1" applyFill="1" applyBorder="1" applyAlignment="1">
      <alignment vertical="center"/>
    </xf>
    <xf numFmtId="38" fontId="29" fillId="0" borderId="46" xfId="34" applyFont="1" applyFill="1" applyBorder="1" applyAlignment="1">
      <alignment vertical="center"/>
    </xf>
    <xf numFmtId="38" fontId="29" fillId="0" borderId="55" xfId="34" applyFont="1" applyFill="1" applyBorder="1" applyAlignment="1">
      <alignment vertical="center"/>
    </xf>
    <xf numFmtId="38" fontId="29" fillId="0" borderId="23" xfId="34" applyFont="1" applyFill="1" applyBorder="1" applyAlignment="1">
      <alignment vertical="center"/>
    </xf>
    <xf numFmtId="38" fontId="29" fillId="0" borderId="19" xfId="34" applyFont="1" applyFill="1" applyBorder="1" applyAlignment="1">
      <alignment vertical="center"/>
    </xf>
    <xf numFmtId="184" fontId="29" fillId="0" borderId="39" xfId="0" applyNumberFormat="1" applyFont="1" applyFill="1" applyBorder="1" applyAlignment="1">
      <alignment horizontal="right" vertical="center"/>
    </xf>
    <xf numFmtId="184" fontId="29" fillId="0" borderId="41" xfId="0" applyNumberFormat="1" applyFont="1" applyFill="1" applyBorder="1" applyAlignment="1">
      <alignment horizontal="right" vertical="center"/>
    </xf>
    <xf numFmtId="184" fontId="29" fillId="0" borderId="40" xfId="0" applyNumberFormat="1" applyFont="1" applyFill="1" applyBorder="1" applyAlignment="1">
      <alignment horizontal="right" vertical="center"/>
    </xf>
    <xf numFmtId="184" fontId="29" fillId="0" borderId="56" xfId="0" applyNumberFormat="1" applyFont="1" applyFill="1" applyBorder="1" applyAlignment="1">
      <alignment horizontal="right" vertical="center"/>
    </xf>
    <xf numFmtId="184" fontId="29" fillId="0" borderId="50" xfId="0" applyNumberFormat="1" applyFont="1" applyFill="1" applyBorder="1" applyAlignment="1">
      <alignment horizontal="right" vertical="center"/>
    </xf>
    <xf numFmtId="184" fontId="29" fillId="0" borderId="49" xfId="0" applyNumberFormat="1" applyFont="1" applyFill="1" applyBorder="1" applyAlignment="1">
      <alignment horizontal="right" vertical="center"/>
    </xf>
    <xf numFmtId="38" fontId="29" fillId="0" borderId="81" xfId="34" applyFont="1" applyFill="1" applyBorder="1" applyAlignment="1">
      <alignment horizontal="right" vertical="center"/>
    </xf>
    <xf numFmtId="184" fontId="29" fillId="0" borderId="36" xfId="0" applyNumberFormat="1" applyFont="1" applyFill="1" applyBorder="1" applyAlignment="1">
      <alignment horizontal="right" vertical="center"/>
    </xf>
    <xf numFmtId="184" fontId="29" fillId="0" borderId="37" xfId="0" applyNumberFormat="1" applyFont="1" applyFill="1" applyBorder="1" applyAlignment="1">
      <alignment horizontal="right" vertical="center"/>
    </xf>
    <xf numFmtId="184" fontId="29" fillId="0" borderId="81" xfId="0" applyNumberFormat="1" applyFont="1" applyFill="1" applyBorder="1" applyAlignment="1">
      <alignment horizontal="right" vertical="center"/>
    </xf>
    <xf numFmtId="181" fontId="19" fillId="0" borderId="11" xfId="34" applyNumberFormat="1" applyFont="1" applyFill="1" applyBorder="1"/>
    <xf numFmtId="181" fontId="19" fillId="0" borderId="51" xfId="34" applyNumberFormat="1" applyFont="1" applyFill="1" applyBorder="1"/>
    <xf numFmtId="181" fontId="19" fillId="0" borderId="53" xfId="34" applyNumberFormat="1" applyFont="1" applyFill="1" applyBorder="1"/>
    <xf numFmtId="181" fontId="19" fillId="0" borderId="71" xfId="34" applyNumberFormat="1" applyFont="1" applyFill="1" applyBorder="1"/>
    <xf numFmtId="181" fontId="19" fillId="0" borderId="12" xfId="0" applyNumberFormat="1" applyFont="1" applyFill="1" applyBorder="1"/>
    <xf numFmtId="181" fontId="19" fillId="0" borderId="26" xfId="0" applyNumberFormat="1" applyFont="1" applyFill="1" applyBorder="1"/>
    <xf numFmtId="181" fontId="19" fillId="0" borderId="0" xfId="0" applyNumberFormat="1" applyFont="1" applyFill="1" applyBorder="1"/>
    <xf numFmtId="181" fontId="19" fillId="0" borderId="35" xfId="0" applyNumberFormat="1" applyFont="1" applyFill="1" applyBorder="1"/>
    <xf numFmtId="181" fontId="19" fillId="0" borderId="0" xfId="34" applyNumberFormat="1" applyFont="1" applyFill="1" applyBorder="1"/>
    <xf numFmtId="181" fontId="19" fillId="0" borderId="26" xfId="34" applyNumberFormat="1" applyFont="1" applyFill="1" applyBorder="1"/>
    <xf numFmtId="181" fontId="19" fillId="0" borderId="35" xfId="34" applyNumberFormat="1" applyFont="1" applyFill="1" applyBorder="1"/>
    <xf numFmtId="0" fontId="0" fillId="0" borderId="50" xfId="0" applyNumberFormat="1" applyFont="1" applyFill="1" applyBorder="1" applyAlignment="1">
      <alignment vertical="center"/>
    </xf>
    <xf numFmtId="0" fontId="0" fillId="0" borderId="18" xfId="0" applyNumberFormat="1" applyFont="1" applyFill="1" applyBorder="1" applyAlignment="1">
      <alignment vertical="center"/>
    </xf>
    <xf numFmtId="0" fontId="0" fillId="0" borderId="46" xfId="0" applyNumberFormat="1" applyFont="1" applyFill="1" applyBorder="1" applyAlignment="1">
      <alignment vertical="center"/>
    </xf>
    <xf numFmtId="0" fontId="0" fillId="0" borderId="55" xfId="0" applyNumberFormat="1" applyFont="1" applyFill="1" applyBorder="1" applyAlignment="1">
      <alignment vertical="center"/>
    </xf>
    <xf numFmtId="0" fontId="0" fillId="0" borderId="36" xfId="0" applyNumberFormat="1" applyFill="1" applyBorder="1"/>
    <xf numFmtId="0" fontId="0" fillId="0" borderId="19" xfId="0" applyNumberFormat="1" applyFill="1" applyBorder="1"/>
    <xf numFmtId="0" fontId="0" fillId="0" borderId="49" xfId="0" applyNumberFormat="1" applyFont="1" applyFill="1" applyBorder="1" applyAlignment="1">
      <alignment vertical="center"/>
    </xf>
    <xf numFmtId="0" fontId="0" fillId="0" borderId="41" xfId="0" applyNumberFormat="1" applyFont="1" applyFill="1" applyBorder="1" applyAlignment="1">
      <alignment vertical="center"/>
    </xf>
    <xf numFmtId="0" fontId="0" fillId="0" borderId="40" xfId="0" applyNumberFormat="1" applyFont="1" applyFill="1" applyBorder="1" applyAlignment="1">
      <alignment vertical="center"/>
    </xf>
    <xf numFmtId="0" fontId="0" fillId="0" borderId="52" xfId="0" applyNumberFormat="1" applyFont="1" applyFill="1" applyBorder="1" applyAlignment="1">
      <alignment vertical="center"/>
    </xf>
    <xf numFmtId="0" fontId="0" fillId="0" borderId="32" xfId="0" applyNumberFormat="1" applyFont="1" applyFill="1" applyBorder="1" applyAlignment="1">
      <alignment vertical="center"/>
    </xf>
    <xf numFmtId="0" fontId="0" fillId="0" borderId="76" xfId="0" applyNumberFormat="1" applyFont="1" applyFill="1" applyBorder="1" applyAlignment="1">
      <alignment vertical="center"/>
    </xf>
    <xf numFmtId="0" fontId="0" fillId="0" borderId="79" xfId="0" applyNumberFormat="1" applyFont="1" applyFill="1" applyBorder="1" applyAlignment="1">
      <alignment vertical="center"/>
    </xf>
    <xf numFmtId="185" fontId="41" fillId="0" borderId="80" xfId="34" applyNumberFormat="1" applyFont="1" applyFill="1" applyBorder="1" applyAlignment="1">
      <alignment vertical="center"/>
    </xf>
    <xf numFmtId="185" fontId="41" fillId="0" borderId="82" xfId="34" applyNumberFormat="1" applyFont="1" applyFill="1" applyBorder="1" applyAlignment="1">
      <alignment vertical="center"/>
    </xf>
    <xf numFmtId="185" fontId="41" fillId="0" borderId="50" xfId="34" applyNumberFormat="1" applyFont="1" applyFill="1" applyBorder="1" applyAlignment="1">
      <alignment vertical="center"/>
    </xf>
    <xf numFmtId="185" fontId="41" fillId="0" borderId="49" xfId="34" applyNumberFormat="1" applyFont="1" applyFill="1" applyBorder="1" applyAlignment="1">
      <alignment vertical="center"/>
    </xf>
    <xf numFmtId="185" fontId="41" fillId="0" borderId="36" xfId="34" applyNumberFormat="1" applyFont="1" applyFill="1" applyBorder="1" applyAlignment="1">
      <alignment vertical="center"/>
    </xf>
    <xf numFmtId="185" fontId="41" fillId="0" borderId="37" xfId="34" applyNumberFormat="1" applyFont="1" applyFill="1" applyBorder="1" applyAlignment="1">
      <alignment vertical="center"/>
    </xf>
    <xf numFmtId="179" fontId="19" fillId="0" borderId="18" xfId="0" applyNumberFormat="1" applyFont="1" applyFill="1" applyBorder="1" applyAlignment="1">
      <alignment horizontal="right" vertical="center"/>
    </xf>
    <xf numFmtId="179" fontId="19" fillId="0" borderId="29" xfId="0" applyNumberFormat="1" applyFont="1" applyFill="1" applyBorder="1" applyAlignment="1">
      <alignment horizontal="right" vertical="center"/>
    </xf>
    <xf numFmtId="179" fontId="19" fillId="0" borderId="25" xfId="0" applyNumberFormat="1" applyFont="1" applyFill="1" applyBorder="1" applyAlignment="1">
      <alignment horizontal="right" vertical="center"/>
    </xf>
    <xf numFmtId="179" fontId="19" fillId="0" borderId="54" xfId="0" applyNumberFormat="1" applyFont="1" applyFill="1" applyBorder="1" applyAlignment="1">
      <alignment horizontal="right" vertical="center"/>
    </xf>
    <xf numFmtId="0" fontId="0" fillId="0" borderId="44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179" fontId="19" fillId="0" borderId="19" xfId="0" applyNumberFormat="1" applyFont="1" applyFill="1" applyBorder="1" applyAlignment="1">
      <alignment horizontal="right" vertical="center"/>
    </xf>
    <xf numFmtId="179" fontId="19" fillId="0" borderId="38" xfId="0" applyNumberFormat="1" applyFont="1" applyFill="1" applyBorder="1" applyAlignment="1">
      <alignment horizontal="right" vertical="center"/>
    </xf>
    <xf numFmtId="0" fontId="0" fillId="0" borderId="39" xfId="0" applyBorder="1" applyAlignment="1">
      <alignment horizontal="center" vertical="center" textRotation="255"/>
    </xf>
    <xf numFmtId="179" fontId="19" fillId="0" borderId="28" xfId="0" applyNumberFormat="1" applyFont="1" applyFill="1" applyBorder="1" applyAlignment="1">
      <alignment horizontal="right" vertical="center"/>
    </xf>
    <xf numFmtId="179" fontId="19" fillId="0" borderId="43" xfId="0" applyNumberFormat="1" applyFont="1" applyFill="1" applyBorder="1" applyAlignment="1">
      <alignment horizontal="right" vertical="center"/>
    </xf>
    <xf numFmtId="179" fontId="19" fillId="0" borderId="23" xfId="0" applyNumberFormat="1" applyFont="1" applyFill="1" applyBorder="1" applyAlignment="1">
      <alignment horizontal="right" vertical="center"/>
    </xf>
    <xf numFmtId="179" fontId="19" fillId="0" borderId="24" xfId="0" applyNumberFormat="1" applyFont="1" applyFill="1" applyBorder="1" applyAlignment="1">
      <alignment horizontal="right" vertical="center"/>
    </xf>
    <xf numFmtId="0" fontId="19" fillId="0" borderId="44" xfId="0" applyFont="1" applyBorder="1" applyAlignment="1">
      <alignment horizontal="center" vertical="center" textRotation="255"/>
    </xf>
    <xf numFmtId="0" fontId="19" fillId="0" borderId="48" xfId="0" applyFont="1" applyBorder="1" applyAlignment="1">
      <alignment horizontal="center" vertical="center" textRotation="255"/>
    </xf>
    <xf numFmtId="0" fontId="19" fillId="0" borderId="39" xfId="0" applyFont="1" applyBorder="1" applyAlignment="1">
      <alignment horizontal="center" vertical="center" textRotation="255"/>
    </xf>
    <xf numFmtId="0" fontId="19" fillId="0" borderId="12" xfId="0" applyFont="1" applyFill="1" applyBorder="1" applyAlignment="1"/>
    <xf numFmtId="0" fontId="20" fillId="0" borderId="10" xfId="0" applyFont="1" applyFill="1" applyBorder="1" applyAlignment="1">
      <alignment horizontal="right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88" xfId="0" applyFont="1" applyFill="1" applyBorder="1" applyAlignment="1">
      <alignment horizontal="center" vertical="center"/>
    </xf>
    <xf numFmtId="0" fontId="19" fillId="0" borderId="83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85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/>
    </xf>
    <xf numFmtId="0" fontId="19" fillId="0" borderId="68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 textRotation="255"/>
    </xf>
    <xf numFmtId="0" fontId="19" fillId="0" borderId="46" xfId="0" applyFont="1" applyFill="1" applyBorder="1" applyAlignment="1">
      <alignment horizontal="center" vertical="center" textRotation="255"/>
    </xf>
    <xf numFmtId="0" fontId="19" fillId="0" borderId="6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distributed" vertical="center"/>
    </xf>
    <xf numFmtId="0" fontId="0" fillId="0" borderId="24" xfId="0" applyFill="1" applyBorder="1" applyAlignment="1">
      <alignment horizontal="distributed" vertical="center"/>
    </xf>
    <xf numFmtId="0" fontId="19" fillId="0" borderId="18" xfId="0" applyFont="1" applyFill="1" applyBorder="1" applyAlignment="1">
      <alignment horizontal="distributed" vertical="center"/>
    </xf>
    <xf numFmtId="0" fontId="0" fillId="0" borderId="29" xfId="0" applyFill="1" applyBorder="1" applyAlignment="1">
      <alignment horizontal="distributed" vertical="center"/>
    </xf>
    <xf numFmtId="0" fontId="19" fillId="0" borderId="19" xfId="0" applyFont="1" applyFill="1" applyBorder="1" applyAlignment="1">
      <alignment horizontal="distributed" vertical="center"/>
    </xf>
    <xf numFmtId="0" fontId="0" fillId="0" borderId="38" xfId="0" applyFill="1" applyBorder="1" applyAlignment="1">
      <alignment horizontal="distributed" vertical="center"/>
    </xf>
    <xf numFmtId="0" fontId="20" fillId="0" borderId="10" xfId="0" applyFont="1" applyBorder="1" applyAlignment="1">
      <alignment horizontal="right"/>
    </xf>
    <xf numFmtId="0" fontId="0" fillId="0" borderId="10" xfId="0" applyBorder="1" applyAlignment="1"/>
    <xf numFmtId="0" fontId="19" fillId="0" borderId="11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38" fontId="19" fillId="0" borderId="51" xfId="34" applyFont="1" applyFill="1" applyBorder="1" applyAlignment="1">
      <alignment horizontal="right" vertical="center"/>
    </xf>
    <xf numFmtId="38" fontId="19" fillId="0" borderId="57" xfId="34" applyFont="1" applyFill="1" applyBorder="1" applyAlignment="1">
      <alignment horizontal="right" vertical="center"/>
    </xf>
    <xf numFmtId="38" fontId="19" fillId="0" borderId="18" xfId="34" applyFont="1" applyBorder="1" applyAlignment="1">
      <alignment horizontal="right" vertical="center"/>
    </xf>
    <xf numFmtId="38" fontId="19" fillId="0" borderId="57" xfId="34" applyFont="1" applyBorder="1" applyAlignment="1">
      <alignment horizontal="right" vertical="center"/>
    </xf>
    <xf numFmtId="38" fontId="19" fillId="0" borderId="71" xfId="34" applyFont="1" applyFill="1" applyBorder="1" applyAlignment="1">
      <alignment horizontal="right" vertical="center"/>
    </xf>
    <xf numFmtId="38" fontId="19" fillId="0" borderId="61" xfId="34" applyFont="1" applyFill="1" applyBorder="1" applyAlignment="1">
      <alignment horizontal="right" vertical="center"/>
    </xf>
    <xf numFmtId="38" fontId="19" fillId="0" borderId="19" xfId="34" applyFont="1" applyBorder="1" applyAlignment="1">
      <alignment horizontal="right" vertical="center"/>
    </xf>
    <xf numFmtId="38" fontId="19" fillId="0" borderId="61" xfId="34" applyFont="1" applyBorder="1" applyAlignment="1">
      <alignment horizontal="right" vertical="center"/>
    </xf>
    <xf numFmtId="38" fontId="19" fillId="0" borderId="21" xfId="34" applyFont="1" applyFill="1" applyBorder="1" applyAlignment="1">
      <alignment horizontal="right" vertical="center"/>
    </xf>
    <xf numFmtId="38" fontId="19" fillId="0" borderId="60" xfId="34" applyFont="1" applyFill="1" applyBorder="1" applyAlignment="1">
      <alignment horizontal="right" vertical="center"/>
    </xf>
    <xf numFmtId="38" fontId="19" fillId="0" borderId="23" xfId="34" applyFont="1" applyBorder="1" applyAlignment="1">
      <alignment horizontal="right" vertical="center"/>
    </xf>
    <xf numFmtId="38" fontId="19" fillId="0" borderId="60" xfId="34" applyFont="1" applyBorder="1" applyAlignment="1">
      <alignment horizontal="right" vertical="center"/>
    </xf>
    <xf numFmtId="0" fontId="19" fillId="0" borderId="12" xfId="0" applyFont="1" applyBorder="1" applyAlignment="1">
      <alignment horizontal="center"/>
    </xf>
    <xf numFmtId="0" fontId="19" fillId="0" borderId="83" xfId="0" applyFont="1" applyBorder="1" applyAlignment="1">
      <alignment horizontal="center"/>
    </xf>
    <xf numFmtId="0" fontId="19" fillId="0" borderId="88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59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55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71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9" fillId="0" borderId="23" xfId="0" applyFont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19" fillId="0" borderId="55" xfId="0" applyFont="1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19" fillId="0" borderId="12" xfId="0" applyFont="1" applyBorder="1" applyAlignment="1">
      <alignment horizontal="right"/>
    </xf>
    <xf numFmtId="0" fontId="0" fillId="0" borderId="0" xfId="0" applyAlignment="1"/>
    <xf numFmtId="0" fontId="19" fillId="0" borderId="68" xfId="0" applyFont="1" applyBorder="1" applyAlignment="1">
      <alignment horizontal="center" vertical="center"/>
    </xf>
    <xf numFmtId="0" fontId="19" fillId="0" borderId="84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184" fontId="45" fillId="0" borderId="88" xfId="0" applyNumberFormat="1" applyFont="1" applyFill="1" applyBorder="1" applyAlignment="1">
      <alignment horizontal="right" vertical="center"/>
    </xf>
    <xf numFmtId="184" fontId="45" fillId="0" borderId="20" xfId="0" applyNumberFormat="1" applyFont="1" applyFill="1" applyBorder="1" applyAlignment="1">
      <alignment horizontal="right" vertical="center"/>
    </xf>
    <xf numFmtId="184" fontId="45" fillId="0" borderId="18" xfId="0" applyNumberFormat="1" applyFont="1" applyFill="1" applyBorder="1" applyAlignment="1">
      <alignment horizontal="right" vertical="center"/>
    </xf>
    <xf numFmtId="184" fontId="45" fillId="0" borderId="29" xfId="0" applyNumberFormat="1" applyFont="1" applyFill="1" applyBorder="1" applyAlignment="1">
      <alignment horizontal="right" vertical="center"/>
    </xf>
    <xf numFmtId="184" fontId="45" fillId="0" borderId="28" xfId="0" applyNumberFormat="1" applyFont="1" applyFill="1" applyBorder="1" applyAlignment="1">
      <alignment horizontal="right" vertical="center"/>
    </xf>
    <xf numFmtId="184" fontId="45" fillId="0" borderId="43" xfId="0" applyNumberFormat="1" applyFont="1" applyFill="1" applyBorder="1" applyAlignment="1">
      <alignment horizontal="right" vertical="center"/>
    </xf>
    <xf numFmtId="184" fontId="45" fillId="0" borderId="77" xfId="0" applyNumberFormat="1" applyFont="1" applyFill="1" applyBorder="1" applyAlignment="1">
      <alignment horizontal="right" vertical="center"/>
    </xf>
    <xf numFmtId="184" fontId="45" fillId="0" borderId="74" xfId="0" applyNumberFormat="1" applyFont="1" applyFill="1" applyBorder="1" applyAlignment="1">
      <alignment horizontal="right" vertical="center"/>
    </xf>
    <xf numFmtId="184" fontId="29" fillId="0" borderId="84" xfId="0" applyNumberFormat="1" applyFont="1" applyFill="1" applyBorder="1" applyAlignment="1">
      <alignment horizontal="distributed" vertical="center"/>
    </xf>
    <xf numFmtId="184" fontId="29" fillId="0" borderId="69" xfId="0" applyNumberFormat="1" applyFont="1" applyFill="1" applyBorder="1" applyAlignment="1">
      <alignment horizontal="distributed" vertical="center"/>
    </xf>
    <xf numFmtId="184" fontId="19" fillId="0" borderId="84" xfId="0" applyNumberFormat="1" applyFont="1" applyFill="1" applyBorder="1" applyAlignment="1">
      <alignment horizontal="distributed" vertical="center"/>
    </xf>
    <xf numFmtId="184" fontId="19" fillId="0" borderId="69" xfId="0" applyNumberFormat="1" applyFont="1" applyFill="1" applyBorder="1" applyAlignment="1">
      <alignment horizontal="distributed" vertical="center"/>
    </xf>
    <xf numFmtId="0" fontId="29" fillId="0" borderId="31" xfId="0" applyFont="1" applyBorder="1" applyAlignment="1">
      <alignment horizontal="distributed" vertical="center"/>
    </xf>
    <xf numFmtId="0" fontId="29" fillId="0" borderId="34" xfId="0" applyFont="1" applyBorder="1" applyAlignment="1">
      <alignment horizontal="distributed" vertical="center"/>
    </xf>
    <xf numFmtId="184" fontId="19" fillId="0" borderId="88" xfId="0" applyNumberFormat="1" applyFont="1" applyFill="1" applyBorder="1" applyAlignment="1">
      <alignment horizontal="distributed" vertical="center"/>
    </xf>
    <xf numFmtId="184" fontId="19" fillId="0" borderId="20" xfId="0" applyNumberFormat="1" applyFont="1" applyFill="1" applyBorder="1" applyAlignment="1">
      <alignment horizontal="distributed" vertical="center"/>
    </xf>
    <xf numFmtId="184" fontId="19" fillId="0" borderId="30" xfId="0" applyNumberFormat="1" applyFont="1" applyFill="1" applyBorder="1" applyAlignment="1">
      <alignment horizontal="distributed" vertical="center"/>
    </xf>
    <xf numFmtId="184" fontId="19" fillId="0" borderId="14" xfId="0" applyNumberFormat="1" applyFont="1" applyFill="1" applyBorder="1" applyAlignment="1">
      <alignment horizontal="distributed" vertical="center"/>
    </xf>
    <xf numFmtId="0" fontId="29" fillId="0" borderId="84" xfId="0" applyFont="1" applyBorder="1" applyAlignment="1">
      <alignment horizontal="distributed" vertical="center"/>
    </xf>
    <xf numFmtId="0" fontId="29" fillId="0" borderId="69" xfId="0" applyFont="1" applyBorder="1" applyAlignment="1">
      <alignment horizontal="distributed" vertical="center"/>
    </xf>
    <xf numFmtId="0" fontId="19" fillId="0" borderId="84" xfId="0" applyFont="1" applyBorder="1" applyAlignment="1">
      <alignment horizontal="distributed" vertical="center"/>
    </xf>
    <xf numFmtId="0" fontId="19" fillId="0" borderId="69" xfId="0" applyFont="1" applyBorder="1" applyAlignment="1">
      <alignment horizontal="distributed" vertical="center"/>
    </xf>
    <xf numFmtId="0" fontId="19" fillId="0" borderId="68" xfId="0" applyFont="1" applyBorder="1" applyAlignment="1">
      <alignment horizontal="distributed" vertical="center"/>
    </xf>
    <xf numFmtId="0" fontId="19" fillId="0" borderId="33" xfId="0" applyFont="1" applyBorder="1" applyAlignment="1">
      <alignment horizontal="distributed" vertical="center"/>
    </xf>
    <xf numFmtId="184" fontId="19" fillId="0" borderId="68" xfId="0" applyNumberFormat="1" applyFont="1" applyFill="1" applyBorder="1" applyAlignment="1">
      <alignment horizontal="distributed" vertical="center"/>
    </xf>
    <xf numFmtId="184" fontId="19" fillId="0" borderId="33" xfId="0" applyNumberFormat="1" applyFont="1" applyFill="1" applyBorder="1" applyAlignment="1">
      <alignment horizontal="distributed" vertical="center"/>
    </xf>
    <xf numFmtId="0" fontId="19" fillId="0" borderId="62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89" xfId="0" applyFont="1" applyFill="1" applyBorder="1" applyAlignment="1">
      <alignment horizontal="distributed" vertical="center"/>
    </xf>
    <xf numFmtId="0" fontId="0" fillId="0" borderId="50" xfId="0" applyBorder="1" applyAlignment="1">
      <alignment horizontal="center" vertical="center"/>
    </xf>
    <xf numFmtId="0" fontId="0" fillId="0" borderId="86" xfId="0" applyFont="1" applyFill="1" applyBorder="1" applyAlignment="1">
      <alignment horizontal="distributed" vertical="center"/>
    </xf>
    <xf numFmtId="0" fontId="0" fillId="0" borderId="56" xfId="0" applyFont="1" applyBorder="1" applyAlignment="1">
      <alignment horizontal="center" vertical="center" wrapText="1"/>
    </xf>
    <xf numFmtId="0" fontId="0" fillId="0" borderId="81" xfId="0" applyFont="1" applyBorder="1" applyAlignment="1">
      <alignment horizontal="center" vertical="center" wrapText="1"/>
    </xf>
    <xf numFmtId="0" fontId="0" fillId="0" borderId="50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 wrapText="1"/>
    </xf>
    <xf numFmtId="0" fontId="0" fillId="0" borderId="81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top" wrapText="1"/>
    </xf>
    <xf numFmtId="0" fontId="0" fillId="0" borderId="0" xfId="0" applyAlignment="1">
      <alignment vertical="top" wrapText="1"/>
    </xf>
    <xf numFmtId="0" fontId="0" fillId="0" borderId="84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0" fillId="0" borderId="84" xfId="0" applyFont="1" applyFill="1" applyBorder="1" applyAlignment="1">
      <alignment horizontal="center" vertical="center"/>
    </xf>
    <xf numFmtId="0" fontId="33" fillId="0" borderId="10" xfId="0" applyFont="1" applyBorder="1" applyAlignment="1">
      <alignment horizontal="right" vertical="center"/>
    </xf>
    <xf numFmtId="0" fontId="0" fillId="0" borderId="72" xfId="0" applyFont="1" applyBorder="1" applyAlignment="1">
      <alignment horizontal="center" vertical="center"/>
    </xf>
    <xf numFmtId="0" fontId="0" fillId="0" borderId="22" xfId="0" applyBorder="1"/>
    <xf numFmtId="0" fontId="0" fillId="0" borderId="24" xfId="0" applyBorder="1"/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33" fillId="0" borderId="10" xfId="0" applyFont="1" applyBorder="1" applyAlignment="1">
      <alignment horizontal="right"/>
    </xf>
    <xf numFmtId="0" fontId="33" fillId="0" borderId="68" xfId="0" applyFont="1" applyBorder="1" applyAlignment="1">
      <alignment horizontal="center" vertical="center" wrapText="1"/>
    </xf>
    <xf numFmtId="0" fontId="33" fillId="0" borderId="11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33" fillId="0" borderId="72" xfId="0" applyFont="1" applyBorder="1" applyAlignment="1">
      <alignment horizontal="center" vertical="center"/>
    </xf>
    <xf numFmtId="0" fontId="33" fillId="0" borderId="80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Font="1" applyBorder="1" applyAlignment="1">
      <alignment horizontal="distributed" vertical="center"/>
    </xf>
    <xf numFmtId="0" fontId="0" fillId="0" borderId="51" xfId="0" applyFont="1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71" xfId="0" applyFont="1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UserShapes" Target="../drawings/drawing8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UserShapes" Target="../drawings/drawing9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UserShapes" Target="../drawings/drawing10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image" Target="../media/image1.png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5.xml"/><Relationship Id="rId1" Type="http://schemas.openxmlformats.org/officeDocument/2006/relationships/image" Target="../media/image1.png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各区における人口及び事故件数</a:t>
            </a:r>
          </a:p>
        </c:rich>
      </c:tx>
      <c:layout>
        <c:manualLayout>
          <c:xMode val="edge"/>
          <c:yMode val="edge"/>
          <c:x val="0.35555555555555557"/>
          <c:y val="3.15533980582524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13888888888889"/>
          <c:y val="0.15291262135922329"/>
          <c:w val="0.63194444444444442"/>
          <c:h val="0.60436893203883491"/>
        </c:manualLayout>
      </c:layout>
      <c:barChart>
        <c:barDir val="col"/>
        <c:grouping val="clustered"/>
        <c:varyColors val="0"/>
        <c:ser>
          <c:idx val="1"/>
          <c:order val="0"/>
          <c:tx>
            <c:v>人口</c:v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'★６ページ（行政区別）'!$P$6:$P$29</c:f>
              <c:strCache>
                <c:ptCount val="24"/>
                <c:pt idx="0">
                  <c:v>北</c:v>
                </c:pt>
                <c:pt idx="1">
                  <c:v>都島</c:v>
                </c:pt>
                <c:pt idx="2">
                  <c:v>福島</c:v>
                </c:pt>
                <c:pt idx="3">
                  <c:v>此花</c:v>
                </c:pt>
                <c:pt idx="4">
                  <c:v>中央</c:v>
                </c:pt>
                <c:pt idx="5">
                  <c:v>西</c:v>
                </c:pt>
                <c:pt idx="6">
                  <c:v>港</c:v>
                </c:pt>
                <c:pt idx="7">
                  <c:v>大正</c:v>
                </c:pt>
                <c:pt idx="8">
                  <c:v>天王寺</c:v>
                </c:pt>
                <c:pt idx="9">
                  <c:v>浪速</c:v>
                </c:pt>
                <c:pt idx="10">
                  <c:v>西淀川</c:v>
                </c:pt>
                <c:pt idx="11">
                  <c:v>淀川</c:v>
                </c:pt>
                <c:pt idx="12">
                  <c:v>東淀川</c:v>
                </c:pt>
                <c:pt idx="13">
                  <c:v>東成</c:v>
                </c:pt>
                <c:pt idx="14">
                  <c:v>生野</c:v>
                </c:pt>
                <c:pt idx="15">
                  <c:v>旭</c:v>
                </c:pt>
                <c:pt idx="16">
                  <c:v>城東</c:v>
                </c:pt>
                <c:pt idx="17">
                  <c:v>鶴見</c:v>
                </c:pt>
                <c:pt idx="18">
                  <c:v>阿倍野</c:v>
                </c:pt>
                <c:pt idx="19">
                  <c:v>住之江</c:v>
                </c:pt>
                <c:pt idx="20">
                  <c:v>住吉</c:v>
                </c:pt>
                <c:pt idx="21">
                  <c:v>東住吉</c:v>
                </c:pt>
                <c:pt idx="22">
                  <c:v>平野</c:v>
                </c:pt>
                <c:pt idx="23">
                  <c:v>西成</c:v>
                </c:pt>
              </c:strCache>
            </c:strRef>
          </c:cat>
          <c:val>
            <c:numRef>
              <c:f>'★６ページ（行政区別）'!$Q$6:$Q$29</c:f>
              <c:numCache>
                <c:formatCode>#,##0_);[Red]\(#,##0\)</c:formatCode>
                <c:ptCount val="24"/>
                <c:pt idx="0">
                  <c:v>133123</c:v>
                </c:pt>
                <c:pt idx="1">
                  <c:v>106858</c:v>
                </c:pt>
                <c:pt idx="2">
                  <c:v>75896</c:v>
                </c:pt>
                <c:pt idx="3">
                  <c:v>65914</c:v>
                </c:pt>
                <c:pt idx="4">
                  <c:v>98094</c:v>
                </c:pt>
                <c:pt idx="5">
                  <c:v>100437</c:v>
                </c:pt>
                <c:pt idx="6">
                  <c:v>81076</c:v>
                </c:pt>
                <c:pt idx="7">
                  <c:v>63741</c:v>
                </c:pt>
                <c:pt idx="8">
                  <c:v>79177</c:v>
                </c:pt>
                <c:pt idx="9">
                  <c:v>72991</c:v>
                </c:pt>
                <c:pt idx="10">
                  <c:v>95749</c:v>
                </c:pt>
                <c:pt idx="11">
                  <c:v>180998</c:v>
                </c:pt>
                <c:pt idx="12">
                  <c:v>176031</c:v>
                </c:pt>
                <c:pt idx="13">
                  <c:v>82857</c:v>
                </c:pt>
                <c:pt idx="14">
                  <c:v>129379</c:v>
                </c:pt>
                <c:pt idx="15">
                  <c:v>91072</c:v>
                </c:pt>
                <c:pt idx="16">
                  <c:v>166852</c:v>
                </c:pt>
                <c:pt idx="17">
                  <c:v>111268</c:v>
                </c:pt>
                <c:pt idx="18">
                  <c:v>109172</c:v>
                </c:pt>
                <c:pt idx="19">
                  <c:v>121364</c:v>
                </c:pt>
                <c:pt idx="20">
                  <c:v>153361</c:v>
                </c:pt>
                <c:pt idx="21">
                  <c:v>125907</c:v>
                </c:pt>
                <c:pt idx="22">
                  <c:v>193925</c:v>
                </c:pt>
                <c:pt idx="23">
                  <c:v>109764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2C-40ED-8915-296D0C91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650496"/>
        <c:axId val="345083904"/>
      </c:barChart>
      <c:lineChart>
        <c:grouping val="standard"/>
        <c:varyColors val="0"/>
        <c:ser>
          <c:idx val="0"/>
          <c:order val="1"/>
          <c:tx>
            <c:v>件数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'★６ページ（行政区別）'!$P$6:$P$29</c:f>
              <c:strCache>
                <c:ptCount val="24"/>
                <c:pt idx="0">
                  <c:v>北</c:v>
                </c:pt>
                <c:pt idx="1">
                  <c:v>都島</c:v>
                </c:pt>
                <c:pt idx="2">
                  <c:v>福島</c:v>
                </c:pt>
                <c:pt idx="3">
                  <c:v>此花</c:v>
                </c:pt>
                <c:pt idx="4">
                  <c:v>中央</c:v>
                </c:pt>
                <c:pt idx="5">
                  <c:v>西</c:v>
                </c:pt>
                <c:pt idx="6">
                  <c:v>港</c:v>
                </c:pt>
                <c:pt idx="7">
                  <c:v>大正</c:v>
                </c:pt>
                <c:pt idx="8">
                  <c:v>天王寺</c:v>
                </c:pt>
                <c:pt idx="9">
                  <c:v>浪速</c:v>
                </c:pt>
                <c:pt idx="10">
                  <c:v>西淀川</c:v>
                </c:pt>
                <c:pt idx="11">
                  <c:v>淀川</c:v>
                </c:pt>
                <c:pt idx="12">
                  <c:v>東淀川</c:v>
                </c:pt>
                <c:pt idx="13">
                  <c:v>東成</c:v>
                </c:pt>
                <c:pt idx="14">
                  <c:v>生野</c:v>
                </c:pt>
                <c:pt idx="15">
                  <c:v>旭</c:v>
                </c:pt>
                <c:pt idx="16">
                  <c:v>城東</c:v>
                </c:pt>
                <c:pt idx="17">
                  <c:v>鶴見</c:v>
                </c:pt>
                <c:pt idx="18">
                  <c:v>阿倍野</c:v>
                </c:pt>
                <c:pt idx="19">
                  <c:v>住之江</c:v>
                </c:pt>
                <c:pt idx="20">
                  <c:v>住吉</c:v>
                </c:pt>
                <c:pt idx="21">
                  <c:v>東住吉</c:v>
                </c:pt>
                <c:pt idx="22">
                  <c:v>平野</c:v>
                </c:pt>
                <c:pt idx="23">
                  <c:v>西成</c:v>
                </c:pt>
              </c:strCache>
            </c:strRef>
          </c:cat>
          <c:val>
            <c:numRef>
              <c:f>'★６ページ（行政区別）'!$R$6:$R$29</c:f>
              <c:numCache>
                <c:formatCode>#,##0_);[Red]\(#,##0\)</c:formatCode>
                <c:ptCount val="24"/>
                <c:pt idx="0">
                  <c:v>1125</c:v>
                </c:pt>
                <c:pt idx="1">
                  <c:v>231</c:v>
                </c:pt>
                <c:pt idx="2">
                  <c:v>246</c:v>
                </c:pt>
                <c:pt idx="3">
                  <c:v>138</c:v>
                </c:pt>
                <c:pt idx="4">
                  <c:v>1040</c:v>
                </c:pt>
                <c:pt idx="5">
                  <c:v>490</c:v>
                </c:pt>
                <c:pt idx="6">
                  <c:v>261</c:v>
                </c:pt>
                <c:pt idx="7">
                  <c:v>189</c:v>
                </c:pt>
                <c:pt idx="8">
                  <c:v>396</c:v>
                </c:pt>
                <c:pt idx="9">
                  <c:v>369</c:v>
                </c:pt>
                <c:pt idx="10">
                  <c:v>244</c:v>
                </c:pt>
                <c:pt idx="11">
                  <c:v>737</c:v>
                </c:pt>
                <c:pt idx="12">
                  <c:v>409</c:v>
                </c:pt>
                <c:pt idx="13">
                  <c:v>419</c:v>
                </c:pt>
                <c:pt idx="14">
                  <c:v>401</c:v>
                </c:pt>
                <c:pt idx="15">
                  <c:v>212</c:v>
                </c:pt>
                <c:pt idx="16">
                  <c:v>488</c:v>
                </c:pt>
                <c:pt idx="17">
                  <c:v>344</c:v>
                </c:pt>
                <c:pt idx="18">
                  <c:v>343</c:v>
                </c:pt>
                <c:pt idx="19">
                  <c:v>490</c:v>
                </c:pt>
                <c:pt idx="20">
                  <c:v>469</c:v>
                </c:pt>
                <c:pt idx="21">
                  <c:v>453</c:v>
                </c:pt>
                <c:pt idx="22">
                  <c:v>973</c:v>
                </c:pt>
                <c:pt idx="23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2C-40ED-8915-296D0C91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086208"/>
        <c:axId val="345264512"/>
      </c:lineChart>
      <c:catAx>
        <c:axId val="34465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区</a:t>
                </a:r>
              </a:p>
            </c:rich>
          </c:tx>
          <c:layout>
            <c:manualLayout>
              <c:xMode val="edge"/>
              <c:yMode val="edge"/>
              <c:x val="0.49583333333333335"/>
              <c:y val="0.84546925566343045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5083904"/>
        <c:crosses val="autoZero"/>
        <c:auto val="0"/>
        <c:lblAlgn val="ctr"/>
        <c:lblOffset val="100"/>
        <c:tickLblSkip val="1"/>
        <c:tickMarkSkip val="2"/>
        <c:noMultiLvlLbl val="0"/>
      </c:catAx>
      <c:valAx>
        <c:axId val="345083904"/>
        <c:scaling>
          <c:orientation val="minMax"/>
          <c:max val="25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人口(人）</a:t>
                </a:r>
              </a:p>
            </c:rich>
          </c:tx>
          <c:layout>
            <c:manualLayout>
              <c:xMode val="edge"/>
              <c:yMode val="edge"/>
              <c:x val="6.9444444444444441E-3"/>
              <c:y val="0.39077669902912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4650496"/>
        <c:crosses val="autoZero"/>
        <c:crossBetween val="between"/>
      </c:valAx>
      <c:catAx>
        <c:axId val="345086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5264512"/>
        <c:crosses val="autoZero"/>
        <c:auto val="0"/>
        <c:lblAlgn val="ctr"/>
        <c:lblOffset val="100"/>
        <c:noMultiLvlLbl val="0"/>
      </c:catAx>
      <c:valAx>
        <c:axId val="34526451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件数（件）</a:t>
                </a:r>
              </a:p>
            </c:rich>
          </c:tx>
          <c:layout>
            <c:manualLayout>
              <c:xMode val="edge"/>
              <c:yMode val="edge"/>
              <c:x val="0.90092592592592591"/>
              <c:y val="0.394822006472491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508620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41018518518518521"/>
          <c:y val="0.92475728155339809"/>
          <c:w val="0.19305555555555554"/>
          <c:h val="5.82524271844659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&amp;C-6-
</c:oddFooter>
    </c:headerFooter>
    <c:pageMargins b="0.98399999999999999" l="0.78700000000000003" r="0.78700000000000003" t="0.98399999999999999" header="0.5" footer="0.5"/>
    <c:pageSetup paperSize="9" firstPageNumber="0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道路種別交通事故発生件数</a:t>
            </a:r>
          </a:p>
        </c:rich>
      </c:tx>
      <c:layout>
        <c:manualLayout>
          <c:xMode val="edge"/>
          <c:yMode val="edge"/>
          <c:x val="0.36018237082066867"/>
          <c:y val="4.66321243523316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6595744680851"/>
          <c:y val="0.21243523316062177"/>
          <c:w val="0.71884498480243164"/>
          <c:h val="0.59067357512953367"/>
        </c:manualLayout>
      </c:layout>
      <c:barChart>
        <c:barDir val="bar"/>
        <c:grouping val="stacked"/>
        <c:varyColors val="0"/>
        <c:ser>
          <c:idx val="0"/>
          <c:order val="0"/>
          <c:tx>
            <c:v>一般国道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★７ページの最初の項目用!$B$6:$C$6</c:f>
              <c:numCache>
                <c:formatCode>#,##0_);[Red]\(#,##0\)</c:formatCode>
                <c:ptCount val="2"/>
                <c:pt idx="0">
                  <c:v>2407</c:v>
                </c:pt>
                <c:pt idx="1">
                  <c:v>2479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2-45C8-9635-9C0C07586EF6}"/>
            </c:ext>
          </c:extLst>
        </c:ser>
        <c:ser>
          <c:idx val="1"/>
          <c:order val="1"/>
          <c:tx>
            <c:v>主要地方道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★７ページの最初の項目用!$B$7:$C$7</c:f>
              <c:numCache>
                <c:formatCode>#,##0_);[Red]\(#,##0\)</c:formatCode>
                <c:ptCount val="2"/>
                <c:pt idx="0">
                  <c:v>2910</c:v>
                </c:pt>
                <c:pt idx="1">
                  <c:v>3141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2-45C8-9635-9C0C07586EF6}"/>
            </c:ext>
          </c:extLst>
        </c:ser>
        <c:ser>
          <c:idx val="2"/>
          <c:order val="2"/>
          <c:tx>
            <c:v>一般府道</c:v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422-45C8-9635-9C0C07586EF6}"/>
              </c:ext>
            </c:extLst>
          </c:dPt>
          <c:val>
            <c:numRef>
              <c:f>★７ページの最初の項目用!$B$8:$C$8</c:f>
              <c:numCache>
                <c:formatCode>#,##0_);[Red]\(#,##0\)</c:formatCode>
                <c:ptCount val="2"/>
                <c:pt idx="0">
                  <c:v>531</c:v>
                </c:pt>
                <c:pt idx="1">
                  <c:v>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22-45C8-9635-9C0C07586EF6}"/>
            </c:ext>
          </c:extLst>
        </c:ser>
        <c:ser>
          <c:idx val="3"/>
          <c:order val="3"/>
          <c:tx>
            <c:v>大阪市道</c:v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★７ページの最初の項目用!$B$9:$C$9</c:f>
              <c:numCache>
                <c:formatCode>#,##0_);[Red]\(#,##0\)</c:formatCode>
                <c:ptCount val="2"/>
                <c:pt idx="0">
                  <c:v>458</c:v>
                </c:pt>
                <c:pt idx="1">
                  <c:v>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22-45C8-9635-9C0C07586EF6}"/>
            </c:ext>
          </c:extLst>
        </c:ser>
        <c:ser>
          <c:idx val="4"/>
          <c:order val="4"/>
          <c:tx>
            <c:v>その他</c:v>
          </c:tx>
          <c:spPr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★７ページの最初の項目用!$B$10:$C$10</c:f>
              <c:numCache>
                <c:formatCode>#,##0_);[Red]\(#,##0\)</c:formatCode>
                <c:ptCount val="2"/>
                <c:pt idx="0">
                  <c:v>4579</c:v>
                </c:pt>
                <c:pt idx="1">
                  <c:v>4609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22-45C8-9635-9C0C07586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2498816"/>
        <c:axId val="222500352"/>
      </c:barChart>
      <c:catAx>
        <c:axId val="222498816"/>
        <c:scaling>
          <c:orientation val="minMax"/>
        </c:scaling>
        <c:delete val="1"/>
        <c:axPos val="l"/>
        <c:majorTickMark val="out"/>
        <c:minorTickMark val="none"/>
        <c:tickLblPos val="nextTo"/>
        <c:crossAx val="222500352"/>
        <c:crosses val="autoZero"/>
        <c:auto val="0"/>
        <c:lblAlgn val="ctr"/>
        <c:lblOffset val="100"/>
        <c:noMultiLvlLbl val="0"/>
      </c:catAx>
      <c:valAx>
        <c:axId val="222500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4988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firstPageNumber="0" orientation="portrait"/>
  </c:printSettings>
  <c:userShapes r:id="rId6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道路種別死亡事故死者数</a:t>
            </a:r>
          </a:p>
        </c:rich>
      </c:tx>
      <c:layout>
        <c:manualLayout>
          <c:xMode val="edge"/>
          <c:yMode val="edge"/>
          <c:x val="0.37329286798179057"/>
          <c:y val="4.22535211267605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32625189681335"/>
          <c:y val="0.20187793427230047"/>
          <c:w val="0.73141122913505308"/>
          <c:h val="0.61971830985915488"/>
        </c:manualLayout>
      </c:layout>
      <c:barChart>
        <c:barDir val="bar"/>
        <c:grouping val="stacked"/>
        <c:varyColors val="0"/>
        <c:ser>
          <c:idx val="0"/>
          <c:order val="0"/>
          <c:tx>
            <c:v>一般国道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★７ページの最初の項目用!$D$6:$E$6</c:f>
              <c:numCache>
                <c:formatCode>#,##0_);[Red]\(#,##0\)</c:formatCode>
                <c:ptCount val="2"/>
                <c:pt idx="0">
                  <c:v>10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1-4402-8FB4-B00BAB541EED}"/>
            </c:ext>
          </c:extLst>
        </c:ser>
        <c:ser>
          <c:idx val="1"/>
          <c:order val="1"/>
          <c:tx>
            <c:v>主要地方道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★７ページの最初の項目用!$D$7:$E$7</c:f>
              <c:numCache>
                <c:formatCode>#,##0_);[Red]\(#,##0\)</c:formatCode>
                <c:ptCount val="2"/>
                <c:pt idx="0">
                  <c:v>14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81-4402-8FB4-B00BAB541EED}"/>
            </c:ext>
          </c:extLst>
        </c:ser>
        <c:ser>
          <c:idx val="2"/>
          <c:order val="2"/>
          <c:tx>
            <c:v>一般府道</c:v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★７ページの最初の項目用!$D$8:$E$8</c:f>
              <c:numCache>
                <c:formatCode>#,##0_);[Red]\(#,##0\)</c:formatCode>
                <c:ptCount val="2"/>
                <c:pt idx="0">
                  <c:v>2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81-4402-8FB4-B00BAB541EED}"/>
            </c:ext>
          </c:extLst>
        </c:ser>
        <c:ser>
          <c:idx val="3"/>
          <c:order val="3"/>
          <c:tx>
            <c:v>大阪市道</c:v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★７ページの最初の項目用!$D$9:$E$9</c:f>
              <c:numCache>
                <c:formatCode>#,##0_);[Red]\(#,##0\)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81-4402-8FB4-B00BAB541EED}"/>
            </c:ext>
          </c:extLst>
        </c:ser>
        <c:ser>
          <c:idx val="4"/>
          <c:order val="4"/>
          <c:tx>
            <c:v>その他</c:v>
          </c:tx>
          <c:spPr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★７ページの最初の項目用!$D$10:$E$10</c:f>
              <c:numCache>
                <c:formatCode>#,##0_);[Red]\(#,##0\)</c:formatCode>
                <c:ptCount val="2"/>
                <c:pt idx="0">
                  <c:v>15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81-4402-8FB4-B00BAB541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2513792"/>
        <c:axId val="222515584"/>
      </c:barChart>
      <c:catAx>
        <c:axId val="222513792"/>
        <c:scaling>
          <c:orientation val="minMax"/>
        </c:scaling>
        <c:delete val="1"/>
        <c:axPos val="l"/>
        <c:majorTickMark val="out"/>
        <c:minorTickMark val="none"/>
        <c:tickLblPos val="nextTo"/>
        <c:crossAx val="222515584"/>
        <c:crosses val="autoZero"/>
        <c:auto val="0"/>
        <c:lblAlgn val="ctr"/>
        <c:lblOffset val="100"/>
        <c:noMultiLvlLbl val="0"/>
      </c:catAx>
      <c:valAx>
        <c:axId val="222515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5137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firstPageNumber="0" orientation="landscape"/>
  </c:printSettings>
  <c:userShapes r:id="rId6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道路種別交通事故負傷者数</a:t>
            </a:r>
          </a:p>
        </c:rich>
      </c:tx>
      <c:layout>
        <c:manualLayout>
          <c:xMode val="edge"/>
          <c:yMode val="edge"/>
          <c:x val="0.36102730298956531"/>
          <c:y val="4.45543819217719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7764350453173"/>
          <c:y val="0.21782178217821782"/>
          <c:w val="0.73867069486404835"/>
          <c:h val="0.59405940594059403"/>
        </c:manualLayout>
      </c:layout>
      <c:barChart>
        <c:barDir val="bar"/>
        <c:grouping val="stacked"/>
        <c:varyColors val="0"/>
        <c:ser>
          <c:idx val="0"/>
          <c:order val="0"/>
          <c:tx>
            <c:v>一般国道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★７ページの最初の項目用!$F$6:$G$6</c:f>
              <c:numCache>
                <c:formatCode>#,##0_);[Red]\(#,##0\)</c:formatCode>
                <c:ptCount val="2"/>
                <c:pt idx="0">
                  <c:v>2965</c:v>
                </c:pt>
                <c:pt idx="1">
                  <c:v>3102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5-44C5-B001-E186FF2A1A37}"/>
            </c:ext>
          </c:extLst>
        </c:ser>
        <c:ser>
          <c:idx val="1"/>
          <c:order val="1"/>
          <c:tx>
            <c:v>主要地方道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★７ページの最初の項目用!$F$7:$G$7</c:f>
              <c:numCache>
                <c:formatCode>#,##0_);[Red]\(#,##0\)</c:formatCode>
                <c:ptCount val="2"/>
                <c:pt idx="0">
                  <c:v>3525</c:v>
                </c:pt>
                <c:pt idx="1">
                  <c:v>3840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85-44C5-B001-E186FF2A1A37}"/>
            </c:ext>
          </c:extLst>
        </c:ser>
        <c:ser>
          <c:idx val="2"/>
          <c:order val="2"/>
          <c:tx>
            <c:v>一般府道</c:v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★７ページの最初の項目用!$F$8:$G$8</c:f>
              <c:numCache>
                <c:formatCode>#,##0_);[Red]\(#,##0\)</c:formatCode>
                <c:ptCount val="2"/>
                <c:pt idx="0">
                  <c:v>636</c:v>
                </c:pt>
                <c:pt idx="1">
                  <c:v>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85-44C5-B001-E186FF2A1A37}"/>
            </c:ext>
          </c:extLst>
        </c:ser>
        <c:ser>
          <c:idx val="3"/>
          <c:order val="3"/>
          <c:tx>
            <c:v>大阪市道</c:v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★７ページの最初の項目用!$F$9:$G$9</c:f>
              <c:numCache>
                <c:formatCode>#,##0_);[Red]\(#,##0\)</c:formatCode>
                <c:ptCount val="2"/>
                <c:pt idx="0">
                  <c:v>537</c:v>
                </c:pt>
                <c:pt idx="1">
                  <c:v>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85-44C5-B001-E186FF2A1A37}"/>
            </c:ext>
          </c:extLst>
        </c:ser>
        <c:ser>
          <c:idx val="4"/>
          <c:order val="4"/>
          <c:tx>
            <c:v>その他</c:v>
          </c:tx>
          <c:spPr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★７ページの最初の項目用!$F$10:$G$10</c:f>
              <c:numCache>
                <c:formatCode>#,##0_);[Red]\(#,##0\)</c:formatCode>
                <c:ptCount val="2"/>
                <c:pt idx="0">
                  <c:v>5060</c:v>
                </c:pt>
                <c:pt idx="1">
                  <c:v>5132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85-44C5-B001-E186FF2A1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2529408"/>
        <c:axId val="222530944"/>
      </c:barChart>
      <c:catAx>
        <c:axId val="222529408"/>
        <c:scaling>
          <c:orientation val="minMax"/>
        </c:scaling>
        <c:delete val="1"/>
        <c:axPos val="l"/>
        <c:majorTickMark val="out"/>
        <c:minorTickMark val="none"/>
        <c:tickLblPos val="nextTo"/>
        <c:crossAx val="222530944"/>
        <c:crosses val="autoZero"/>
        <c:auto val="0"/>
        <c:lblAlgn val="ctr"/>
        <c:lblOffset val="100"/>
        <c:noMultiLvlLbl val="0"/>
      </c:catAx>
      <c:valAx>
        <c:axId val="222530944"/>
        <c:scaling>
          <c:orientation val="minMax"/>
          <c:max val="1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5294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/>
  </c:printSettings>
  <c:userShapes r:id="rId6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昼夜別交通事故件数</a:t>
            </a:r>
          </a:p>
        </c:rich>
      </c:tx>
      <c:layout>
        <c:manualLayout>
          <c:xMode val="edge"/>
          <c:yMode val="edge"/>
          <c:x val="0.39874031007751937"/>
          <c:y val="5.33333333333333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45348837209303"/>
          <c:y val="0.21714285714285714"/>
          <c:w val="0.73401162790697672"/>
          <c:h val="0.56571428571428573"/>
        </c:manualLayout>
      </c:layout>
      <c:barChart>
        <c:barDir val="bar"/>
        <c:grouping val="stacked"/>
        <c:varyColors val="0"/>
        <c:ser>
          <c:idx val="0"/>
          <c:order val="0"/>
          <c:tx>
            <c:v>昼間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('★11ページ（時間別）'!$E$6,'★11ページ（時間別）'!$E$7)</c:f>
              <c:numCache>
                <c:formatCode>#,##0_);[Red]\(#,##0\)</c:formatCode>
                <c:ptCount val="2"/>
                <c:pt idx="0">
                  <c:v>7758</c:v>
                </c:pt>
                <c:pt idx="1">
                  <c:v>7900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29-40C0-9009-16DF59A13DBD}"/>
            </c:ext>
          </c:extLst>
        </c:ser>
        <c:ser>
          <c:idx val="1"/>
          <c:order val="1"/>
          <c:tx>
            <c:v>夜間</c:v>
          </c:tx>
          <c:spPr>
            <a:solidFill>
              <a:srgbClr val="7F7F7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('★11ページ（時間別）'!$H$6,'★11ページ（時間別）'!$H$7)</c:f>
              <c:numCache>
                <c:formatCode>#,##0_);[Red]\(#,##0\)</c:formatCode>
                <c:ptCount val="2"/>
                <c:pt idx="0">
                  <c:v>3127</c:v>
                </c:pt>
                <c:pt idx="1">
                  <c:v>3432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29-40C0-9009-16DF59A13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3297920"/>
        <c:axId val="223299456"/>
      </c:barChart>
      <c:catAx>
        <c:axId val="223297920"/>
        <c:scaling>
          <c:orientation val="minMax"/>
        </c:scaling>
        <c:delete val="1"/>
        <c:axPos val="l"/>
        <c:majorTickMark val="out"/>
        <c:minorTickMark val="none"/>
        <c:tickLblPos val="nextTo"/>
        <c:crossAx val="223299456"/>
        <c:crosses val="autoZero"/>
        <c:auto val="0"/>
        <c:lblAlgn val="ctr"/>
        <c:lblOffset val="100"/>
        <c:noMultiLvlLbl val="0"/>
      </c:catAx>
      <c:valAx>
        <c:axId val="223299456"/>
        <c:scaling>
          <c:orientation val="minMax"/>
          <c:max val="12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2979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936046511627908"/>
          <c:y val="0.38857142857142857"/>
          <c:w val="0.11191860465116277"/>
          <c:h val="0.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98425196850393704" r="0.39370078740157483" t="0.98425196850393704" header="0.51181102362204722" footer="0.51181102362204722"/>
    <c:pageSetup paperSize="9" firstPageNumber="0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昼夜別交通事故死者数</a:t>
            </a:r>
          </a:p>
        </c:rich>
      </c:tx>
      <c:layout>
        <c:manualLayout>
          <c:xMode val="edge"/>
          <c:yMode val="edge"/>
          <c:x val="0.38896952104499272"/>
          <c:y val="4.90797546012269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6719883889695"/>
          <c:y val="0.2392638036809816"/>
          <c:w val="0.72859216255442671"/>
          <c:h val="0.52760736196319014"/>
        </c:manualLayout>
      </c:layout>
      <c:barChart>
        <c:barDir val="bar"/>
        <c:grouping val="stacked"/>
        <c:varyColors val="0"/>
        <c:ser>
          <c:idx val="0"/>
          <c:order val="0"/>
          <c:tx>
            <c:v>昼間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'★11ページ（時間別）'!$E$8:$E$9</c:f>
              <c:numCache>
                <c:formatCode>#,##0_);[Red]\(#,##0\)</c:formatCode>
                <c:ptCount val="2"/>
                <c:pt idx="0">
                  <c:v>25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9-4F86-A3A9-992180461AF4}"/>
            </c:ext>
          </c:extLst>
        </c:ser>
        <c:ser>
          <c:idx val="1"/>
          <c:order val="1"/>
          <c:tx>
            <c:v>夜間</c:v>
          </c:tx>
          <c:spPr>
            <a:solidFill>
              <a:srgbClr val="7F7F7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'★11ページ（時間別）'!$H$8:$H$9</c:f>
              <c:numCache>
                <c:formatCode>#,##0_);[Red]\(#,##0\)</c:formatCode>
                <c:ptCount val="2"/>
                <c:pt idx="0">
                  <c:v>19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9-4F86-A3A9-992180461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3326976"/>
        <c:axId val="223328512"/>
      </c:barChart>
      <c:catAx>
        <c:axId val="223326976"/>
        <c:scaling>
          <c:orientation val="minMax"/>
        </c:scaling>
        <c:delete val="1"/>
        <c:axPos val="l"/>
        <c:majorTickMark val="out"/>
        <c:minorTickMark val="none"/>
        <c:tickLblPos val="nextTo"/>
        <c:crossAx val="223328512"/>
        <c:crosses val="autoZero"/>
        <c:auto val="0"/>
        <c:lblAlgn val="ctr"/>
        <c:lblOffset val="100"/>
        <c:noMultiLvlLbl val="0"/>
      </c:catAx>
      <c:valAx>
        <c:axId val="223328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3269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808417997097243"/>
          <c:y val="0.34355828220858897"/>
          <c:w val="0.11175616835994195"/>
          <c:h val="0.294478527607362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昼夜別交通事故負傷者数</a:t>
            </a:r>
          </a:p>
        </c:rich>
      </c:tx>
      <c:layout>
        <c:manualLayout>
          <c:xMode val="edge"/>
          <c:yMode val="edge"/>
          <c:x val="0.37755102040816324"/>
          <c:y val="4.59770114942528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2798833819242"/>
          <c:y val="0.21839080459770116"/>
          <c:w val="0.72448979591836737"/>
          <c:h val="0.56321839080459768"/>
        </c:manualLayout>
      </c:layout>
      <c:barChart>
        <c:barDir val="bar"/>
        <c:grouping val="stacked"/>
        <c:varyColors val="0"/>
        <c:ser>
          <c:idx val="0"/>
          <c:order val="0"/>
          <c:tx>
            <c:v>昼間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'★11ページ（時間別）'!$E$10:$E$11</c:f>
              <c:numCache>
                <c:formatCode>#,##0_);[Red]\(#,##0\)</c:formatCode>
                <c:ptCount val="2"/>
                <c:pt idx="0">
                  <c:v>9039</c:v>
                </c:pt>
                <c:pt idx="1">
                  <c:v>9209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9-4EAF-A2FA-7530D9D90EC1}"/>
            </c:ext>
          </c:extLst>
        </c:ser>
        <c:ser>
          <c:idx val="1"/>
          <c:order val="1"/>
          <c:tx>
            <c:v>夜間</c:v>
          </c:tx>
          <c:spPr>
            <a:solidFill>
              <a:srgbClr val="7F7F7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'★11ページ（時間別）'!$H$10:$H$11</c:f>
              <c:numCache>
                <c:formatCode>#,##0_);[Red]\(#,##0\)</c:formatCode>
                <c:ptCount val="2"/>
                <c:pt idx="0">
                  <c:v>3684</c:v>
                </c:pt>
                <c:pt idx="1">
                  <c:v>4189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A9-4EAF-A2FA-7530D9D90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3033600"/>
        <c:axId val="263035136"/>
      </c:barChart>
      <c:catAx>
        <c:axId val="263033600"/>
        <c:scaling>
          <c:orientation val="minMax"/>
        </c:scaling>
        <c:delete val="1"/>
        <c:axPos val="l"/>
        <c:majorTickMark val="out"/>
        <c:minorTickMark val="none"/>
        <c:tickLblPos val="nextTo"/>
        <c:crossAx val="263035136"/>
        <c:crosses val="autoZero"/>
        <c:auto val="0"/>
        <c:lblAlgn val="ctr"/>
        <c:lblOffset val="100"/>
        <c:noMultiLvlLbl val="0"/>
      </c:catAx>
      <c:valAx>
        <c:axId val="263035136"/>
        <c:scaling>
          <c:orientation val="minMax"/>
          <c:max val="1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30336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629737609329451"/>
          <c:y val="0.38505747126436779"/>
          <c:w val="0.10495626822157433"/>
          <c:h val="0.264367816091953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&amp;C－１０－</c:oddFooter>
    </c:headerFooter>
    <c:pageMargins b="0.98399999999999999" l="0.78700000000000003" r="0.78700000000000003" t="0.98399999999999999" header="0.51200000000000001" footer="0.51200000000000001"/>
    <c:pageSetup paperSize="9" firstPageNumber="0" orientation="landscape" horizontalDpi="300"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08333333333332"/>
          <c:y val="9.7222222222222224E-2"/>
          <c:w val="0.48125000000000001"/>
          <c:h val="0.80208333333333337"/>
        </c:manualLayout>
      </c:layout>
      <c:radarChart>
        <c:radarStyle val="marker"/>
        <c:varyColors val="0"/>
        <c:ser>
          <c:idx val="0"/>
          <c:order val="0"/>
          <c:tx>
            <c:v>件数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'★12ページ（時間道路別）'!$B$5:$B$28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'★12ページ（時間道路別）'!$C$5:$C$28</c:f>
              <c:numCache>
                <c:formatCode>#,##0_ ;[Red]\-#,##0\ </c:formatCode>
                <c:ptCount val="24"/>
                <c:pt idx="0">
                  <c:v>175</c:v>
                </c:pt>
                <c:pt idx="1">
                  <c:v>143</c:v>
                </c:pt>
                <c:pt idx="2">
                  <c:v>117</c:v>
                </c:pt>
                <c:pt idx="3">
                  <c:v>109</c:v>
                </c:pt>
                <c:pt idx="4">
                  <c:v>105</c:v>
                </c:pt>
                <c:pt idx="5">
                  <c:v>122</c:v>
                </c:pt>
                <c:pt idx="6">
                  <c:v>270</c:v>
                </c:pt>
                <c:pt idx="7">
                  <c:v>578</c:v>
                </c:pt>
                <c:pt idx="8">
                  <c:v>886</c:v>
                </c:pt>
                <c:pt idx="9">
                  <c:v>685</c:v>
                </c:pt>
                <c:pt idx="10">
                  <c:v>715</c:v>
                </c:pt>
                <c:pt idx="11">
                  <c:v>646</c:v>
                </c:pt>
                <c:pt idx="12">
                  <c:v>610</c:v>
                </c:pt>
                <c:pt idx="13">
                  <c:v>595</c:v>
                </c:pt>
                <c:pt idx="14">
                  <c:v>622</c:v>
                </c:pt>
                <c:pt idx="15">
                  <c:v>653</c:v>
                </c:pt>
                <c:pt idx="16">
                  <c:v>671</c:v>
                </c:pt>
                <c:pt idx="17">
                  <c:v>827</c:v>
                </c:pt>
                <c:pt idx="18">
                  <c:v>750</c:v>
                </c:pt>
                <c:pt idx="19">
                  <c:v>504</c:v>
                </c:pt>
                <c:pt idx="20">
                  <c:v>403</c:v>
                </c:pt>
                <c:pt idx="21">
                  <c:v>292</c:v>
                </c:pt>
                <c:pt idx="22">
                  <c:v>219</c:v>
                </c:pt>
                <c:pt idx="23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1-4FEF-BE58-803D33C27FA1}"/>
            </c:ext>
          </c:extLst>
        </c:ser>
        <c:ser>
          <c:idx val="1"/>
          <c:order val="1"/>
          <c:tx>
            <c:v>負傷者数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'★12ページ（時間道路別）'!$B$5:$B$28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'★12ページ（時間道路別）'!$I$5:$I$28</c:f>
              <c:numCache>
                <c:formatCode>#,##0_ ;[Red]\-#,##0\ </c:formatCode>
                <c:ptCount val="24"/>
                <c:pt idx="0">
                  <c:v>228</c:v>
                </c:pt>
                <c:pt idx="1">
                  <c:v>178</c:v>
                </c:pt>
                <c:pt idx="2">
                  <c:v>140</c:v>
                </c:pt>
                <c:pt idx="3">
                  <c:v>128</c:v>
                </c:pt>
                <c:pt idx="4">
                  <c:v>112</c:v>
                </c:pt>
                <c:pt idx="5">
                  <c:v>134</c:v>
                </c:pt>
                <c:pt idx="6">
                  <c:v>293</c:v>
                </c:pt>
                <c:pt idx="7">
                  <c:v>640</c:v>
                </c:pt>
                <c:pt idx="8">
                  <c:v>983</c:v>
                </c:pt>
                <c:pt idx="9">
                  <c:v>794</c:v>
                </c:pt>
                <c:pt idx="10">
                  <c:v>808</c:v>
                </c:pt>
                <c:pt idx="11">
                  <c:v>747</c:v>
                </c:pt>
                <c:pt idx="12">
                  <c:v>726</c:v>
                </c:pt>
                <c:pt idx="13">
                  <c:v>696</c:v>
                </c:pt>
                <c:pt idx="14">
                  <c:v>767</c:v>
                </c:pt>
                <c:pt idx="15">
                  <c:v>793</c:v>
                </c:pt>
                <c:pt idx="16">
                  <c:v>804</c:v>
                </c:pt>
                <c:pt idx="17">
                  <c:v>988</c:v>
                </c:pt>
                <c:pt idx="18">
                  <c:v>855</c:v>
                </c:pt>
                <c:pt idx="19">
                  <c:v>590</c:v>
                </c:pt>
                <c:pt idx="20">
                  <c:v>484</c:v>
                </c:pt>
                <c:pt idx="21">
                  <c:v>346</c:v>
                </c:pt>
                <c:pt idx="22">
                  <c:v>270</c:v>
                </c:pt>
                <c:pt idx="23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11-4FEF-BE58-803D33C27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3346432"/>
        <c:axId val="263348224"/>
      </c:radarChart>
      <c:catAx>
        <c:axId val="26334643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3348224"/>
        <c:crosses val="autoZero"/>
        <c:auto val="0"/>
        <c:lblAlgn val="ctr"/>
        <c:lblOffset val="100"/>
        <c:noMultiLvlLbl val="0"/>
      </c:catAx>
      <c:valAx>
        <c:axId val="26334822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#,##0_ ;[Red]\-#,##0\ " sourceLinked="1"/>
        <c:majorTickMark val="cross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33464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1250000000000002"/>
          <c:y val="0.35416666666666669"/>
          <c:w val="0.2416666666666667"/>
          <c:h val="0.236111111111111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5" l="0.7" r="0.7" t="0.75" header="0.3" footer="0.3"/>
    <c:pageSetup paperSize="9" firstPageNumber="0" orientation="landscape"/>
  </c:printSettings>
</c:chartSpace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0</xdr:rowOff>
    </xdr:from>
    <xdr:to>
      <xdr:col>3</xdr:col>
      <xdr:colOff>19050</xdr:colOff>
      <xdr:row>5</xdr:row>
      <xdr:rowOff>0</xdr:rowOff>
    </xdr:to>
    <xdr:sp macro="" textlink="">
      <xdr:nvSpPr>
        <xdr:cNvPr id="1435" name="Line 1"/>
        <xdr:cNvSpPr>
          <a:spLocks noChangeShapeType="1"/>
        </xdr:cNvSpPr>
      </xdr:nvSpPr>
      <xdr:spPr bwMode="auto">
        <a:xfrm>
          <a:off x="38100" y="771525"/>
          <a:ext cx="119062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25</xdr:row>
      <xdr:rowOff>9525</xdr:rowOff>
    </xdr:from>
    <xdr:to>
      <xdr:col>4</xdr:col>
      <xdr:colOff>0</xdr:colOff>
      <xdr:row>26</xdr:row>
      <xdr:rowOff>161925</xdr:rowOff>
    </xdr:to>
    <xdr:sp macro="" textlink="">
      <xdr:nvSpPr>
        <xdr:cNvPr id="1436" name="Line 2"/>
        <xdr:cNvSpPr>
          <a:spLocks noChangeShapeType="1"/>
        </xdr:cNvSpPr>
      </xdr:nvSpPr>
      <xdr:spPr bwMode="auto">
        <a:xfrm>
          <a:off x="19050" y="6124575"/>
          <a:ext cx="21526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0.00754</cdr:x>
      <cdr:y>0.31068</cdr:y>
    </cdr:from>
    <cdr:to>
      <cdr:x>0.12968</cdr:x>
      <cdr:y>0.44047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44" y="597768"/>
          <a:ext cx="770160" cy="2497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平成２９年</a:t>
          </a:r>
        </a:p>
      </cdr:txBody>
    </cdr:sp>
  </cdr:relSizeAnchor>
  <cdr:relSizeAnchor xmlns:cdr="http://schemas.openxmlformats.org/drawingml/2006/chartDrawing">
    <cdr:from>
      <cdr:x>0.02161</cdr:x>
      <cdr:y>0.61169</cdr:y>
    </cdr:from>
    <cdr:to>
      <cdr:x>0.11567</cdr:x>
      <cdr:y>0.71723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67" y="1176930"/>
          <a:ext cx="593100" cy="2030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平成３０年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148166</xdr:colOff>
      <xdr:row>23</xdr:row>
      <xdr:rowOff>42332</xdr:rowOff>
    </xdr:from>
    <xdr:to>
      <xdr:col>37</xdr:col>
      <xdr:colOff>148167</xdr:colOff>
      <xdr:row>64</xdr:row>
      <xdr:rowOff>10582</xdr:rowOff>
    </xdr:to>
    <xdr:sp macro="" textlink="">
      <xdr:nvSpPr>
        <xdr:cNvPr id="2" name="角丸四角形 1"/>
        <xdr:cNvSpPr>
          <a:spLocks noChangeAspect="1"/>
        </xdr:cNvSpPr>
      </xdr:nvSpPr>
      <xdr:spPr>
        <a:xfrm>
          <a:off x="6434666" y="4423832"/>
          <a:ext cx="174626" cy="71278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27</xdr:col>
      <xdr:colOff>15509</xdr:colOff>
      <xdr:row>53</xdr:row>
      <xdr:rowOff>49581</xdr:rowOff>
    </xdr:from>
    <xdr:to>
      <xdr:col>69</xdr:col>
      <xdr:colOff>38991</xdr:colOff>
      <xdr:row>54</xdr:row>
      <xdr:rowOff>46036</xdr:rowOff>
    </xdr:to>
    <xdr:sp macro="" textlink="">
      <xdr:nvSpPr>
        <xdr:cNvPr id="3" name="角丸四角形 2"/>
        <xdr:cNvSpPr>
          <a:spLocks noChangeAspect="1"/>
        </xdr:cNvSpPr>
      </xdr:nvSpPr>
      <xdr:spPr>
        <a:xfrm rot="7030523" flipH="1">
          <a:off x="8323710" y="6076505"/>
          <a:ext cx="171080" cy="7357732"/>
        </a:xfrm>
        <a:prstGeom prst="roundRect">
          <a:avLst>
            <a:gd name="adj" fmla="val 50000"/>
          </a:avLst>
        </a:prstGeom>
        <a:ln>
          <a:noFill/>
        </a:ln>
        <a:scene3d>
          <a:camera prst="orthographicFront">
            <a:rot lat="0" lon="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74083</xdr:colOff>
      <xdr:row>31</xdr:row>
      <xdr:rowOff>10585</xdr:rowOff>
    </xdr:from>
    <xdr:to>
      <xdr:col>58</xdr:col>
      <xdr:colOff>21167</xdr:colOff>
      <xdr:row>31</xdr:row>
      <xdr:rowOff>148167</xdr:rowOff>
    </xdr:to>
    <xdr:sp macro="" textlink="">
      <xdr:nvSpPr>
        <xdr:cNvPr id="4" name="角丸四角形 3"/>
        <xdr:cNvSpPr>
          <a:spLocks noChangeAspect="1"/>
        </xdr:cNvSpPr>
      </xdr:nvSpPr>
      <xdr:spPr>
        <a:xfrm>
          <a:off x="597958" y="5789085"/>
          <a:ext cx="9551459" cy="137582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47</xdr:col>
      <xdr:colOff>21167</xdr:colOff>
      <xdr:row>6</xdr:row>
      <xdr:rowOff>10584</xdr:rowOff>
    </xdr:from>
    <xdr:to>
      <xdr:col>48</xdr:col>
      <xdr:colOff>10583</xdr:colOff>
      <xdr:row>64</xdr:row>
      <xdr:rowOff>63500</xdr:rowOff>
    </xdr:to>
    <xdr:sp macro="" textlink="">
      <xdr:nvSpPr>
        <xdr:cNvPr id="5" name="角丸四角形 4"/>
        <xdr:cNvSpPr>
          <a:spLocks noChangeAspect="1"/>
        </xdr:cNvSpPr>
      </xdr:nvSpPr>
      <xdr:spPr>
        <a:xfrm>
          <a:off x="8228542" y="1423459"/>
          <a:ext cx="164041" cy="1018116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58</xdr:col>
      <xdr:colOff>0</xdr:colOff>
      <xdr:row>5</xdr:row>
      <xdr:rowOff>116416</xdr:rowOff>
    </xdr:from>
    <xdr:to>
      <xdr:col>58</xdr:col>
      <xdr:colOff>169333</xdr:colOff>
      <xdr:row>56</xdr:row>
      <xdr:rowOff>21167</xdr:rowOff>
    </xdr:to>
    <xdr:sp macro="" textlink="">
      <xdr:nvSpPr>
        <xdr:cNvPr id="6" name="角丸四角形 5"/>
        <xdr:cNvSpPr>
          <a:spLocks noChangeAspect="1"/>
        </xdr:cNvSpPr>
      </xdr:nvSpPr>
      <xdr:spPr>
        <a:xfrm>
          <a:off x="10128250" y="1354666"/>
          <a:ext cx="169333" cy="8810626"/>
        </a:xfrm>
        <a:prstGeom prst="roundRect">
          <a:avLst/>
        </a:prstGeom>
        <a:noFill/>
        <a:ln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29</xdr:col>
      <xdr:colOff>148166</xdr:colOff>
      <xdr:row>23</xdr:row>
      <xdr:rowOff>21167</xdr:rowOff>
    </xdr:from>
    <xdr:to>
      <xdr:col>30</xdr:col>
      <xdr:colOff>148167</xdr:colOff>
      <xdr:row>40</xdr:row>
      <xdr:rowOff>127000</xdr:rowOff>
    </xdr:to>
    <xdr:sp macro="" textlink="">
      <xdr:nvSpPr>
        <xdr:cNvPr id="7" name="角丸四角形 6"/>
        <xdr:cNvSpPr>
          <a:spLocks noChangeAspect="1"/>
        </xdr:cNvSpPr>
      </xdr:nvSpPr>
      <xdr:spPr>
        <a:xfrm>
          <a:off x="5212291" y="4402667"/>
          <a:ext cx="174626" cy="3074458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28</xdr:col>
      <xdr:colOff>137584</xdr:colOff>
      <xdr:row>40</xdr:row>
      <xdr:rowOff>74083</xdr:rowOff>
    </xdr:from>
    <xdr:to>
      <xdr:col>29</xdr:col>
      <xdr:colOff>137583</xdr:colOff>
      <xdr:row>63</xdr:row>
      <xdr:rowOff>148166</xdr:rowOff>
    </xdr:to>
    <xdr:sp macro="" textlink="">
      <xdr:nvSpPr>
        <xdr:cNvPr id="8" name="角丸四角形 7"/>
        <xdr:cNvSpPr>
          <a:spLocks noChangeAspect="1"/>
        </xdr:cNvSpPr>
      </xdr:nvSpPr>
      <xdr:spPr>
        <a:xfrm>
          <a:off x="5027084" y="7424208"/>
          <a:ext cx="174624" cy="4090458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29</xdr:col>
      <xdr:colOff>158749</xdr:colOff>
      <xdr:row>6</xdr:row>
      <xdr:rowOff>21167</xdr:rowOff>
    </xdr:from>
    <xdr:to>
      <xdr:col>30</xdr:col>
      <xdr:colOff>148167</xdr:colOff>
      <xdr:row>22</xdr:row>
      <xdr:rowOff>137583</xdr:rowOff>
    </xdr:to>
    <xdr:sp macro="" textlink="">
      <xdr:nvSpPr>
        <xdr:cNvPr id="9" name="角丸四角形 8"/>
        <xdr:cNvSpPr>
          <a:spLocks noChangeAspect="1"/>
        </xdr:cNvSpPr>
      </xdr:nvSpPr>
      <xdr:spPr>
        <a:xfrm>
          <a:off x="5222874" y="1434042"/>
          <a:ext cx="164043" cy="291041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27</xdr:col>
      <xdr:colOff>164042</xdr:colOff>
      <xdr:row>23</xdr:row>
      <xdr:rowOff>104776</xdr:rowOff>
    </xdr:from>
    <xdr:to>
      <xdr:col>29</xdr:col>
      <xdr:colOff>89958</xdr:colOff>
      <xdr:row>29</xdr:row>
      <xdr:rowOff>38100</xdr:rowOff>
    </xdr:to>
    <xdr:sp macro="" textlink="">
      <xdr:nvSpPr>
        <xdr:cNvPr id="10" name="テキスト ボックス 9"/>
        <xdr:cNvSpPr txBox="1">
          <a:spLocks noChangeAspect="1"/>
        </xdr:cNvSpPr>
      </xdr:nvSpPr>
      <xdr:spPr>
        <a:xfrm>
          <a:off x="4878917" y="4486276"/>
          <a:ext cx="275166" cy="9810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lIns="90000" tIns="0" bIns="0" rtlCol="0" anchor="ctr" anchorCtr="0"/>
        <a:lstStyle/>
        <a:p>
          <a:pPr algn="ctr"/>
          <a:r>
            <a:rPr kumimoji="1" lang="ja-JP" altLang="en-US" sz="1400"/>
            <a:t>２５号線</a:t>
          </a:r>
        </a:p>
      </xdr:txBody>
    </xdr:sp>
    <xdr:clientData/>
  </xdr:twoCellAnchor>
  <xdr:twoCellAnchor>
    <xdr:from>
      <xdr:col>27</xdr:col>
      <xdr:colOff>152400</xdr:colOff>
      <xdr:row>7</xdr:row>
      <xdr:rowOff>148167</xdr:rowOff>
    </xdr:from>
    <xdr:to>
      <xdr:col>29</xdr:col>
      <xdr:colOff>78316</xdr:colOff>
      <xdr:row>15</xdr:row>
      <xdr:rowOff>9524</xdr:rowOff>
    </xdr:to>
    <xdr:sp macro="" textlink="">
      <xdr:nvSpPr>
        <xdr:cNvPr id="11" name="テキスト ボックス 10"/>
        <xdr:cNvSpPr txBox="1">
          <a:spLocks noChangeAspect="1"/>
        </xdr:cNvSpPr>
      </xdr:nvSpPr>
      <xdr:spPr>
        <a:xfrm>
          <a:off x="4867275" y="1735667"/>
          <a:ext cx="275166" cy="12583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tIns="0" bIns="0" rtlCol="0" anchor="ctr" anchorCtr="0"/>
        <a:lstStyle/>
        <a:p>
          <a:pPr algn="ctr"/>
          <a:r>
            <a:rPr kumimoji="1" lang="ja-JP" altLang="en-US" sz="1400"/>
            <a:t>４２３号線</a:t>
          </a:r>
        </a:p>
      </xdr:txBody>
    </xdr:sp>
    <xdr:clientData/>
  </xdr:twoCellAnchor>
  <xdr:twoCellAnchor>
    <xdr:from>
      <xdr:col>30</xdr:col>
      <xdr:colOff>158750</xdr:colOff>
      <xdr:row>35</xdr:row>
      <xdr:rowOff>84666</xdr:rowOff>
    </xdr:from>
    <xdr:to>
      <xdr:col>45</xdr:col>
      <xdr:colOff>137583</xdr:colOff>
      <xdr:row>36</xdr:row>
      <xdr:rowOff>74083</xdr:rowOff>
    </xdr:to>
    <xdr:sp macro="" textlink="">
      <xdr:nvSpPr>
        <xdr:cNvPr id="12" name="角丸四角形 11"/>
        <xdr:cNvSpPr>
          <a:spLocks noChangeAspect="1"/>
        </xdr:cNvSpPr>
      </xdr:nvSpPr>
      <xdr:spPr>
        <a:xfrm>
          <a:off x="5397500" y="6561666"/>
          <a:ext cx="2598208" cy="164042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31</xdr:col>
      <xdr:colOff>0</xdr:colOff>
      <xdr:row>39</xdr:row>
      <xdr:rowOff>0</xdr:rowOff>
    </xdr:from>
    <xdr:to>
      <xdr:col>43</xdr:col>
      <xdr:colOff>84667</xdr:colOff>
      <xdr:row>40</xdr:row>
      <xdr:rowOff>1</xdr:rowOff>
    </xdr:to>
    <xdr:sp macro="" textlink="">
      <xdr:nvSpPr>
        <xdr:cNvPr id="13" name="角丸四角形 12"/>
        <xdr:cNvSpPr>
          <a:spLocks noChangeAspect="1"/>
        </xdr:cNvSpPr>
      </xdr:nvSpPr>
      <xdr:spPr>
        <a:xfrm>
          <a:off x="5413375" y="7175500"/>
          <a:ext cx="2180167" cy="1746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43</xdr:col>
      <xdr:colOff>21167</xdr:colOff>
      <xdr:row>35</xdr:row>
      <xdr:rowOff>105832</xdr:rowOff>
    </xdr:from>
    <xdr:to>
      <xdr:col>44</xdr:col>
      <xdr:colOff>21167</xdr:colOff>
      <xdr:row>40</xdr:row>
      <xdr:rowOff>0</xdr:rowOff>
    </xdr:to>
    <xdr:sp macro="" textlink="">
      <xdr:nvSpPr>
        <xdr:cNvPr id="14" name="角丸四角形 13"/>
        <xdr:cNvSpPr>
          <a:spLocks noChangeAspect="1"/>
        </xdr:cNvSpPr>
      </xdr:nvSpPr>
      <xdr:spPr>
        <a:xfrm>
          <a:off x="7530042" y="6582832"/>
          <a:ext cx="174625" cy="767293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45</xdr:col>
      <xdr:colOff>31750</xdr:colOff>
      <xdr:row>31</xdr:row>
      <xdr:rowOff>116417</xdr:rowOff>
    </xdr:from>
    <xdr:to>
      <xdr:col>45</xdr:col>
      <xdr:colOff>158750</xdr:colOff>
      <xdr:row>36</xdr:row>
      <xdr:rowOff>63502</xdr:rowOff>
    </xdr:to>
    <xdr:sp macro="" textlink="">
      <xdr:nvSpPr>
        <xdr:cNvPr id="15" name="角丸四角形 14"/>
        <xdr:cNvSpPr>
          <a:spLocks noChangeAspect="1"/>
        </xdr:cNvSpPr>
      </xdr:nvSpPr>
      <xdr:spPr>
        <a:xfrm>
          <a:off x="7889875" y="5894917"/>
          <a:ext cx="127000" cy="82021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50</xdr:col>
      <xdr:colOff>52917</xdr:colOff>
      <xdr:row>28</xdr:row>
      <xdr:rowOff>133350</xdr:rowOff>
    </xdr:from>
    <xdr:to>
      <xdr:col>55</xdr:col>
      <xdr:colOff>85725</xdr:colOff>
      <xdr:row>30</xdr:row>
      <xdr:rowOff>123825</xdr:rowOff>
    </xdr:to>
    <xdr:sp macro="" textlink="">
      <xdr:nvSpPr>
        <xdr:cNvPr id="16" name="テキスト ボックス 15"/>
        <xdr:cNvSpPr txBox="1">
          <a:spLocks noChangeAspect="1"/>
        </xdr:cNvSpPr>
      </xdr:nvSpPr>
      <xdr:spPr>
        <a:xfrm>
          <a:off x="8784167" y="5387975"/>
          <a:ext cx="905933" cy="339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rIns="0" rtlCol="0" anchor="ctr"/>
        <a:lstStyle/>
        <a:p>
          <a:pPr algn="ctr"/>
          <a:r>
            <a:rPr kumimoji="1" lang="ja-JP" altLang="en-US" sz="1400"/>
            <a:t>３０８号線</a:t>
          </a:r>
        </a:p>
      </xdr:txBody>
    </xdr:sp>
    <xdr:clientData/>
  </xdr:twoCellAnchor>
  <xdr:twoCellAnchor>
    <xdr:from>
      <xdr:col>19</xdr:col>
      <xdr:colOff>10584</xdr:colOff>
      <xdr:row>22</xdr:row>
      <xdr:rowOff>84666</xdr:rowOff>
    </xdr:from>
    <xdr:to>
      <xdr:col>43</xdr:col>
      <xdr:colOff>127001</xdr:colOff>
      <xdr:row>23</xdr:row>
      <xdr:rowOff>74083</xdr:rowOff>
    </xdr:to>
    <xdr:sp macro="" textlink="">
      <xdr:nvSpPr>
        <xdr:cNvPr id="17" name="角丸四角形 16"/>
        <xdr:cNvSpPr>
          <a:spLocks noChangeAspect="1"/>
        </xdr:cNvSpPr>
      </xdr:nvSpPr>
      <xdr:spPr>
        <a:xfrm>
          <a:off x="3328459" y="4291541"/>
          <a:ext cx="4307417" cy="164042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43</xdr:col>
      <xdr:colOff>10584</xdr:colOff>
      <xdr:row>12</xdr:row>
      <xdr:rowOff>148166</xdr:rowOff>
    </xdr:from>
    <xdr:to>
      <xdr:col>44</xdr:col>
      <xdr:colOff>42333</xdr:colOff>
      <xdr:row>23</xdr:row>
      <xdr:rowOff>84667</xdr:rowOff>
    </xdr:to>
    <xdr:sp macro="" textlink="">
      <xdr:nvSpPr>
        <xdr:cNvPr id="18" name="角丸四角形 17"/>
        <xdr:cNvSpPr>
          <a:spLocks noChangeAspect="1"/>
        </xdr:cNvSpPr>
      </xdr:nvSpPr>
      <xdr:spPr>
        <a:xfrm>
          <a:off x="7519459" y="2608791"/>
          <a:ext cx="206374" cy="185737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42</xdr:col>
      <xdr:colOff>38259</xdr:colOff>
      <xdr:row>10</xdr:row>
      <xdr:rowOff>2597</xdr:rowOff>
    </xdr:from>
    <xdr:to>
      <xdr:col>50</xdr:col>
      <xdr:colOff>125243</xdr:colOff>
      <xdr:row>10</xdr:row>
      <xdr:rowOff>144343</xdr:rowOff>
    </xdr:to>
    <xdr:sp macro="" textlink="">
      <xdr:nvSpPr>
        <xdr:cNvPr id="19" name="角丸四角形 18"/>
        <xdr:cNvSpPr>
          <a:spLocks noChangeAspect="1"/>
        </xdr:cNvSpPr>
      </xdr:nvSpPr>
      <xdr:spPr>
        <a:xfrm rot="2886273">
          <a:off x="8043628" y="1442853"/>
          <a:ext cx="141746" cy="1483984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22</xdr:col>
      <xdr:colOff>158749</xdr:colOff>
      <xdr:row>16</xdr:row>
      <xdr:rowOff>74082</xdr:rowOff>
    </xdr:from>
    <xdr:to>
      <xdr:col>24</xdr:col>
      <xdr:colOff>0</xdr:colOff>
      <xdr:row>47</xdr:row>
      <xdr:rowOff>105834</xdr:rowOff>
    </xdr:to>
    <xdr:sp macro="" textlink="">
      <xdr:nvSpPr>
        <xdr:cNvPr id="20" name="角丸四角形 19"/>
        <xdr:cNvSpPr>
          <a:spLocks noChangeAspect="1"/>
        </xdr:cNvSpPr>
      </xdr:nvSpPr>
      <xdr:spPr>
        <a:xfrm>
          <a:off x="4000499" y="3233207"/>
          <a:ext cx="190501" cy="5445127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76506</xdr:colOff>
      <xdr:row>11</xdr:row>
      <xdr:rowOff>58467</xdr:rowOff>
    </xdr:from>
    <xdr:to>
      <xdr:col>16</xdr:col>
      <xdr:colOff>102404</xdr:colOff>
      <xdr:row>24</xdr:row>
      <xdr:rowOff>115960</xdr:rowOff>
    </xdr:to>
    <xdr:sp macro="" textlink="">
      <xdr:nvSpPr>
        <xdr:cNvPr id="21" name="角丸四角形 20"/>
        <xdr:cNvSpPr>
          <a:spLocks noChangeAspect="1"/>
        </xdr:cNvSpPr>
      </xdr:nvSpPr>
      <xdr:spPr>
        <a:xfrm rot="19470331">
          <a:off x="2695881" y="2344467"/>
          <a:ext cx="200523" cy="2327618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20</xdr:col>
      <xdr:colOff>10584</xdr:colOff>
      <xdr:row>7</xdr:row>
      <xdr:rowOff>116418</xdr:rowOff>
    </xdr:from>
    <xdr:to>
      <xdr:col>21</xdr:col>
      <xdr:colOff>29033</xdr:colOff>
      <xdr:row>18</xdr:row>
      <xdr:rowOff>1858</xdr:rowOff>
    </xdr:to>
    <xdr:sp macro="" textlink="">
      <xdr:nvSpPr>
        <xdr:cNvPr id="22" name="角丸四角形 21"/>
        <xdr:cNvSpPr>
          <a:spLocks noChangeAspect="1"/>
        </xdr:cNvSpPr>
      </xdr:nvSpPr>
      <xdr:spPr>
        <a:xfrm rot="19470331">
          <a:off x="3503084" y="1703918"/>
          <a:ext cx="193074" cy="180631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40</xdr:col>
      <xdr:colOff>52918</xdr:colOff>
      <xdr:row>46</xdr:row>
      <xdr:rowOff>161925</xdr:rowOff>
    </xdr:from>
    <xdr:to>
      <xdr:col>44</xdr:col>
      <xdr:colOff>123825</xdr:colOff>
      <xdr:row>48</xdr:row>
      <xdr:rowOff>158750</xdr:rowOff>
    </xdr:to>
    <xdr:sp macro="" textlink="">
      <xdr:nvSpPr>
        <xdr:cNvPr id="23" name="テキスト ボックス 22"/>
        <xdr:cNvSpPr txBox="1">
          <a:spLocks noChangeAspect="1"/>
        </xdr:cNvSpPr>
      </xdr:nvSpPr>
      <xdr:spPr>
        <a:xfrm>
          <a:off x="7037918" y="8559800"/>
          <a:ext cx="769407" cy="346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rIns="0" rtlCol="0" anchor="ctr"/>
        <a:lstStyle/>
        <a:p>
          <a:pPr algn="ctr"/>
          <a:r>
            <a:rPr kumimoji="1" lang="ja-JP" altLang="en-US" sz="1400"/>
            <a:t>２５号線</a:t>
          </a:r>
        </a:p>
      </xdr:txBody>
    </xdr:sp>
    <xdr:clientData/>
  </xdr:twoCellAnchor>
  <xdr:twoCellAnchor>
    <xdr:from>
      <xdr:col>19</xdr:col>
      <xdr:colOff>63500</xdr:colOff>
      <xdr:row>23</xdr:row>
      <xdr:rowOff>84667</xdr:rowOff>
    </xdr:from>
    <xdr:to>
      <xdr:col>20</xdr:col>
      <xdr:colOff>84666</xdr:colOff>
      <xdr:row>63</xdr:row>
      <xdr:rowOff>158749</xdr:rowOff>
    </xdr:to>
    <xdr:sp macro="" textlink="">
      <xdr:nvSpPr>
        <xdr:cNvPr id="24" name="角丸四角形 23"/>
        <xdr:cNvSpPr>
          <a:spLocks noChangeAspect="1"/>
        </xdr:cNvSpPr>
      </xdr:nvSpPr>
      <xdr:spPr>
        <a:xfrm>
          <a:off x="3381375" y="4466167"/>
          <a:ext cx="195791" cy="7059082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19</xdr:col>
      <xdr:colOff>21168</xdr:colOff>
      <xdr:row>63</xdr:row>
      <xdr:rowOff>161923</xdr:rowOff>
    </xdr:from>
    <xdr:to>
      <xdr:col>20</xdr:col>
      <xdr:colOff>116417</xdr:colOff>
      <xdr:row>78</xdr:row>
      <xdr:rowOff>161924</xdr:rowOff>
    </xdr:to>
    <xdr:sp macro="" textlink="">
      <xdr:nvSpPr>
        <xdr:cNvPr id="25" name="テキスト ボックス 24"/>
        <xdr:cNvSpPr txBox="1">
          <a:spLocks noChangeAspect="1"/>
        </xdr:cNvSpPr>
      </xdr:nvSpPr>
      <xdr:spPr>
        <a:xfrm>
          <a:off x="3339043" y="11528423"/>
          <a:ext cx="269874" cy="2619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tIns="0" bIns="0" rtlCol="0" anchor="ctr" anchorCtr="0"/>
        <a:lstStyle/>
        <a:p>
          <a:pPr algn="ctr"/>
          <a:r>
            <a:rPr kumimoji="1" lang="ja-JP" altLang="en-US" sz="1400"/>
            <a:t>大阪臨海線（新なにわ筋）</a:t>
          </a:r>
        </a:p>
      </xdr:txBody>
    </xdr:sp>
    <xdr:clientData/>
  </xdr:twoCellAnchor>
  <xdr:twoCellAnchor>
    <xdr:from>
      <xdr:col>24</xdr:col>
      <xdr:colOff>52916</xdr:colOff>
      <xdr:row>32</xdr:row>
      <xdr:rowOff>95250</xdr:rowOff>
    </xdr:from>
    <xdr:to>
      <xdr:col>25</xdr:col>
      <xdr:colOff>148166</xdr:colOff>
      <xdr:row>41</xdr:row>
      <xdr:rowOff>0</xdr:rowOff>
    </xdr:to>
    <xdr:sp macro="" textlink="">
      <xdr:nvSpPr>
        <xdr:cNvPr id="26" name="テキスト ボックス 25"/>
        <xdr:cNvSpPr txBox="1">
          <a:spLocks noChangeAspect="1"/>
        </xdr:cNvSpPr>
      </xdr:nvSpPr>
      <xdr:spPr>
        <a:xfrm>
          <a:off x="4243916" y="6048375"/>
          <a:ext cx="269875" cy="147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 anchorCtr="0"/>
        <a:lstStyle/>
        <a:p>
          <a:pPr algn="ctr"/>
          <a:r>
            <a:rPr kumimoji="1" lang="ja-JP" altLang="en-US" sz="1300"/>
            <a:t>（なにわ筋）</a:t>
          </a:r>
        </a:p>
      </xdr:txBody>
    </xdr:sp>
    <xdr:clientData/>
  </xdr:twoCellAnchor>
  <xdr:twoCellAnchor>
    <xdr:from>
      <xdr:col>28</xdr:col>
      <xdr:colOff>57151</xdr:colOff>
      <xdr:row>64</xdr:row>
      <xdr:rowOff>1059</xdr:rowOff>
    </xdr:from>
    <xdr:to>
      <xdr:col>29</xdr:col>
      <xdr:colOff>154517</xdr:colOff>
      <xdr:row>69</xdr:row>
      <xdr:rowOff>133350</xdr:rowOff>
    </xdr:to>
    <xdr:sp macro="" textlink="">
      <xdr:nvSpPr>
        <xdr:cNvPr id="27" name="テキスト ボックス 26"/>
        <xdr:cNvSpPr txBox="1">
          <a:spLocks noChangeAspect="1"/>
        </xdr:cNvSpPr>
      </xdr:nvSpPr>
      <xdr:spPr>
        <a:xfrm>
          <a:off x="4946651" y="11542184"/>
          <a:ext cx="271991" cy="10054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tIns="0" bIns="0" rtlCol="0" anchor="ctr" anchorCtr="0"/>
        <a:lstStyle/>
        <a:p>
          <a:pPr algn="ctr"/>
          <a:r>
            <a:rPr kumimoji="1" lang="ja-JP" altLang="en-US" sz="1400"/>
            <a:t>２６号線</a:t>
          </a:r>
        </a:p>
      </xdr:txBody>
    </xdr:sp>
    <xdr:clientData/>
  </xdr:twoCellAnchor>
  <xdr:twoCellAnchor>
    <xdr:from>
      <xdr:col>36</xdr:col>
      <xdr:colOff>95251</xdr:colOff>
      <xdr:row>64</xdr:row>
      <xdr:rowOff>38100</xdr:rowOff>
    </xdr:from>
    <xdr:to>
      <xdr:col>38</xdr:col>
      <xdr:colOff>21167</xdr:colOff>
      <xdr:row>73</xdr:row>
      <xdr:rowOff>167528</xdr:rowOff>
    </xdr:to>
    <xdr:sp macro="" textlink="">
      <xdr:nvSpPr>
        <xdr:cNvPr id="28" name="テキスト ボックス 27"/>
        <xdr:cNvSpPr txBox="1">
          <a:spLocks noChangeAspect="1"/>
        </xdr:cNvSpPr>
      </xdr:nvSpPr>
      <xdr:spPr>
        <a:xfrm>
          <a:off x="6146427" y="11187953"/>
          <a:ext cx="262093" cy="16422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tIns="0" bIns="0" rtlCol="0" anchor="ctr" anchorCtr="0"/>
        <a:lstStyle/>
        <a:p>
          <a:pPr algn="ctr"/>
          <a:r>
            <a:rPr kumimoji="1" lang="ja-JP" altLang="en-US" sz="1400"/>
            <a:t>大阪和泉泉南線</a:t>
          </a:r>
        </a:p>
      </xdr:txBody>
    </xdr:sp>
    <xdr:clientData/>
  </xdr:twoCellAnchor>
  <xdr:twoCellAnchor>
    <xdr:from>
      <xdr:col>40</xdr:col>
      <xdr:colOff>21167</xdr:colOff>
      <xdr:row>56</xdr:row>
      <xdr:rowOff>74083</xdr:rowOff>
    </xdr:from>
    <xdr:to>
      <xdr:col>41</xdr:col>
      <xdr:colOff>10583</xdr:colOff>
      <xdr:row>64</xdr:row>
      <xdr:rowOff>21166</xdr:rowOff>
    </xdr:to>
    <xdr:sp macro="" textlink="">
      <xdr:nvSpPr>
        <xdr:cNvPr id="29" name="角丸四角形 28"/>
        <xdr:cNvSpPr>
          <a:spLocks noChangeAspect="1"/>
        </xdr:cNvSpPr>
      </xdr:nvSpPr>
      <xdr:spPr>
        <a:xfrm>
          <a:off x="7006167" y="10218208"/>
          <a:ext cx="164041" cy="1344083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39</xdr:col>
      <xdr:colOff>148167</xdr:colOff>
      <xdr:row>64</xdr:row>
      <xdr:rowOff>28575</xdr:rowOff>
    </xdr:from>
    <xdr:to>
      <xdr:col>41</xdr:col>
      <xdr:colOff>74083</xdr:colOff>
      <xdr:row>71</xdr:row>
      <xdr:rowOff>28575</xdr:rowOff>
    </xdr:to>
    <xdr:sp macro="" textlink="">
      <xdr:nvSpPr>
        <xdr:cNvPr id="30" name="テキスト ボックス 29"/>
        <xdr:cNvSpPr txBox="1">
          <a:spLocks noChangeAspect="1"/>
        </xdr:cNvSpPr>
      </xdr:nvSpPr>
      <xdr:spPr>
        <a:xfrm>
          <a:off x="6958542" y="11569700"/>
          <a:ext cx="275166" cy="1222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tIns="0" bIns="0" rtlCol="0" anchor="ctr" anchorCtr="0"/>
        <a:lstStyle/>
        <a:p>
          <a:pPr algn="ctr"/>
          <a:r>
            <a:rPr kumimoji="1" lang="ja-JP" altLang="en-US" sz="1400"/>
            <a:t>大阪高石線</a:t>
          </a:r>
        </a:p>
      </xdr:txBody>
    </xdr:sp>
    <xdr:clientData/>
  </xdr:twoCellAnchor>
  <xdr:twoCellAnchor>
    <xdr:from>
      <xdr:col>38</xdr:col>
      <xdr:colOff>1</xdr:colOff>
      <xdr:row>40</xdr:row>
      <xdr:rowOff>19050</xdr:rowOff>
    </xdr:from>
    <xdr:to>
      <xdr:col>45</xdr:col>
      <xdr:colOff>161924</xdr:colOff>
      <xdr:row>43</xdr:row>
      <xdr:rowOff>28576</xdr:rowOff>
    </xdr:to>
    <xdr:sp macro="" textlink="">
      <xdr:nvSpPr>
        <xdr:cNvPr id="31" name="テキスト ボックス 30"/>
        <xdr:cNvSpPr txBox="1">
          <a:spLocks noChangeAspect="1"/>
        </xdr:cNvSpPr>
      </xdr:nvSpPr>
      <xdr:spPr>
        <a:xfrm>
          <a:off x="6635751" y="7369175"/>
          <a:ext cx="1384298" cy="5334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/>
        <a:lstStyle/>
        <a:p>
          <a:pPr algn="ctr">
            <a:lnSpc>
              <a:spcPts val="1500"/>
            </a:lnSpc>
          </a:pPr>
          <a:r>
            <a:rPr kumimoji="1" lang="ja-JP" altLang="en-US" sz="1300"/>
            <a:t>大阪枚岡奈良線（千日前通）</a:t>
          </a:r>
        </a:p>
      </xdr:txBody>
    </xdr:sp>
    <xdr:clientData/>
  </xdr:twoCellAnchor>
  <xdr:twoCellAnchor>
    <xdr:from>
      <xdr:col>36</xdr:col>
      <xdr:colOff>114300</xdr:colOff>
      <xdr:row>20</xdr:row>
      <xdr:rowOff>85725</xdr:rowOff>
    </xdr:from>
    <xdr:to>
      <xdr:col>41</xdr:col>
      <xdr:colOff>42334</xdr:colOff>
      <xdr:row>22</xdr:row>
      <xdr:rowOff>31749</xdr:rowOff>
    </xdr:to>
    <xdr:sp macro="" textlink="">
      <xdr:nvSpPr>
        <xdr:cNvPr id="32" name="テキスト ボックス 31"/>
        <xdr:cNvSpPr txBox="1">
          <a:spLocks noChangeAspect="1"/>
        </xdr:cNvSpPr>
      </xdr:nvSpPr>
      <xdr:spPr>
        <a:xfrm>
          <a:off x="6400800" y="3943350"/>
          <a:ext cx="801159" cy="295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/>
            <a:t>１号線</a:t>
          </a:r>
        </a:p>
      </xdr:txBody>
    </xdr:sp>
    <xdr:clientData/>
  </xdr:twoCellAnchor>
  <xdr:twoCellAnchor>
    <xdr:from>
      <xdr:col>24</xdr:col>
      <xdr:colOff>148166</xdr:colOff>
      <xdr:row>20</xdr:row>
      <xdr:rowOff>95249</xdr:rowOff>
    </xdr:from>
    <xdr:to>
      <xdr:col>29</xdr:col>
      <xdr:colOff>47625</xdr:colOff>
      <xdr:row>22</xdr:row>
      <xdr:rowOff>28574</xdr:rowOff>
    </xdr:to>
    <xdr:sp macro="" textlink="">
      <xdr:nvSpPr>
        <xdr:cNvPr id="33" name="テキスト ボックス 32"/>
        <xdr:cNvSpPr txBox="1">
          <a:spLocks noChangeAspect="1"/>
        </xdr:cNvSpPr>
      </xdr:nvSpPr>
      <xdr:spPr>
        <a:xfrm>
          <a:off x="4339166" y="3952874"/>
          <a:ext cx="772584" cy="282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/>
            <a:t>２号線</a:t>
          </a:r>
        </a:p>
      </xdr:txBody>
    </xdr:sp>
    <xdr:clientData/>
  </xdr:twoCellAnchor>
  <xdr:twoCellAnchor>
    <xdr:from>
      <xdr:col>58</xdr:col>
      <xdr:colOff>10584</xdr:colOff>
      <xdr:row>56</xdr:row>
      <xdr:rowOff>0</xdr:rowOff>
    </xdr:from>
    <xdr:to>
      <xdr:col>59</xdr:col>
      <xdr:colOff>10583</xdr:colOff>
      <xdr:row>64</xdr:row>
      <xdr:rowOff>0</xdr:rowOff>
    </xdr:to>
    <xdr:sp macro="" textlink="">
      <xdr:nvSpPr>
        <xdr:cNvPr id="34" name="角丸四角形 33"/>
        <xdr:cNvSpPr>
          <a:spLocks noChangeAspect="1"/>
        </xdr:cNvSpPr>
      </xdr:nvSpPr>
      <xdr:spPr>
        <a:xfrm>
          <a:off x="10138834" y="10144125"/>
          <a:ext cx="174624" cy="13970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58</xdr:col>
      <xdr:colOff>0</xdr:colOff>
      <xdr:row>18</xdr:row>
      <xdr:rowOff>63500</xdr:rowOff>
    </xdr:from>
    <xdr:to>
      <xdr:col>58</xdr:col>
      <xdr:colOff>169333</xdr:colOff>
      <xdr:row>21</xdr:row>
      <xdr:rowOff>95250</xdr:rowOff>
    </xdr:to>
    <xdr:sp macro="" textlink="">
      <xdr:nvSpPr>
        <xdr:cNvPr id="35" name="角丸四角形 34"/>
        <xdr:cNvSpPr>
          <a:spLocks noChangeAspect="1"/>
        </xdr:cNvSpPr>
      </xdr:nvSpPr>
      <xdr:spPr>
        <a:xfrm>
          <a:off x="10128250" y="3571875"/>
          <a:ext cx="169333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18</xdr:col>
      <xdr:colOff>169332</xdr:colOff>
      <xdr:row>11</xdr:row>
      <xdr:rowOff>158750</xdr:rowOff>
    </xdr:from>
    <xdr:to>
      <xdr:col>20</xdr:col>
      <xdr:colOff>95248</xdr:colOff>
      <xdr:row>18</xdr:row>
      <xdr:rowOff>52917</xdr:rowOff>
    </xdr:to>
    <xdr:sp macro="" textlink="">
      <xdr:nvSpPr>
        <xdr:cNvPr id="36" name="テキスト ボックス 35"/>
        <xdr:cNvSpPr txBox="1">
          <a:spLocks noChangeAspect="1"/>
        </xdr:cNvSpPr>
      </xdr:nvSpPr>
      <xdr:spPr>
        <a:xfrm rot="19710522">
          <a:off x="3312582" y="2444750"/>
          <a:ext cx="275166" cy="11165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 anchorCtr="0"/>
        <a:lstStyle/>
        <a:p>
          <a:pPr algn="ctr"/>
          <a:r>
            <a:rPr kumimoji="1" lang="ja-JP" altLang="en-US" sz="1400"/>
            <a:t>（十三筋）</a:t>
          </a:r>
        </a:p>
      </xdr:txBody>
    </xdr:sp>
    <xdr:clientData/>
  </xdr:twoCellAnchor>
  <xdr:twoCellAnchor>
    <xdr:from>
      <xdr:col>35</xdr:col>
      <xdr:colOff>20108</xdr:colOff>
      <xdr:row>40</xdr:row>
      <xdr:rowOff>57150</xdr:rowOff>
    </xdr:from>
    <xdr:to>
      <xdr:col>36</xdr:col>
      <xdr:colOff>115358</xdr:colOff>
      <xdr:row>45</xdr:row>
      <xdr:rowOff>57149</xdr:rowOff>
    </xdr:to>
    <xdr:sp macro="" textlink="">
      <xdr:nvSpPr>
        <xdr:cNvPr id="37" name="テキスト ボックス 36"/>
        <xdr:cNvSpPr txBox="1">
          <a:spLocks noChangeAspect="1"/>
        </xdr:cNvSpPr>
      </xdr:nvSpPr>
      <xdr:spPr>
        <a:xfrm>
          <a:off x="6131983" y="7407275"/>
          <a:ext cx="269875" cy="873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tIns="0" bIns="0" rtlCol="0" anchor="ctr" anchorCtr="0"/>
        <a:lstStyle/>
        <a:p>
          <a:pPr algn="ctr"/>
          <a:r>
            <a:rPr kumimoji="1" lang="ja-JP" altLang="en-US" sz="1300"/>
            <a:t>（谷町筋）</a:t>
          </a:r>
        </a:p>
      </xdr:txBody>
    </xdr:sp>
    <xdr:clientData/>
  </xdr:twoCellAnchor>
  <xdr:twoCellAnchor>
    <xdr:from>
      <xdr:col>35</xdr:col>
      <xdr:colOff>22226</xdr:colOff>
      <xdr:row>56</xdr:row>
      <xdr:rowOff>84666</xdr:rowOff>
    </xdr:from>
    <xdr:to>
      <xdr:col>36</xdr:col>
      <xdr:colOff>119592</xdr:colOff>
      <xdr:row>63</xdr:row>
      <xdr:rowOff>21166</xdr:rowOff>
    </xdr:to>
    <xdr:sp macro="" textlink="">
      <xdr:nvSpPr>
        <xdr:cNvPr id="38" name="テキスト ボックス 37"/>
        <xdr:cNvSpPr txBox="1">
          <a:spLocks noChangeAspect="1"/>
        </xdr:cNvSpPr>
      </xdr:nvSpPr>
      <xdr:spPr>
        <a:xfrm>
          <a:off x="6134101" y="10228791"/>
          <a:ext cx="271991" cy="1158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tIns="0" bIns="0" rtlCol="0" anchor="ctr" anchorCtr="0"/>
        <a:lstStyle/>
        <a:p>
          <a:pPr algn="ctr"/>
          <a:r>
            <a:rPr kumimoji="1" lang="ja-JP" altLang="en-US" sz="1300"/>
            <a:t>（あべの筋）</a:t>
          </a:r>
        </a:p>
      </xdr:txBody>
    </xdr:sp>
    <xdr:clientData/>
  </xdr:twoCellAnchor>
  <xdr:twoCellAnchor>
    <xdr:from>
      <xdr:col>41</xdr:col>
      <xdr:colOff>114300</xdr:colOff>
      <xdr:row>58</xdr:row>
      <xdr:rowOff>120651</xdr:rowOff>
    </xdr:from>
    <xdr:to>
      <xdr:col>43</xdr:col>
      <xdr:colOff>40217</xdr:colOff>
      <xdr:row>64</xdr:row>
      <xdr:rowOff>154518</xdr:rowOff>
    </xdr:to>
    <xdr:sp macro="" textlink="">
      <xdr:nvSpPr>
        <xdr:cNvPr id="39" name="テキスト ボックス 38"/>
        <xdr:cNvSpPr txBox="1">
          <a:spLocks noChangeAspect="1"/>
        </xdr:cNvSpPr>
      </xdr:nvSpPr>
      <xdr:spPr>
        <a:xfrm>
          <a:off x="7273925" y="10614026"/>
          <a:ext cx="275167" cy="1081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tIns="0" bIns="0" rtlCol="0" anchor="ctr" anchorCtr="0"/>
        <a:lstStyle/>
        <a:p>
          <a:pPr algn="ctr"/>
          <a:r>
            <a:rPr kumimoji="1" lang="ja-JP" altLang="en-US" sz="1300"/>
            <a:t>（あびこ筋）</a:t>
          </a:r>
        </a:p>
      </xdr:txBody>
    </xdr:sp>
    <xdr:clientData/>
  </xdr:twoCellAnchor>
  <xdr:twoCellAnchor>
    <xdr:from>
      <xdr:col>10</xdr:col>
      <xdr:colOff>142875</xdr:colOff>
      <xdr:row>7</xdr:row>
      <xdr:rowOff>57150</xdr:rowOff>
    </xdr:from>
    <xdr:to>
      <xdr:col>16</xdr:col>
      <xdr:colOff>161925</xdr:colOff>
      <xdr:row>9</xdr:row>
      <xdr:rowOff>9526</xdr:rowOff>
    </xdr:to>
    <xdr:sp macro="" textlink="">
      <xdr:nvSpPr>
        <xdr:cNvPr id="40" name="テキスト ボックス 39"/>
        <xdr:cNvSpPr txBox="1">
          <a:spLocks noChangeAspect="1"/>
        </xdr:cNvSpPr>
      </xdr:nvSpPr>
      <xdr:spPr>
        <a:xfrm>
          <a:off x="1889125" y="1644650"/>
          <a:ext cx="1066800" cy="301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rIns="0" rtlCol="0" anchor="ctr"/>
        <a:lstStyle/>
        <a:p>
          <a:pPr algn="ctr"/>
          <a:r>
            <a:rPr kumimoji="1" lang="ja-JP" altLang="ja-JP" sz="1400">
              <a:solidFill>
                <a:schemeClr val="dk1"/>
              </a:solidFill>
              <a:latin typeface="+mn-lt"/>
              <a:ea typeface="+mn-ea"/>
              <a:cs typeface="+mn-cs"/>
            </a:rPr>
            <a:t>大阪伊丹線</a:t>
          </a:r>
          <a:endParaRPr lang="ja-JP" altLang="ja-JP" sz="1400"/>
        </a:p>
      </xdr:txBody>
    </xdr:sp>
    <xdr:clientData/>
  </xdr:twoCellAnchor>
  <xdr:twoCellAnchor>
    <xdr:from>
      <xdr:col>10</xdr:col>
      <xdr:colOff>133350</xdr:colOff>
      <xdr:row>28</xdr:row>
      <xdr:rowOff>142875</xdr:rowOff>
    </xdr:from>
    <xdr:to>
      <xdr:col>16</xdr:col>
      <xdr:colOff>161925</xdr:colOff>
      <xdr:row>30</xdr:row>
      <xdr:rowOff>152400</xdr:rowOff>
    </xdr:to>
    <xdr:sp macro="" textlink="">
      <xdr:nvSpPr>
        <xdr:cNvPr id="41" name="テキスト ボックス 40"/>
        <xdr:cNvSpPr txBox="1">
          <a:spLocks noChangeAspect="1"/>
        </xdr:cNvSpPr>
      </xdr:nvSpPr>
      <xdr:spPr>
        <a:xfrm>
          <a:off x="1879600" y="5397500"/>
          <a:ext cx="1076325" cy="358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rIns="0" rtlCol="0" anchor="ctr"/>
        <a:lstStyle/>
        <a:p>
          <a:pPr algn="ctr"/>
          <a:r>
            <a:rPr lang="ja-JP" altLang="en-US" sz="1400"/>
            <a:t>築港深江線</a:t>
          </a:r>
          <a:endParaRPr lang="en-US" altLang="ja-JP" sz="1400"/>
        </a:p>
      </xdr:txBody>
    </xdr:sp>
    <xdr:clientData/>
  </xdr:twoCellAnchor>
  <xdr:twoCellAnchor>
    <xdr:from>
      <xdr:col>46</xdr:col>
      <xdr:colOff>133350</xdr:colOff>
      <xdr:row>64</xdr:row>
      <xdr:rowOff>85724</xdr:rowOff>
    </xdr:from>
    <xdr:to>
      <xdr:col>48</xdr:col>
      <xdr:colOff>57150</xdr:colOff>
      <xdr:row>77</xdr:row>
      <xdr:rowOff>133350</xdr:rowOff>
    </xdr:to>
    <xdr:sp macro="" textlink="">
      <xdr:nvSpPr>
        <xdr:cNvPr id="42" name="テキスト ボックス 41"/>
        <xdr:cNvSpPr txBox="1">
          <a:spLocks noChangeAspect="1"/>
        </xdr:cNvSpPr>
      </xdr:nvSpPr>
      <xdr:spPr>
        <a:xfrm>
          <a:off x="8166100" y="11626849"/>
          <a:ext cx="273050" cy="2317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tIns="0" bIns="0" rtlCol="0" anchor="ctr" anchorCtr="0"/>
        <a:lstStyle/>
        <a:p>
          <a:r>
            <a:rPr kumimoji="1" lang="ja-JP" altLang="ja-JP" sz="1400">
              <a:solidFill>
                <a:schemeClr val="dk1"/>
              </a:solidFill>
              <a:latin typeface="+mn-lt"/>
              <a:ea typeface="+mn-ea"/>
              <a:cs typeface="+mn-cs"/>
            </a:rPr>
            <a:t>４７９号線（内環状線）</a:t>
          </a:r>
          <a:endParaRPr lang="ja-JP" altLang="ja-JP" sz="1400"/>
        </a:p>
      </xdr:txBody>
    </xdr:sp>
    <xdr:clientData/>
  </xdr:twoCellAnchor>
  <xdr:twoCellAnchor>
    <xdr:from>
      <xdr:col>57</xdr:col>
      <xdr:colOff>142875</xdr:colOff>
      <xdr:row>64</xdr:row>
      <xdr:rowOff>19049</xdr:rowOff>
    </xdr:from>
    <xdr:to>
      <xdr:col>59</xdr:col>
      <xdr:colOff>66674</xdr:colOff>
      <xdr:row>71</xdr:row>
      <xdr:rowOff>28574</xdr:rowOff>
    </xdr:to>
    <xdr:sp macro="" textlink="">
      <xdr:nvSpPr>
        <xdr:cNvPr id="43" name="テキスト ボックス 42"/>
        <xdr:cNvSpPr txBox="1">
          <a:spLocks noChangeAspect="1"/>
        </xdr:cNvSpPr>
      </xdr:nvSpPr>
      <xdr:spPr>
        <a:xfrm>
          <a:off x="10096500" y="11560174"/>
          <a:ext cx="273049" cy="1231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tIns="0" bIns="0" rtlCol="0" anchor="ctr" anchorCtr="0"/>
        <a:lstStyle/>
        <a:p>
          <a:pPr algn="ctr"/>
          <a:r>
            <a:rPr kumimoji="1" lang="ja-JP" altLang="en-US" sz="1400"/>
            <a:t>中央環状線</a:t>
          </a:r>
        </a:p>
      </xdr:txBody>
    </xdr:sp>
    <xdr:clientData/>
  </xdr:twoCellAnchor>
  <xdr:twoCellAnchor>
    <xdr:from>
      <xdr:col>10</xdr:col>
      <xdr:colOff>19050</xdr:colOff>
      <xdr:row>32</xdr:row>
      <xdr:rowOff>21166</xdr:rowOff>
    </xdr:from>
    <xdr:to>
      <xdr:col>17</xdr:col>
      <xdr:colOff>74083</xdr:colOff>
      <xdr:row>33</xdr:row>
      <xdr:rowOff>114300</xdr:rowOff>
    </xdr:to>
    <xdr:sp macro="" textlink="">
      <xdr:nvSpPr>
        <xdr:cNvPr id="44" name="テキスト ボックス 43"/>
        <xdr:cNvSpPr txBox="1">
          <a:spLocks noChangeAspect="1"/>
        </xdr:cNvSpPr>
      </xdr:nvSpPr>
      <xdr:spPr>
        <a:xfrm>
          <a:off x="1765300" y="5974291"/>
          <a:ext cx="1277408" cy="2677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/>
            <a:t>（中央大通）</a:t>
          </a:r>
        </a:p>
      </xdr:txBody>
    </xdr:sp>
    <xdr:clientData/>
  </xdr:twoCellAnchor>
  <xdr:twoCellAnchor>
    <xdr:from>
      <xdr:col>37</xdr:col>
      <xdr:colOff>1</xdr:colOff>
      <xdr:row>19</xdr:row>
      <xdr:rowOff>10583</xdr:rowOff>
    </xdr:from>
    <xdr:to>
      <xdr:col>41</xdr:col>
      <xdr:colOff>84666</xdr:colOff>
      <xdr:row>20</xdr:row>
      <xdr:rowOff>74083</xdr:rowOff>
    </xdr:to>
    <xdr:sp macro="" textlink="$BU$10">
      <xdr:nvSpPr>
        <xdr:cNvPr id="45" name="テキスト ボックス 44"/>
        <xdr:cNvSpPr txBox="1">
          <a:spLocks noChangeAspect="1"/>
        </xdr:cNvSpPr>
      </xdr:nvSpPr>
      <xdr:spPr>
        <a:xfrm>
          <a:off x="6461126" y="3693583"/>
          <a:ext cx="78316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6FACEDF5-5071-4D50-A4B7-A034A501FAB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293件</a:t>
          </a:fld>
          <a:endParaRPr kumimoji="1" lang="ja-JP" altLang="en-US" sz="1200"/>
        </a:p>
      </xdr:txBody>
    </xdr:sp>
    <xdr:clientData/>
  </xdr:twoCellAnchor>
  <xdr:twoCellAnchor>
    <xdr:from>
      <xdr:col>24</xdr:col>
      <xdr:colOff>116416</xdr:colOff>
      <xdr:row>19</xdr:row>
      <xdr:rowOff>49742</xdr:rowOff>
    </xdr:from>
    <xdr:to>
      <xdr:col>29</xdr:col>
      <xdr:colOff>31748</xdr:colOff>
      <xdr:row>20</xdr:row>
      <xdr:rowOff>115358</xdr:rowOff>
    </xdr:to>
    <xdr:sp macro="" textlink="$BU$11">
      <xdr:nvSpPr>
        <xdr:cNvPr id="46" name="テキスト ボックス 45"/>
        <xdr:cNvSpPr txBox="1">
          <a:spLocks noChangeAspect="1"/>
        </xdr:cNvSpPr>
      </xdr:nvSpPr>
      <xdr:spPr>
        <a:xfrm>
          <a:off x="4307416" y="3732742"/>
          <a:ext cx="788457" cy="240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F32DD567-7875-4ADF-96BF-BAEA6A9A9F0D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172件</a:t>
          </a:fld>
          <a:endParaRPr kumimoji="1" lang="ja-JP" altLang="en-US" sz="1200"/>
        </a:p>
      </xdr:txBody>
    </xdr:sp>
    <xdr:clientData/>
  </xdr:twoCellAnchor>
  <xdr:twoCellAnchor>
    <xdr:from>
      <xdr:col>12</xdr:col>
      <xdr:colOff>125942</xdr:colOff>
      <xdr:row>33</xdr:row>
      <xdr:rowOff>102657</xdr:rowOff>
    </xdr:from>
    <xdr:to>
      <xdr:col>17</xdr:col>
      <xdr:colOff>41274</xdr:colOff>
      <xdr:row>34</xdr:row>
      <xdr:rowOff>166158</xdr:rowOff>
    </xdr:to>
    <xdr:sp macro="" textlink="$BU$24">
      <xdr:nvSpPr>
        <xdr:cNvPr id="47" name="テキスト ボックス 46"/>
        <xdr:cNvSpPr txBox="1">
          <a:spLocks noChangeAspect="1"/>
        </xdr:cNvSpPr>
      </xdr:nvSpPr>
      <xdr:spPr>
        <a:xfrm>
          <a:off x="2221442" y="6230407"/>
          <a:ext cx="788457" cy="238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B48E29FF-974F-4BAA-8110-B8D14C31DCD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302件</a:t>
          </a:fld>
          <a:endParaRPr kumimoji="1" lang="ja-JP" altLang="en-US" sz="1200"/>
        </a:p>
      </xdr:txBody>
    </xdr:sp>
    <xdr:clientData/>
  </xdr:twoCellAnchor>
  <xdr:twoCellAnchor>
    <xdr:from>
      <xdr:col>39</xdr:col>
      <xdr:colOff>82551</xdr:colOff>
      <xdr:row>43</xdr:row>
      <xdr:rowOff>85725</xdr:rowOff>
    </xdr:from>
    <xdr:to>
      <xdr:col>43</xdr:col>
      <xdr:colOff>169333</xdr:colOff>
      <xdr:row>44</xdr:row>
      <xdr:rowOff>149225</xdr:rowOff>
    </xdr:to>
    <xdr:sp macro="" textlink="$BU$25">
      <xdr:nvSpPr>
        <xdr:cNvPr id="48" name="テキスト ボックス 47"/>
        <xdr:cNvSpPr txBox="1">
          <a:spLocks noChangeAspect="1"/>
        </xdr:cNvSpPr>
      </xdr:nvSpPr>
      <xdr:spPr>
        <a:xfrm>
          <a:off x="6892926" y="7959725"/>
          <a:ext cx="785282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6601D4E9-ABE4-4D75-A73D-5DD152B3DAB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167件</a:t>
          </a:fld>
          <a:endParaRPr kumimoji="1" lang="ja-JP" altLang="en-US" sz="1200"/>
        </a:p>
      </xdr:txBody>
    </xdr:sp>
    <xdr:clientData/>
  </xdr:twoCellAnchor>
  <xdr:twoCellAnchor>
    <xdr:from>
      <xdr:col>41</xdr:col>
      <xdr:colOff>105834</xdr:colOff>
      <xdr:row>49</xdr:row>
      <xdr:rowOff>21167</xdr:rowOff>
    </xdr:from>
    <xdr:to>
      <xdr:col>46</xdr:col>
      <xdr:colOff>21167</xdr:colOff>
      <xdr:row>50</xdr:row>
      <xdr:rowOff>84667</xdr:rowOff>
    </xdr:to>
    <xdr:sp macro="" textlink="$BU$12">
      <xdr:nvSpPr>
        <xdr:cNvPr id="49" name="テキスト ボックス 48"/>
        <xdr:cNvSpPr txBox="1">
          <a:spLocks noChangeAspect="1"/>
        </xdr:cNvSpPr>
      </xdr:nvSpPr>
      <xdr:spPr>
        <a:xfrm>
          <a:off x="7265459" y="8942917"/>
          <a:ext cx="788458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3DDEF81D-5B94-4331-9601-98E7A2AF7FA1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406件</a:t>
          </a:fld>
          <a:endParaRPr kumimoji="1" lang="ja-JP" altLang="en-US" sz="1200"/>
        </a:p>
      </xdr:txBody>
    </xdr:sp>
    <xdr:clientData/>
  </xdr:twoCellAnchor>
  <xdr:twoCellAnchor>
    <xdr:from>
      <xdr:col>45</xdr:col>
      <xdr:colOff>76200</xdr:colOff>
      <xdr:row>78</xdr:row>
      <xdr:rowOff>28575</xdr:rowOff>
    </xdr:from>
    <xdr:to>
      <xdr:col>49</xdr:col>
      <xdr:colOff>160865</xdr:colOff>
      <xdr:row>79</xdr:row>
      <xdr:rowOff>92075</xdr:rowOff>
    </xdr:to>
    <xdr:sp macro="" textlink="$BU$18">
      <xdr:nvSpPr>
        <xdr:cNvPr id="50" name="テキスト ボックス 49"/>
        <xdr:cNvSpPr txBox="1">
          <a:spLocks noChangeAspect="1"/>
        </xdr:cNvSpPr>
      </xdr:nvSpPr>
      <xdr:spPr>
        <a:xfrm>
          <a:off x="7934325" y="14014450"/>
          <a:ext cx="78316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323371C5-D2E2-4C6A-8E07-B415E8C48F59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425件</a:t>
          </a:fld>
          <a:endParaRPr kumimoji="1" lang="ja-JP" altLang="en-US" sz="1200"/>
        </a:p>
      </xdr:txBody>
    </xdr:sp>
    <xdr:clientData/>
  </xdr:twoCellAnchor>
  <xdr:twoCellAnchor>
    <xdr:from>
      <xdr:col>38</xdr:col>
      <xdr:colOff>128058</xdr:colOff>
      <xdr:row>71</xdr:row>
      <xdr:rowOff>49742</xdr:rowOff>
    </xdr:from>
    <xdr:to>
      <xdr:col>43</xdr:col>
      <xdr:colOff>41274</xdr:colOff>
      <xdr:row>72</xdr:row>
      <xdr:rowOff>113242</xdr:rowOff>
    </xdr:to>
    <xdr:sp macro="" textlink="$BU$21">
      <xdr:nvSpPr>
        <xdr:cNvPr id="51" name="テキスト ボックス 50"/>
        <xdr:cNvSpPr txBox="1">
          <a:spLocks noChangeAspect="1"/>
        </xdr:cNvSpPr>
      </xdr:nvSpPr>
      <xdr:spPr>
        <a:xfrm>
          <a:off x="6763808" y="12813242"/>
          <a:ext cx="786341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BEDC0977-8E26-41AD-AF44-97FD354269CA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186件</a:t>
          </a:fld>
          <a:endParaRPr kumimoji="1" lang="ja-JP" altLang="en-US" sz="1200"/>
        </a:p>
      </xdr:txBody>
    </xdr:sp>
    <xdr:clientData/>
  </xdr:twoCellAnchor>
  <xdr:twoCellAnchor>
    <xdr:from>
      <xdr:col>35</xdr:col>
      <xdr:colOff>22225</xdr:colOff>
      <xdr:row>74</xdr:row>
      <xdr:rowOff>78878</xdr:rowOff>
    </xdr:from>
    <xdr:to>
      <xdr:col>39</xdr:col>
      <xdr:colOff>109007</xdr:colOff>
      <xdr:row>75</xdr:row>
      <xdr:rowOff>139015</xdr:rowOff>
    </xdr:to>
    <xdr:sp macro="" textlink="$BU$20">
      <xdr:nvSpPr>
        <xdr:cNvPr id="52" name="テキスト ボックス 51"/>
        <xdr:cNvSpPr txBox="1">
          <a:spLocks noChangeAspect="1"/>
        </xdr:cNvSpPr>
      </xdr:nvSpPr>
      <xdr:spPr>
        <a:xfrm>
          <a:off x="5905313" y="12909613"/>
          <a:ext cx="759135" cy="228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1D04C7C0-FB41-478B-918A-1D3728BC20F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259件</a:t>
          </a:fld>
          <a:endParaRPr kumimoji="1" lang="ja-JP" altLang="en-US" sz="1200"/>
        </a:p>
      </xdr:txBody>
    </xdr:sp>
    <xdr:clientData/>
  </xdr:twoCellAnchor>
  <xdr:twoCellAnchor>
    <xdr:from>
      <xdr:col>27</xdr:col>
      <xdr:colOff>0</xdr:colOff>
      <xdr:row>69</xdr:row>
      <xdr:rowOff>152400</xdr:rowOff>
    </xdr:from>
    <xdr:to>
      <xdr:col>31</xdr:col>
      <xdr:colOff>84666</xdr:colOff>
      <xdr:row>71</xdr:row>
      <xdr:rowOff>44450</xdr:rowOff>
    </xdr:to>
    <xdr:sp macro="" textlink="$BU$13">
      <xdr:nvSpPr>
        <xdr:cNvPr id="53" name="テキスト ボックス 52"/>
        <xdr:cNvSpPr txBox="1">
          <a:spLocks noChangeAspect="1"/>
        </xdr:cNvSpPr>
      </xdr:nvSpPr>
      <xdr:spPr>
        <a:xfrm>
          <a:off x="4714875" y="12566650"/>
          <a:ext cx="783166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00BC8A77-566F-4D2B-AF01-DEE9619152B4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192件</a:t>
          </a:fld>
          <a:endParaRPr kumimoji="1" lang="ja-JP" altLang="en-US" sz="1200"/>
        </a:p>
      </xdr:txBody>
    </xdr:sp>
    <xdr:clientData/>
  </xdr:twoCellAnchor>
  <xdr:twoCellAnchor>
    <xdr:from>
      <xdr:col>17</xdr:col>
      <xdr:colOff>123825</xdr:colOff>
      <xdr:row>79</xdr:row>
      <xdr:rowOff>38100</xdr:rowOff>
    </xdr:from>
    <xdr:to>
      <xdr:col>22</xdr:col>
      <xdr:colOff>37041</xdr:colOff>
      <xdr:row>80</xdr:row>
      <xdr:rowOff>101600</xdr:rowOff>
    </xdr:to>
    <xdr:sp macro="" textlink="$BU$22">
      <xdr:nvSpPr>
        <xdr:cNvPr id="54" name="テキスト ボックス 53"/>
        <xdr:cNvSpPr txBox="1">
          <a:spLocks noChangeAspect="1"/>
        </xdr:cNvSpPr>
      </xdr:nvSpPr>
      <xdr:spPr>
        <a:xfrm>
          <a:off x="3092450" y="14198600"/>
          <a:ext cx="786341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AF1904D9-3B49-4D09-9445-0CECCB63212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198件</a:t>
          </a:fld>
          <a:endParaRPr kumimoji="1" lang="ja-JP" altLang="en-US" sz="1200"/>
        </a:p>
      </xdr:txBody>
    </xdr:sp>
    <xdr:clientData/>
  </xdr:twoCellAnchor>
  <xdr:twoCellAnchor>
    <xdr:from>
      <xdr:col>26</xdr:col>
      <xdr:colOff>95249</xdr:colOff>
      <xdr:row>6</xdr:row>
      <xdr:rowOff>63501</xdr:rowOff>
    </xdr:from>
    <xdr:to>
      <xdr:col>31</xdr:col>
      <xdr:colOff>10582</xdr:colOff>
      <xdr:row>7</xdr:row>
      <xdr:rowOff>127000</xdr:rowOff>
    </xdr:to>
    <xdr:sp macro="" textlink="$BU$17">
      <xdr:nvSpPr>
        <xdr:cNvPr id="55" name="テキスト ボックス 54"/>
        <xdr:cNvSpPr txBox="1">
          <a:spLocks noChangeAspect="1"/>
        </xdr:cNvSpPr>
      </xdr:nvSpPr>
      <xdr:spPr>
        <a:xfrm>
          <a:off x="4635499" y="1476376"/>
          <a:ext cx="788458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86185BC6-488C-4196-8F1D-4BFFCC01E7ED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260件</a:t>
          </a:fld>
          <a:endParaRPr kumimoji="1" lang="ja-JP" altLang="en-US" sz="1200"/>
        </a:p>
      </xdr:txBody>
    </xdr:sp>
    <xdr:clientData/>
  </xdr:twoCellAnchor>
  <xdr:twoCellAnchor>
    <xdr:from>
      <xdr:col>14</xdr:col>
      <xdr:colOff>9525</xdr:colOff>
      <xdr:row>8</xdr:row>
      <xdr:rowOff>161925</xdr:rowOff>
    </xdr:from>
    <xdr:to>
      <xdr:col>18</xdr:col>
      <xdr:colOff>94191</xdr:colOff>
      <xdr:row>10</xdr:row>
      <xdr:rowOff>53974</xdr:rowOff>
    </xdr:to>
    <xdr:sp macro="" textlink="$BU$23">
      <xdr:nvSpPr>
        <xdr:cNvPr id="56" name="テキスト ボックス 55"/>
        <xdr:cNvSpPr txBox="1">
          <a:spLocks noChangeAspect="1"/>
        </xdr:cNvSpPr>
      </xdr:nvSpPr>
      <xdr:spPr>
        <a:xfrm>
          <a:off x="2454275" y="1924050"/>
          <a:ext cx="783166" cy="241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165F1B7F-42DE-426A-B236-8A4762DB54DD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201件</a:t>
          </a:fld>
          <a:endParaRPr kumimoji="1" lang="ja-JP" altLang="en-US" sz="1200"/>
        </a:p>
      </xdr:txBody>
    </xdr:sp>
    <xdr:clientData/>
  </xdr:twoCellAnchor>
  <xdr:twoCellAnchor>
    <xdr:from>
      <xdr:col>6</xdr:col>
      <xdr:colOff>116731</xdr:colOff>
      <xdr:row>18</xdr:row>
      <xdr:rowOff>6026</xdr:rowOff>
    </xdr:from>
    <xdr:to>
      <xdr:col>7</xdr:col>
      <xdr:colOff>117198</xdr:colOff>
      <xdr:row>43</xdr:row>
      <xdr:rowOff>136659</xdr:rowOff>
    </xdr:to>
    <xdr:sp macro="" textlink="">
      <xdr:nvSpPr>
        <xdr:cNvPr id="58" name="角丸四角形 57"/>
        <xdr:cNvSpPr>
          <a:spLocks noChangeAspect="1"/>
        </xdr:cNvSpPr>
      </xdr:nvSpPr>
      <xdr:spPr>
        <a:xfrm rot="20078463" flipH="1">
          <a:off x="1164481" y="3514401"/>
          <a:ext cx="175092" cy="4496258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0</xdr:colOff>
      <xdr:row>16</xdr:row>
      <xdr:rowOff>104775</xdr:rowOff>
    </xdr:from>
    <xdr:to>
      <xdr:col>7</xdr:col>
      <xdr:colOff>21167</xdr:colOff>
      <xdr:row>18</xdr:row>
      <xdr:rowOff>42334</xdr:rowOff>
    </xdr:to>
    <xdr:sp macro="" textlink="">
      <xdr:nvSpPr>
        <xdr:cNvPr id="59" name="テキスト ボックス 58"/>
        <xdr:cNvSpPr txBox="1">
          <a:spLocks noChangeAspect="1"/>
        </xdr:cNvSpPr>
      </xdr:nvSpPr>
      <xdr:spPr>
        <a:xfrm>
          <a:off x="349250" y="3263900"/>
          <a:ext cx="894292" cy="2868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４３号</a:t>
          </a:r>
          <a:r>
            <a:rPr kumimoji="1" lang="ja-JP" altLang="ja-JP" sz="1400">
              <a:solidFill>
                <a:schemeClr val="dk1"/>
              </a:solidFill>
              <a:latin typeface="+mn-lt"/>
              <a:ea typeface="+mn-ea"/>
              <a:cs typeface="+mn-cs"/>
            </a:rPr>
            <a:t>線</a:t>
          </a:r>
          <a:endParaRPr lang="ja-JP" altLang="ja-JP" sz="1400"/>
        </a:p>
      </xdr:txBody>
    </xdr:sp>
    <xdr:clientData/>
  </xdr:twoCellAnchor>
  <xdr:twoCellAnchor>
    <xdr:from>
      <xdr:col>3</xdr:col>
      <xdr:colOff>105834</xdr:colOff>
      <xdr:row>18</xdr:row>
      <xdr:rowOff>95251</xdr:rowOff>
    </xdr:from>
    <xdr:to>
      <xdr:col>8</xdr:col>
      <xdr:colOff>21166</xdr:colOff>
      <xdr:row>19</xdr:row>
      <xdr:rowOff>158750</xdr:rowOff>
    </xdr:to>
    <xdr:sp macro="" textlink="$BU$14">
      <xdr:nvSpPr>
        <xdr:cNvPr id="60" name="テキスト ボックス 59"/>
        <xdr:cNvSpPr txBox="1">
          <a:spLocks noChangeAspect="1"/>
        </xdr:cNvSpPr>
      </xdr:nvSpPr>
      <xdr:spPr>
        <a:xfrm>
          <a:off x="629709" y="3603626"/>
          <a:ext cx="788457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2144607C-CEA8-4CA9-9494-7451B493484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170件</a:t>
          </a:fld>
          <a:endParaRPr kumimoji="1" lang="ja-JP" altLang="en-US" sz="1200"/>
        </a:p>
      </xdr:txBody>
    </xdr:sp>
    <xdr:clientData/>
  </xdr:twoCellAnchor>
  <xdr:twoCellAnchor>
    <xdr:from>
      <xdr:col>10</xdr:col>
      <xdr:colOff>13161</xdr:colOff>
      <xdr:row>51</xdr:row>
      <xdr:rowOff>58488</xdr:rowOff>
    </xdr:from>
    <xdr:to>
      <xdr:col>52</xdr:col>
      <xdr:colOff>72018</xdr:colOff>
      <xdr:row>52</xdr:row>
      <xdr:rowOff>104225</xdr:rowOff>
    </xdr:to>
    <xdr:sp macro="" textlink="">
      <xdr:nvSpPr>
        <xdr:cNvPr id="61" name="角丸四角形 60"/>
        <xdr:cNvSpPr>
          <a:spLocks noChangeAspect="1"/>
        </xdr:cNvSpPr>
      </xdr:nvSpPr>
      <xdr:spPr>
        <a:xfrm rot="7030523" flipH="1">
          <a:off x="5345784" y="5743115"/>
          <a:ext cx="220362" cy="7393107"/>
        </a:xfrm>
        <a:prstGeom prst="roundRect">
          <a:avLst>
            <a:gd name="adj" fmla="val 50000"/>
          </a:avLst>
        </a:prstGeom>
        <a:ln>
          <a:noFill/>
        </a:ln>
        <a:scene3d>
          <a:camera prst="orthographicFront">
            <a:rot lat="0" lon="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23</xdr:col>
      <xdr:colOff>148914</xdr:colOff>
      <xdr:row>6</xdr:row>
      <xdr:rowOff>50893</xdr:rowOff>
    </xdr:from>
    <xdr:to>
      <xdr:col>24</xdr:col>
      <xdr:colOff>150680</xdr:colOff>
      <xdr:row>16</xdr:row>
      <xdr:rowOff>90603</xdr:rowOff>
    </xdr:to>
    <xdr:sp macro="" textlink="">
      <xdr:nvSpPr>
        <xdr:cNvPr id="62" name="角丸四角形 61"/>
        <xdr:cNvSpPr>
          <a:spLocks noChangeAspect="1"/>
        </xdr:cNvSpPr>
      </xdr:nvSpPr>
      <xdr:spPr>
        <a:xfrm rot="456605">
          <a:off x="4165289" y="1463768"/>
          <a:ext cx="176391" cy="178596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22</xdr:col>
      <xdr:colOff>114300</xdr:colOff>
      <xdr:row>4</xdr:row>
      <xdr:rowOff>38100</xdr:rowOff>
    </xdr:from>
    <xdr:to>
      <xdr:col>27</xdr:col>
      <xdr:colOff>42332</xdr:colOff>
      <xdr:row>5</xdr:row>
      <xdr:rowOff>164043</xdr:rowOff>
    </xdr:to>
    <xdr:sp macro="" textlink="">
      <xdr:nvSpPr>
        <xdr:cNvPr id="63" name="テキスト ボックス 62"/>
        <xdr:cNvSpPr txBox="1">
          <a:spLocks noChangeAspect="1"/>
        </xdr:cNvSpPr>
      </xdr:nvSpPr>
      <xdr:spPr>
        <a:xfrm>
          <a:off x="3956050" y="1101725"/>
          <a:ext cx="801157" cy="3005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rIns="0" rtlCol="0" anchor="ctr"/>
        <a:lstStyle/>
        <a:p>
          <a:pPr algn="ctr"/>
          <a:r>
            <a:rPr kumimoji="1" lang="en-US" altLang="ja-JP" sz="1400">
              <a:solidFill>
                <a:schemeClr val="dk1"/>
              </a:solidFill>
              <a:latin typeface="+mn-lt"/>
              <a:ea typeface="+mn-ea"/>
              <a:cs typeface="+mn-cs"/>
            </a:rPr>
            <a:t>176</a:t>
          </a:r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号</a:t>
          </a:r>
          <a:r>
            <a:rPr kumimoji="1" lang="ja-JP" altLang="ja-JP" sz="1400">
              <a:solidFill>
                <a:schemeClr val="dk1"/>
              </a:solidFill>
              <a:latin typeface="+mn-lt"/>
              <a:ea typeface="+mn-ea"/>
              <a:cs typeface="+mn-cs"/>
            </a:rPr>
            <a:t>線</a:t>
          </a:r>
          <a:endParaRPr lang="ja-JP" altLang="ja-JP" sz="1400"/>
        </a:p>
      </xdr:txBody>
    </xdr:sp>
    <xdr:clientData/>
  </xdr:twoCellAnchor>
  <xdr:twoCellAnchor>
    <xdr:from>
      <xdr:col>21</xdr:col>
      <xdr:colOff>0</xdr:colOff>
      <xdr:row>6</xdr:row>
      <xdr:rowOff>0</xdr:rowOff>
    </xdr:from>
    <xdr:to>
      <xdr:col>25</xdr:col>
      <xdr:colOff>84666</xdr:colOff>
      <xdr:row>7</xdr:row>
      <xdr:rowOff>63499</xdr:rowOff>
    </xdr:to>
    <xdr:sp macro="" textlink="$BU$15">
      <xdr:nvSpPr>
        <xdr:cNvPr id="64" name="テキスト ボックス 63"/>
        <xdr:cNvSpPr txBox="1">
          <a:spLocks noChangeAspect="1"/>
        </xdr:cNvSpPr>
      </xdr:nvSpPr>
      <xdr:spPr>
        <a:xfrm>
          <a:off x="3667125" y="1412875"/>
          <a:ext cx="783166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3170A76F-C265-46B6-BCFD-03283CB79729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134件</a:t>
          </a:fld>
          <a:endParaRPr kumimoji="1" lang="ja-JP" altLang="en-US" sz="1200"/>
        </a:p>
      </xdr:txBody>
    </xdr:sp>
    <xdr:clientData/>
  </xdr:twoCellAnchor>
  <xdr:twoCellAnchor>
    <xdr:from>
      <xdr:col>50</xdr:col>
      <xdr:colOff>127000</xdr:colOff>
      <xdr:row>32</xdr:row>
      <xdr:rowOff>0</xdr:rowOff>
    </xdr:from>
    <xdr:to>
      <xdr:col>55</xdr:col>
      <xdr:colOff>42333</xdr:colOff>
      <xdr:row>33</xdr:row>
      <xdr:rowOff>63501</xdr:rowOff>
    </xdr:to>
    <xdr:sp macro="" textlink="$BU$16">
      <xdr:nvSpPr>
        <xdr:cNvPr id="65" name="テキスト ボックス 64"/>
        <xdr:cNvSpPr txBox="1">
          <a:spLocks noChangeAspect="1"/>
        </xdr:cNvSpPr>
      </xdr:nvSpPr>
      <xdr:spPr>
        <a:xfrm>
          <a:off x="8858250" y="5953125"/>
          <a:ext cx="788458" cy="238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0AFB0DBC-64DD-4F3D-8408-391C575E634D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200件</a:t>
          </a:fld>
          <a:endParaRPr kumimoji="1" lang="ja-JP" altLang="en-US" sz="1200"/>
        </a:p>
      </xdr:txBody>
    </xdr:sp>
    <xdr:clientData/>
  </xdr:twoCellAnchor>
  <xdr:twoCellAnchor>
    <xdr:from>
      <xdr:col>28</xdr:col>
      <xdr:colOff>15875</xdr:colOff>
      <xdr:row>31</xdr:row>
      <xdr:rowOff>127000</xdr:rowOff>
    </xdr:from>
    <xdr:to>
      <xdr:col>29</xdr:col>
      <xdr:colOff>111125</xdr:colOff>
      <xdr:row>40</xdr:row>
      <xdr:rowOff>31750</xdr:rowOff>
    </xdr:to>
    <xdr:sp macro="" textlink="">
      <xdr:nvSpPr>
        <xdr:cNvPr id="66" name="テキスト ボックス 65"/>
        <xdr:cNvSpPr txBox="1">
          <a:spLocks noChangeAspect="1"/>
        </xdr:cNvSpPr>
      </xdr:nvSpPr>
      <xdr:spPr>
        <a:xfrm>
          <a:off x="4905375" y="5905500"/>
          <a:ext cx="269875" cy="147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 anchorCtr="0"/>
        <a:lstStyle/>
        <a:p>
          <a:pPr algn="ctr"/>
          <a:r>
            <a:rPr kumimoji="1" lang="ja-JP" altLang="en-US" sz="1300"/>
            <a:t>（御堂筋）</a:t>
          </a:r>
        </a:p>
      </xdr:txBody>
    </xdr:sp>
    <xdr:clientData/>
  </xdr:twoCellAnchor>
  <xdr:twoCellAnchor>
    <xdr:from>
      <xdr:col>56</xdr:col>
      <xdr:colOff>108857</xdr:colOff>
      <xdr:row>71</xdr:row>
      <xdr:rowOff>81642</xdr:rowOff>
    </xdr:from>
    <xdr:to>
      <xdr:col>61</xdr:col>
      <xdr:colOff>16629</xdr:colOff>
      <xdr:row>72</xdr:row>
      <xdr:rowOff>145142</xdr:rowOff>
    </xdr:to>
    <xdr:sp macro="" textlink="$BU$19">
      <xdr:nvSpPr>
        <xdr:cNvPr id="67" name="テキスト ボックス 66"/>
        <xdr:cNvSpPr txBox="1">
          <a:spLocks noChangeAspect="1"/>
        </xdr:cNvSpPr>
      </xdr:nvSpPr>
      <xdr:spPr>
        <a:xfrm>
          <a:off x="10014857" y="12994821"/>
          <a:ext cx="792236" cy="2403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5BB143FB-F44B-4A62-9BE9-CE377EC444C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150件</a:t>
          </a:fld>
          <a:endParaRPr kumimoji="1" lang="en-US" altLang="ja-JP" sz="12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0</xdr:col>
      <xdr:colOff>523875</xdr:colOff>
      <xdr:row>2</xdr:row>
      <xdr:rowOff>0</xdr:rowOff>
    </xdr:to>
    <xdr:sp macro="" textlink="">
      <xdr:nvSpPr>
        <xdr:cNvPr id="1208937" name="Line 1"/>
        <xdr:cNvSpPr>
          <a:spLocks noChangeShapeType="1"/>
        </xdr:cNvSpPr>
      </xdr:nvSpPr>
      <xdr:spPr bwMode="auto">
        <a:xfrm>
          <a:off x="19050" y="276225"/>
          <a:ext cx="5048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514350</xdr:colOff>
      <xdr:row>2</xdr:row>
      <xdr:rowOff>0</xdr:rowOff>
    </xdr:from>
    <xdr:to>
      <xdr:col>0</xdr:col>
      <xdr:colOff>561975</xdr:colOff>
      <xdr:row>2</xdr:row>
      <xdr:rowOff>9525</xdr:rowOff>
    </xdr:to>
    <xdr:sp macro="" textlink="">
      <xdr:nvSpPr>
        <xdr:cNvPr id="1208938" name="Line 4"/>
        <xdr:cNvSpPr>
          <a:spLocks noChangeShapeType="1"/>
        </xdr:cNvSpPr>
      </xdr:nvSpPr>
      <xdr:spPr bwMode="auto">
        <a:xfrm>
          <a:off x="514350" y="438150"/>
          <a:ext cx="476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0</xdr:col>
      <xdr:colOff>247650</xdr:colOff>
      <xdr:row>2</xdr:row>
      <xdr:rowOff>133350</xdr:rowOff>
    </xdr:to>
    <xdr:sp macro="" textlink="">
      <xdr:nvSpPr>
        <xdr:cNvPr id="1208939" name="Line 5"/>
        <xdr:cNvSpPr>
          <a:spLocks noChangeShapeType="1"/>
        </xdr:cNvSpPr>
      </xdr:nvSpPr>
      <xdr:spPr bwMode="auto">
        <a:xfrm>
          <a:off x="9525" y="266700"/>
          <a:ext cx="238125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2</xdr:row>
      <xdr:rowOff>133350</xdr:rowOff>
    </xdr:from>
    <xdr:to>
      <xdr:col>1</xdr:col>
      <xdr:colOff>0</xdr:colOff>
      <xdr:row>3</xdr:row>
      <xdr:rowOff>0</xdr:rowOff>
    </xdr:to>
    <xdr:sp macro="" textlink="">
      <xdr:nvSpPr>
        <xdr:cNvPr id="1208940" name="Line 6"/>
        <xdr:cNvSpPr>
          <a:spLocks noChangeShapeType="1"/>
        </xdr:cNvSpPr>
      </xdr:nvSpPr>
      <xdr:spPr bwMode="auto">
        <a:xfrm>
          <a:off x="247650" y="571500"/>
          <a:ext cx="333375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19050</xdr:rowOff>
    </xdr:from>
    <xdr:to>
      <xdr:col>1</xdr:col>
      <xdr:colOff>19050</xdr:colOff>
      <xdr:row>20</xdr:row>
      <xdr:rowOff>161925</xdr:rowOff>
    </xdr:to>
    <xdr:sp macro="" textlink="">
      <xdr:nvSpPr>
        <xdr:cNvPr id="1208941" name="Line 13"/>
        <xdr:cNvSpPr>
          <a:spLocks noChangeShapeType="1"/>
        </xdr:cNvSpPr>
      </xdr:nvSpPr>
      <xdr:spPr bwMode="auto">
        <a:xfrm>
          <a:off x="0" y="4362450"/>
          <a:ext cx="6000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19</xdr:row>
      <xdr:rowOff>19050</xdr:rowOff>
    </xdr:from>
    <xdr:to>
      <xdr:col>1</xdr:col>
      <xdr:colOff>0</xdr:colOff>
      <xdr:row>20</xdr:row>
      <xdr:rowOff>9525</xdr:rowOff>
    </xdr:to>
    <xdr:sp macro="" textlink="">
      <xdr:nvSpPr>
        <xdr:cNvPr id="1208942" name="Line 15"/>
        <xdr:cNvSpPr>
          <a:spLocks noChangeShapeType="1"/>
        </xdr:cNvSpPr>
      </xdr:nvSpPr>
      <xdr:spPr bwMode="auto">
        <a:xfrm>
          <a:off x="9525" y="4362450"/>
          <a:ext cx="57150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571500</xdr:colOff>
      <xdr:row>20</xdr:row>
      <xdr:rowOff>9525</xdr:rowOff>
    </xdr:from>
    <xdr:to>
      <xdr:col>1</xdr:col>
      <xdr:colOff>485775</xdr:colOff>
      <xdr:row>20</xdr:row>
      <xdr:rowOff>9525</xdr:rowOff>
    </xdr:to>
    <xdr:sp macro="" textlink="">
      <xdr:nvSpPr>
        <xdr:cNvPr id="1208943" name="Line 16"/>
        <xdr:cNvSpPr>
          <a:spLocks noChangeShapeType="1"/>
        </xdr:cNvSpPr>
      </xdr:nvSpPr>
      <xdr:spPr bwMode="auto">
        <a:xfrm flipV="1">
          <a:off x="571500" y="4524375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476250</xdr:colOff>
      <xdr:row>20</xdr:row>
      <xdr:rowOff>0</xdr:rowOff>
    </xdr:from>
    <xdr:to>
      <xdr:col>1</xdr:col>
      <xdr:colOff>609600</xdr:colOff>
      <xdr:row>20</xdr:row>
      <xdr:rowOff>142875</xdr:rowOff>
    </xdr:to>
    <xdr:sp macro="" textlink="">
      <xdr:nvSpPr>
        <xdr:cNvPr id="1208944" name="Line 17"/>
        <xdr:cNvSpPr>
          <a:spLocks noChangeShapeType="1"/>
        </xdr:cNvSpPr>
      </xdr:nvSpPr>
      <xdr:spPr bwMode="auto">
        <a:xfrm>
          <a:off x="1057275" y="4514850"/>
          <a:ext cx="13335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133350</xdr:rowOff>
    </xdr:from>
    <xdr:to>
      <xdr:col>11</xdr:col>
      <xdr:colOff>200025</xdr:colOff>
      <xdr:row>23</xdr:row>
      <xdr:rowOff>85725</xdr:rowOff>
    </xdr:to>
    <xdr:graphicFrame macro="">
      <xdr:nvGraphicFramePr>
        <xdr:cNvPr id="1085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25</xdr:row>
      <xdr:rowOff>28575</xdr:rowOff>
    </xdr:from>
    <xdr:to>
      <xdr:col>11</xdr:col>
      <xdr:colOff>228600</xdr:colOff>
      <xdr:row>34</xdr:row>
      <xdr:rowOff>38100</xdr:rowOff>
    </xdr:to>
    <xdr:graphicFrame macro="">
      <xdr:nvGraphicFramePr>
        <xdr:cNvPr id="10857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35</xdr:row>
      <xdr:rowOff>142875</xdr:rowOff>
    </xdr:from>
    <xdr:to>
      <xdr:col>11</xdr:col>
      <xdr:colOff>219075</xdr:colOff>
      <xdr:row>45</xdr:row>
      <xdr:rowOff>85725</xdr:rowOff>
    </xdr:to>
    <xdr:graphicFrame macro="">
      <xdr:nvGraphicFramePr>
        <xdr:cNvPr id="1085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0.03017</cdr:x>
      <cdr:y>0.60324</cdr:y>
    </cdr:from>
    <cdr:to>
      <cdr:x>0.13956</cdr:x>
      <cdr:y>0.72988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7733" y="1005519"/>
          <a:ext cx="716854" cy="211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平成３０年</a:t>
          </a:r>
        </a:p>
      </cdr:txBody>
    </cdr:sp>
  </cdr:relSizeAnchor>
  <cdr:relSizeAnchor xmlns:cdr="http://schemas.openxmlformats.org/drawingml/2006/chartDrawing">
    <cdr:from>
      <cdr:x>0.03163</cdr:x>
      <cdr:y>0.30051</cdr:y>
    </cdr:from>
    <cdr:to>
      <cdr:x>0.14126</cdr:x>
      <cdr:y>0.42715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478" y="523623"/>
          <a:ext cx="732976" cy="2177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平成２９年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0.02359</cdr:x>
      <cdr:y>0.59453</cdr:y>
    </cdr:from>
    <cdr:to>
      <cdr:x>0.1325</cdr:x>
      <cdr:y>0.73001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4815" y="923060"/>
          <a:ext cx="714746" cy="2103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平成３０年</a:t>
          </a:r>
        </a:p>
      </cdr:txBody>
    </cdr:sp>
  </cdr:relSizeAnchor>
  <cdr:relSizeAnchor xmlns:cdr="http://schemas.openxmlformats.org/drawingml/2006/chartDrawing">
    <cdr:from>
      <cdr:x>0.02359</cdr:x>
      <cdr:y>0.32074</cdr:y>
    </cdr:from>
    <cdr:to>
      <cdr:x>0.1325</cdr:x>
      <cdr:y>0.45622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4815" y="497973"/>
          <a:ext cx="714746" cy="2103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平成２９年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0.02445</cdr:x>
      <cdr:y>0.59118</cdr:y>
    </cdr:from>
    <cdr:to>
      <cdr:x>0.13384</cdr:x>
      <cdr:y>0.71872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9730" y="979785"/>
          <a:ext cx="714771" cy="2113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平成３０年</a:t>
          </a:r>
        </a:p>
      </cdr:txBody>
    </cdr:sp>
  </cdr:relSizeAnchor>
  <cdr:relSizeAnchor xmlns:cdr="http://schemas.openxmlformats.org/drawingml/2006/chartDrawing">
    <cdr:from>
      <cdr:x>0.0242</cdr:x>
      <cdr:y>0.3164</cdr:y>
    </cdr:from>
    <cdr:to>
      <cdr:x>0.13383</cdr:x>
      <cdr:y>0.44394</cdr:y>
    </cdr:to>
    <cdr:sp macro="" textlink="">
      <cdr:nvSpPr>
        <cdr:cNvPr id="358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126" y="524388"/>
          <a:ext cx="716339" cy="2113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平成２９年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1</xdr:col>
      <xdr:colOff>304800</xdr:colOff>
      <xdr:row>3</xdr:row>
      <xdr:rowOff>161925</xdr:rowOff>
    </xdr:to>
    <xdr:sp macro="" textlink="">
      <xdr:nvSpPr>
        <xdr:cNvPr id="11880" name="Line 1"/>
        <xdr:cNvSpPr>
          <a:spLocks noChangeShapeType="1"/>
        </xdr:cNvSpPr>
      </xdr:nvSpPr>
      <xdr:spPr bwMode="auto">
        <a:xfrm>
          <a:off x="19050" y="257175"/>
          <a:ext cx="54292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32</xdr:row>
      <xdr:rowOff>9525</xdr:rowOff>
    </xdr:from>
    <xdr:to>
      <xdr:col>8</xdr:col>
      <xdr:colOff>390525</xdr:colOff>
      <xdr:row>48</xdr:row>
      <xdr:rowOff>9525</xdr:rowOff>
    </xdr:to>
    <xdr:graphicFrame macro="">
      <xdr:nvGraphicFramePr>
        <xdr:cNvPr id="1188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45</xdr:row>
      <xdr:rowOff>66675</xdr:rowOff>
    </xdr:from>
    <xdr:to>
      <xdr:col>9</xdr:col>
      <xdr:colOff>142875</xdr:colOff>
      <xdr:row>46</xdr:row>
      <xdr:rowOff>143701</xdr:rowOff>
    </xdr:to>
    <xdr:sp macro="" textlink="">
      <xdr:nvSpPr>
        <xdr:cNvPr id="4" name="テキスト ボックス 3"/>
        <xdr:cNvSpPr txBox="1"/>
      </xdr:nvSpPr>
      <xdr:spPr>
        <a:xfrm>
          <a:off x="3143250" y="9458325"/>
          <a:ext cx="2171700" cy="2484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時間帯別発生件数と負傷者数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1</xdr:col>
      <xdr:colOff>523875</xdr:colOff>
      <xdr:row>6</xdr:row>
      <xdr:rowOff>152400</xdr:rowOff>
    </xdr:to>
    <xdr:sp macro="" textlink="">
      <xdr:nvSpPr>
        <xdr:cNvPr id="2254" name="Line 1"/>
        <xdr:cNvSpPr>
          <a:spLocks noChangeShapeType="1"/>
        </xdr:cNvSpPr>
      </xdr:nvSpPr>
      <xdr:spPr bwMode="auto">
        <a:xfrm>
          <a:off x="428625" y="762000"/>
          <a:ext cx="51435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9525</xdr:rowOff>
    </xdr:from>
    <xdr:to>
      <xdr:col>2</xdr:col>
      <xdr:colOff>0</xdr:colOff>
      <xdr:row>2</xdr:row>
      <xdr:rowOff>152400</xdr:rowOff>
    </xdr:to>
    <xdr:sp macro="" textlink="">
      <xdr:nvSpPr>
        <xdr:cNvPr id="3278" name="Line 1"/>
        <xdr:cNvSpPr>
          <a:spLocks noChangeShapeType="1"/>
        </xdr:cNvSpPr>
      </xdr:nvSpPr>
      <xdr:spPr bwMode="auto">
        <a:xfrm>
          <a:off x="38100" y="180975"/>
          <a:ext cx="149542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1</xdr:col>
      <xdr:colOff>0</xdr:colOff>
      <xdr:row>5</xdr:row>
      <xdr:rowOff>19050</xdr:rowOff>
    </xdr:to>
    <xdr:sp macro="" textlink="">
      <xdr:nvSpPr>
        <xdr:cNvPr id="4478" name="Line 1"/>
        <xdr:cNvSpPr>
          <a:spLocks noChangeShapeType="1"/>
        </xdr:cNvSpPr>
      </xdr:nvSpPr>
      <xdr:spPr bwMode="auto">
        <a:xfrm>
          <a:off x="19050" y="561975"/>
          <a:ext cx="5524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5</xdr:row>
      <xdr:rowOff>19050</xdr:rowOff>
    </xdr:from>
    <xdr:to>
      <xdr:col>3</xdr:col>
      <xdr:colOff>0</xdr:colOff>
      <xdr:row>6</xdr:row>
      <xdr:rowOff>161925</xdr:rowOff>
    </xdr:to>
    <xdr:sp macro="" textlink="">
      <xdr:nvSpPr>
        <xdr:cNvPr id="5326" name="Line 1"/>
        <xdr:cNvSpPr>
          <a:spLocks noChangeShapeType="1"/>
        </xdr:cNvSpPr>
      </xdr:nvSpPr>
      <xdr:spPr bwMode="auto">
        <a:xfrm>
          <a:off x="38100" y="990600"/>
          <a:ext cx="9810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28575</xdr:rowOff>
    </xdr:from>
    <xdr:to>
      <xdr:col>0</xdr:col>
      <xdr:colOff>676275</xdr:colOff>
      <xdr:row>4</xdr:row>
      <xdr:rowOff>238125</xdr:rowOff>
    </xdr:to>
    <xdr:sp macro="" textlink="">
      <xdr:nvSpPr>
        <xdr:cNvPr id="6760" name="Line 5"/>
        <xdr:cNvSpPr>
          <a:spLocks noChangeShapeType="1"/>
        </xdr:cNvSpPr>
      </xdr:nvSpPr>
      <xdr:spPr bwMode="auto">
        <a:xfrm>
          <a:off x="19050" y="609600"/>
          <a:ext cx="6572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10</xdr:row>
      <xdr:rowOff>28575</xdr:rowOff>
    </xdr:from>
    <xdr:to>
      <xdr:col>1</xdr:col>
      <xdr:colOff>9525</xdr:colOff>
      <xdr:row>12</xdr:row>
      <xdr:rowOff>0</xdr:rowOff>
    </xdr:to>
    <xdr:sp macro="" textlink="">
      <xdr:nvSpPr>
        <xdr:cNvPr id="6761" name="Line 6"/>
        <xdr:cNvSpPr>
          <a:spLocks noChangeShapeType="1"/>
        </xdr:cNvSpPr>
      </xdr:nvSpPr>
      <xdr:spPr bwMode="auto">
        <a:xfrm>
          <a:off x="9525" y="2495550"/>
          <a:ext cx="69532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20</xdr:row>
      <xdr:rowOff>9525</xdr:rowOff>
    </xdr:from>
    <xdr:to>
      <xdr:col>13</xdr:col>
      <xdr:colOff>447675</xdr:colOff>
      <xdr:row>42</xdr:row>
      <xdr:rowOff>161925</xdr:rowOff>
    </xdr:to>
    <xdr:graphicFrame macro="">
      <xdr:nvGraphicFramePr>
        <xdr:cNvPr id="676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12</xdr:row>
      <xdr:rowOff>66675</xdr:rowOff>
    </xdr:from>
    <xdr:to>
      <xdr:col>7</xdr:col>
      <xdr:colOff>552450</xdr:colOff>
      <xdr:row>23</xdr:row>
      <xdr:rowOff>19050</xdr:rowOff>
    </xdr:to>
    <xdr:graphicFrame macro="">
      <xdr:nvGraphicFramePr>
        <xdr:cNvPr id="16484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24</xdr:row>
      <xdr:rowOff>38100</xdr:rowOff>
    </xdr:from>
    <xdr:to>
      <xdr:col>7</xdr:col>
      <xdr:colOff>561975</xdr:colOff>
      <xdr:row>36</xdr:row>
      <xdr:rowOff>9525</xdr:rowOff>
    </xdr:to>
    <xdr:graphicFrame macro="">
      <xdr:nvGraphicFramePr>
        <xdr:cNvPr id="164844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37</xdr:row>
      <xdr:rowOff>28575</xdr:rowOff>
    </xdr:from>
    <xdr:to>
      <xdr:col>7</xdr:col>
      <xdr:colOff>542925</xdr:colOff>
      <xdr:row>48</xdr:row>
      <xdr:rowOff>95250</xdr:rowOff>
    </xdr:to>
    <xdr:graphicFrame macro="">
      <xdr:nvGraphicFramePr>
        <xdr:cNvPr id="16484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180976</xdr:colOff>
      <xdr:row>15</xdr:row>
      <xdr:rowOff>85725</xdr:rowOff>
    </xdr:from>
    <xdr:to>
      <xdr:col>0</xdr:col>
      <xdr:colOff>790576</xdr:colOff>
      <xdr:row>17</xdr:row>
      <xdr:rowOff>1</xdr:rowOff>
    </xdr:to>
    <xdr:sp macro="" textlink="">
      <xdr:nvSpPr>
        <xdr:cNvPr id="50180" name="Text Box 4"/>
        <xdr:cNvSpPr txBox="1">
          <a:spLocks noChangeArrowheads="1"/>
        </xdr:cNvSpPr>
      </xdr:nvSpPr>
      <xdr:spPr bwMode="auto">
        <a:xfrm>
          <a:off x="180976" y="3124200"/>
          <a:ext cx="609600" cy="25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平成２９年</a:t>
          </a:r>
        </a:p>
      </xdr:txBody>
    </xdr:sp>
    <xdr:clientData/>
  </xdr:twoCellAnchor>
  <xdr:twoCellAnchor editAs="oneCell">
    <xdr:from>
      <xdr:col>0</xdr:col>
      <xdr:colOff>190500</xdr:colOff>
      <xdr:row>18</xdr:row>
      <xdr:rowOff>142875</xdr:rowOff>
    </xdr:from>
    <xdr:to>
      <xdr:col>0</xdr:col>
      <xdr:colOff>800100</xdr:colOff>
      <xdr:row>20</xdr:row>
      <xdr:rowOff>9526</xdr:rowOff>
    </xdr:to>
    <xdr:sp macro="" textlink="">
      <xdr:nvSpPr>
        <xdr:cNvPr id="50181" name="Text Box 5"/>
        <xdr:cNvSpPr txBox="1">
          <a:spLocks noChangeArrowheads="1"/>
        </xdr:cNvSpPr>
      </xdr:nvSpPr>
      <xdr:spPr bwMode="auto">
        <a:xfrm>
          <a:off x="190500" y="3695700"/>
          <a:ext cx="609600" cy="209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平成３０年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162657</xdr:colOff>
      <xdr:row>19</xdr:row>
      <xdr:rowOff>13189</xdr:rowOff>
    </xdr:from>
    <xdr:to>
      <xdr:col>1</xdr:col>
      <xdr:colOff>657224</xdr:colOff>
      <xdr:row>19</xdr:row>
      <xdr:rowOff>145806</xdr:rowOff>
    </xdr:to>
    <xdr:sp macro="" textlink="">
      <xdr:nvSpPr>
        <xdr:cNvPr id="7" name="テキスト ボックス 1"/>
        <xdr:cNvSpPr txBox="1"/>
      </xdr:nvSpPr>
      <xdr:spPr>
        <a:xfrm>
          <a:off x="1058007" y="3737464"/>
          <a:ext cx="494567" cy="132617"/>
        </a:xfrm>
        <a:prstGeom prst="rect">
          <a:avLst/>
        </a:prstGeom>
        <a:solidFill>
          <a:schemeClr val="bg1"/>
        </a:solidFill>
      </xdr:spPr>
      <xdr:txBody>
        <a:bodyPr wrap="square" lIns="0" tIns="0" rIns="0" bIns="0" rtlCol="0" anchor="ctr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/>
            <a:t>一般国道</a:t>
          </a:r>
        </a:p>
      </xdr:txBody>
    </xdr:sp>
    <xdr:clientData/>
  </xdr:twoCellAnchor>
  <xdr:oneCellAnchor>
    <xdr:from>
      <xdr:col>2</xdr:col>
      <xdr:colOff>409575</xdr:colOff>
      <xdr:row>15</xdr:row>
      <xdr:rowOff>153031</xdr:rowOff>
    </xdr:from>
    <xdr:ext cx="522460" cy="133370"/>
    <xdr:sp macro="" textlink="">
      <xdr:nvSpPr>
        <xdr:cNvPr id="8" name="テキスト ボックス 1"/>
        <xdr:cNvSpPr txBox="1"/>
      </xdr:nvSpPr>
      <xdr:spPr>
        <a:xfrm>
          <a:off x="2095500" y="3191506"/>
          <a:ext cx="512961" cy="133370"/>
        </a:xfrm>
        <a:prstGeom prst="rect">
          <a:avLst/>
        </a:prstGeom>
        <a:solidFill>
          <a:schemeClr val="bg1"/>
        </a:solidFill>
      </xdr:spPr>
      <xdr:txBody>
        <a:bodyPr wrap="none" lIns="0" tIns="0" rIns="0" bIns="0" rtlCol="0" anchor="ctr" anchorCtr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/>
            <a:t>主要地方道</a:t>
          </a:r>
        </a:p>
      </xdr:txBody>
    </xdr:sp>
    <xdr:clientData/>
  </xdr:oneCellAnchor>
  <xdr:oneCellAnchor>
    <xdr:from>
      <xdr:col>2</xdr:col>
      <xdr:colOff>352425</xdr:colOff>
      <xdr:row>19</xdr:row>
      <xdr:rowOff>5129</xdr:rowOff>
    </xdr:from>
    <xdr:ext cx="522460" cy="133370"/>
    <xdr:sp macro="" textlink="">
      <xdr:nvSpPr>
        <xdr:cNvPr id="9" name="テキスト ボックス 1"/>
        <xdr:cNvSpPr txBox="1"/>
      </xdr:nvSpPr>
      <xdr:spPr>
        <a:xfrm>
          <a:off x="2038350" y="3729404"/>
          <a:ext cx="522460" cy="133370"/>
        </a:xfrm>
        <a:prstGeom prst="rect">
          <a:avLst/>
        </a:prstGeom>
        <a:solidFill>
          <a:schemeClr val="bg1"/>
        </a:solidFill>
      </xdr:spPr>
      <xdr:txBody>
        <a:bodyPr wrap="none" lIns="0" tIns="0" rIns="0" bIns="0" rtlCol="0" anchor="ctr" anchorCtr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/>
            <a:t>主要地方道</a:t>
          </a:r>
        </a:p>
      </xdr:txBody>
    </xdr:sp>
    <xdr:clientData/>
  </xdr:oneCellAnchor>
  <xdr:twoCellAnchor>
    <xdr:from>
      <xdr:col>3</xdr:col>
      <xdr:colOff>186104</xdr:colOff>
      <xdr:row>14</xdr:row>
      <xdr:rowOff>152971</xdr:rowOff>
    </xdr:from>
    <xdr:to>
      <xdr:col>3</xdr:col>
      <xdr:colOff>596425</xdr:colOff>
      <xdr:row>15</xdr:row>
      <xdr:rowOff>98220</xdr:rowOff>
    </xdr:to>
    <xdr:sp macro="" textlink="">
      <xdr:nvSpPr>
        <xdr:cNvPr id="10" name="テキスト ボックス 1"/>
        <xdr:cNvSpPr txBox="1"/>
      </xdr:nvSpPr>
      <xdr:spPr>
        <a:xfrm>
          <a:off x="2710229" y="3019996"/>
          <a:ext cx="410321" cy="116699"/>
        </a:xfrm>
        <a:prstGeom prst="rect">
          <a:avLst/>
        </a:prstGeom>
        <a:solidFill>
          <a:schemeClr val="bg1"/>
        </a:solidFill>
      </xdr:spPr>
      <xdr:txBody>
        <a:bodyPr wrap="square" lIns="0" tIns="0" rIns="0" bIns="0" rtlCol="0" anchor="ctr" anchorCtr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700"/>
            <a:t>一般府道</a:t>
          </a:r>
        </a:p>
      </xdr:txBody>
    </xdr:sp>
    <xdr:clientData/>
  </xdr:twoCellAnchor>
  <xdr:twoCellAnchor>
    <xdr:from>
      <xdr:col>2</xdr:col>
      <xdr:colOff>819150</xdr:colOff>
      <xdr:row>18</xdr:row>
      <xdr:rowOff>3663</xdr:rowOff>
    </xdr:from>
    <xdr:to>
      <xdr:col>3</xdr:col>
      <xdr:colOff>391271</xdr:colOff>
      <xdr:row>18</xdr:row>
      <xdr:rowOff>120362</xdr:rowOff>
    </xdr:to>
    <xdr:sp macro="" textlink="">
      <xdr:nvSpPr>
        <xdr:cNvPr id="11" name="テキスト ボックス 1"/>
        <xdr:cNvSpPr txBox="1"/>
      </xdr:nvSpPr>
      <xdr:spPr>
        <a:xfrm>
          <a:off x="2505075" y="3556488"/>
          <a:ext cx="410321" cy="116699"/>
        </a:xfrm>
        <a:prstGeom prst="rect">
          <a:avLst/>
        </a:prstGeom>
        <a:solidFill>
          <a:schemeClr val="bg1"/>
        </a:solidFill>
      </xdr:spPr>
      <xdr:txBody>
        <a:bodyPr wrap="square" lIns="0" tIns="0" rIns="0" bIns="0" rtlCol="0" anchor="ctr" anchorCtr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700"/>
            <a:t>一般府道</a:t>
          </a:r>
        </a:p>
      </xdr:txBody>
    </xdr:sp>
    <xdr:clientData/>
  </xdr:twoCellAnchor>
  <xdr:twoCellAnchor>
    <xdr:from>
      <xdr:col>3</xdr:col>
      <xdr:colOff>589817</xdr:colOff>
      <xdr:row>14</xdr:row>
      <xdr:rowOff>153133</xdr:rowOff>
    </xdr:from>
    <xdr:to>
      <xdr:col>4</xdr:col>
      <xdr:colOff>172196</xdr:colOff>
      <xdr:row>15</xdr:row>
      <xdr:rowOff>98382</xdr:rowOff>
    </xdr:to>
    <xdr:sp macro="" textlink="">
      <xdr:nvSpPr>
        <xdr:cNvPr id="12" name="テキスト ボックス 1"/>
        <xdr:cNvSpPr txBox="1"/>
      </xdr:nvSpPr>
      <xdr:spPr>
        <a:xfrm>
          <a:off x="3113942" y="3020158"/>
          <a:ext cx="411054" cy="116699"/>
        </a:xfrm>
        <a:prstGeom prst="rect">
          <a:avLst/>
        </a:prstGeom>
        <a:solidFill>
          <a:schemeClr val="bg1"/>
        </a:solidFill>
      </xdr:spPr>
      <xdr:txBody>
        <a:bodyPr wrap="square" lIns="0" tIns="0" rIns="0" bIns="0" rtlCol="0" anchor="ctr" anchorCtr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700"/>
            <a:t>大阪市道</a:t>
          </a:r>
        </a:p>
      </xdr:txBody>
    </xdr:sp>
    <xdr:clientData/>
  </xdr:twoCellAnchor>
  <xdr:twoCellAnchor>
    <xdr:from>
      <xdr:col>3</xdr:col>
      <xdr:colOff>382464</xdr:colOff>
      <xdr:row>18</xdr:row>
      <xdr:rowOff>1466</xdr:rowOff>
    </xdr:from>
    <xdr:to>
      <xdr:col>3</xdr:col>
      <xdr:colOff>793518</xdr:colOff>
      <xdr:row>18</xdr:row>
      <xdr:rowOff>121096</xdr:rowOff>
    </xdr:to>
    <xdr:sp macro="" textlink="">
      <xdr:nvSpPr>
        <xdr:cNvPr id="14" name="テキスト ボックス 1"/>
        <xdr:cNvSpPr txBox="1"/>
      </xdr:nvSpPr>
      <xdr:spPr>
        <a:xfrm>
          <a:off x="2906589" y="3554291"/>
          <a:ext cx="411054" cy="119630"/>
        </a:xfrm>
        <a:prstGeom prst="rect">
          <a:avLst/>
        </a:prstGeom>
        <a:solidFill>
          <a:schemeClr val="bg1"/>
        </a:solidFill>
      </xdr:spPr>
      <xdr:txBody>
        <a:bodyPr wrap="square" lIns="0" tIns="0" rIns="0" bIns="0" rtlCol="0" anchor="ctr" anchorCtr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700"/>
            <a:t>大阪市道</a:t>
          </a:r>
        </a:p>
      </xdr:txBody>
    </xdr:sp>
    <xdr:clientData/>
  </xdr:twoCellAnchor>
  <xdr:oneCellAnchor>
    <xdr:from>
      <xdr:col>4</xdr:col>
      <xdr:colOff>436684</xdr:colOff>
      <xdr:row>15</xdr:row>
      <xdr:rowOff>157092</xdr:rowOff>
    </xdr:from>
    <xdr:ext cx="309432" cy="133370"/>
    <xdr:sp macro="" textlink="">
      <xdr:nvSpPr>
        <xdr:cNvPr id="16" name="テキスト ボックス 1"/>
        <xdr:cNvSpPr txBox="1"/>
      </xdr:nvSpPr>
      <xdr:spPr>
        <a:xfrm>
          <a:off x="3789484" y="3195567"/>
          <a:ext cx="309432" cy="133370"/>
        </a:xfrm>
        <a:prstGeom prst="rect">
          <a:avLst/>
        </a:prstGeom>
        <a:solidFill>
          <a:schemeClr val="bg1"/>
        </a:solidFill>
      </xdr:spPr>
      <xdr:txBody>
        <a:bodyPr wrap="none" lIns="0" tIns="0" rIns="0" bIns="0" rtlCol="0" anchor="ctr" anchorCtr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/>
            <a:t>その他</a:t>
          </a:r>
        </a:p>
      </xdr:txBody>
    </xdr:sp>
    <xdr:clientData/>
  </xdr:oneCellAnchor>
  <xdr:oneCellAnchor>
    <xdr:from>
      <xdr:col>4</xdr:col>
      <xdr:colOff>217609</xdr:colOff>
      <xdr:row>19</xdr:row>
      <xdr:rowOff>5497</xdr:rowOff>
    </xdr:from>
    <xdr:ext cx="309432" cy="133370"/>
    <xdr:sp macro="" textlink="">
      <xdr:nvSpPr>
        <xdr:cNvPr id="17" name="テキスト ボックス 1"/>
        <xdr:cNvSpPr txBox="1"/>
      </xdr:nvSpPr>
      <xdr:spPr>
        <a:xfrm>
          <a:off x="3570409" y="3729772"/>
          <a:ext cx="309432" cy="133370"/>
        </a:xfrm>
        <a:prstGeom prst="rect">
          <a:avLst/>
        </a:prstGeom>
        <a:solidFill>
          <a:schemeClr val="bg1"/>
        </a:solidFill>
      </xdr:spPr>
      <xdr:txBody>
        <a:bodyPr wrap="none" lIns="0" tIns="0" rIns="0" bIns="0" rtlCol="0" anchor="ctr" anchorCtr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/>
            <a:t>その他</a:t>
          </a:r>
        </a:p>
      </xdr:txBody>
    </xdr:sp>
    <xdr:clientData/>
  </xdr:oneCellAnchor>
  <xdr:twoCellAnchor>
    <xdr:from>
      <xdr:col>1</xdr:col>
      <xdr:colOff>49823</xdr:colOff>
      <xdr:row>28</xdr:row>
      <xdr:rowOff>27111</xdr:rowOff>
    </xdr:from>
    <xdr:to>
      <xdr:col>1</xdr:col>
      <xdr:colOff>495300</xdr:colOff>
      <xdr:row>28</xdr:row>
      <xdr:rowOff>133350</xdr:rowOff>
    </xdr:to>
    <xdr:sp macro="" textlink="">
      <xdr:nvSpPr>
        <xdr:cNvPr id="18" name="テキスト ボックス 1"/>
        <xdr:cNvSpPr txBox="1"/>
      </xdr:nvSpPr>
      <xdr:spPr>
        <a:xfrm>
          <a:off x="945173" y="5294436"/>
          <a:ext cx="445477" cy="106239"/>
        </a:xfrm>
        <a:prstGeom prst="rect">
          <a:avLst/>
        </a:prstGeom>
        <a:solidFill>
          <a:schemeClr val="bg1"/>
        </a:solidFill>
      </xdr:spPr>
      <xdr:txBody>
        <a:bodyPr wrap="square" lIns="0" tIns="0" rIns="0" bIns="0" rtlCol="0" anchor="ctr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/>
            <a:t>一般国道</a:t>
          </a:r>
        </a:p>
      </xdr:txBody>
    </xdr:sp>
    <xdr:clientData/>
  </xdr:twoCellAnchor>
  <xdr:twoCellAnchor>
    <xdr:from>
      <xdr:col>1</xdr:col>
      <xdr:colOff>21981</xdr:colOff>
      <xdr:row>31</xdr:row>
      <xdr:rowOff>156797</xdr:rowOff>
    </xdr:from>
    <xdr:to>
      <xdr:col>1</xdr:col>
      <xdr:colOff>514350</xdr:colOff>
      <xdr:row>32</xdr:row>
      <xdr:rowOff>96716</xdr:rowOff>
    </xdr:to>
    <xdr:sp macro="" textlink="">
      <xdr:nvSpPr>
        <xdr:cNvPr id="19" name="テキスト ボックス 1"/>
        <xdr:cNvSpPr txBox="1"/>
      </xdr:nvSpPr>
      <xdr:spPr>
        <a:xfrm>
          <a:off x="917331" y="5938472"/>
          <a:ext cx="492369" cy="111369"/>
        </a:xfrm>
        <a:prstGeom prst="rect">
          <a:avLst/>
        </a:prstGeom>
        <a:solidFill>
          <a:schemeClr val="bg1"/>
        </a:solidFill>
      </xdr:spPr>
      <xdr:txBody>
        <a:bodyPr wrap="square" lIns="0" tIns="0" rIns="0" bIns="0" rtlCol="0" anchor="ctr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/>
            <a:t>一般国道</a:t>
          </a:r>
        </a:p>
      </xdr:txBody>
    </xdr:sp>
    <xdr:clientData/>
  </xdr:twoCellAnchor>
  <xdr:oneCellAnchor>
    <xdr:from>
      <xdr:col>2</xdr:col>
      <xdr:colOff>350960</xdr:colOff>
      <xdr:row>28</xdr:row>
      <xdr:rowOff>9525</xdr:rowOff>
    </xdr:from>
    <xdr:ext cx="522460" cy="133370"/>
    <xdr:sp macro="" textlink="">
      <xdr:nvSpPr>
        <xdr:cNvPr id="20" name="テキスト ボックス 1"/>
        <xdr:cNvSpPr txBox="1"/>
      </xdr:nvSpPr>
      <xdr:spPr>
        <a:xfrm>
          <a:off x="2036885" y="5276850"/>
          <a:ext cx="522460" cy="133370"/>
        </a:xfrm>
        <a:prstGeom prst="rect">
          <a:avLst/>
        </a:prstGeom>
        <a:solidFill>
          <a:schemeClr val="bg1"/>
        </a:solidFill>
      </xdr:spPr>
      <xdr:txBody>
        <a:bodyPr wrap="none" lIns="0" tIns="0" rIns="0" bIns="0" rtlCol="0" anchor="ctr" anchorCtr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/>
            <a:t>主要地方道</a:t>
          </a:r>
        </a:p>
      </xdr:txBody>
    </xdr:sp>
    <xdr:clientData/>
  </xdr:oneCellAnchor>
  <xdr:oneCellAnchor>
    <xdr:from>
      <xdr:col>2</xdr:col>
      <xdr:colOff>333376</xdr:colOff>
      <xdr:row>31</xdr:row>
      <xdr:rowOff>126756</xdr:rowOff>
    </xdr:from>
    <xdr:ext cx="522460" cy="133370"/>
    <xdr:sp macro="" textlink="">
      <xdr:nvSpPr>
        <xdr:cNvPr id="21" name="テキスト ボックス 1"/>
        <xdr:cNvSpPr txBox="1"/>
      </xdr:nvSpPr>
      <xdr:spPr>
        <a:xfrm>
          <a:off x="2019301" y="5908431"/>
          <a:ext cx="522460" cy="133370"/>
        </a:xfrm>
        <a:prstGeom prst="rect">
          <a:avLst/>
        </a:prstGeom>
        <a:solidFill>
          <a:schemeClr val="bg1"/>
        </a:solidFill>
      </xdr:spPr>
      <xdr:txBody>
        <a:bodyPr wrap="none" lIns="0" tIns="0" rIns="0" bIns="0" rtlCol="0" anchor="ctr" anchorCtr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/>
            <a:t>主要地方道</a:t>
          </a:r>
        </a:p>
      </xdr:txBody>
    </xdr:sp>
    <xdr:clientData/>
  </xdr:oneCellAnchor>
  <xdr:twoCellAnchor>
    <xdr:from>
      <xdr:col>3</xdr:col>
      <xdr:colOff>608867</xdr:colOff>
      <xdr:row>26</xdr:row>
      <xdr:rowOff>168520</xdr:rowOff>
    </xdr:from>
    <xdr:to>
      <xdr:col>4</xdr:col>
      <xdr:colOff>191246</xdr:colOff>
      <xdr:row>27</xdr:row>
      <xdr:rowOff>116700</xdr:rowOff>
    </xdr:to>
    <xdr:sp macro="" textlink="">
      <xdr:nvSpPr>
        <xdr:cNvPr id="22" name="テキスト ボックス 1"/>
        <xdr:cNvSpPr txBox="1"/>
      </xdr:nvSpPr>
      <xdr:spPr>
        <a:xfrm>
          <a:off x="3132992" y="5092945"/>
          <a:ext cx="411054" cy="119630"/>
        </a:xfrm>
        <a:prstGeom prst="rect">
          <a:avLst/>
        </a:prstGeom>
        <a:solidFill>
          <a:schemeClr val="bg1"/>
        </a:solidFill>
      </xdr:spPr>
      <xdr:txBody>
        <a:bodyPr wrap="square" lIns="0" tIns="0" rIns="0" bIns="0" rtlCol="0" anchor="ctr" anchorCtr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700"/>
            <a:t>一般府道</a:t>
          </a:r>
        </a:p>
      </xdr:txBody>
    </xdr:sp>
    <xdr:clientData/>
  </xdr:twoCellAnchor>
  <xdr:twoCellAnchor>
    <xdr:from>
      <xdr:col>3</xdr:col>
      <xdr:colOff>315790</xdr:colOff>
      <xdr:row>30</xdr:row>
      <xdr:rowOff>95251</xdr:rowOff>
    </xdr:from>
    <xdr:to>
      <xdr:col>3</xdr:col>
      <xdr:colOff>726111</xdr:colOff>
      <xdr:row>31</xdr:row>
      <xdr:rowOff>40500</xdr:rowOff>
    </xdr:to>
    <xdr:sp macro="" textlink="">
      <xdr:nvSpPr>
        <xdr:cNvPr id="23" name="テキスト ボックス 1"/>
        <xdr:cNvSpPr txBox="1"/>
      </xdr:nvSpPr>
      <xdr:spPr>
        <a:xfrm>
          <a:off x="2839915" y="5705476"/>
          <a:ext cx="410321" cy="116699"/>
        </a:xfrm>
        <a:prstGeom prst="rect">
          <a:avLst/>
        </a:prstGeom>
        <a:solidFill>
          <a:schemeClr val="bg1"/>
        </a:solidFill>
      </xdr:spPr>
      <xdr:txBody>
        <a:bodyPr wrap="square" lIns="0" tIns="0" rIns="0" bIns="0" rtlCol="0" anchor="ctr" anchorCtr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700"/>
            <a:t>一般府道</a:t>
          </a:r>
        </a:p>
      </xdr:txBody>
    </xdr:sp>
    <xdr:clientData/>
  </xdr:twoCellAnchor>
  <xdr:twoCellAnchor>
    <xdr:from>
      <xdr:col>3</xdr:col>
      <xdr:colOff>707047</xdr:colOff>
      <xdr:row>30</xdr:row>
      <xdr:rowOff>104775</xdr:rowOff>
    </xdr:from>
    <xdr:to>
      <xdr:col>4</xdr:col>
      <xdr:colOff>289426</xdr:colOff>
      <xdr:row>31</xdr:row>
      <xdr:rowOff>50024</xdr:rowOff>
    </xdr:to>
    <xdr:sp macro="" textlink="">
      <xdr:nvSpPr>
        <xdr:cNvPr id="24" name="テキスト ボックス 1"/>
        <xdr:cNvSpPr txBox="1"/>
      </xdr:nvSpPr>
      <xdr:spPr>
        <a:xfrm>
          <a:off x="3231172" y="5715000"/>
          <a:ext cx="411054" cy="116699"/>
        </a:xfrm>
        <a:prstGeom prst="rect">
          <a:avLst/>
        </a:prstGeom>
        <a:solidFill>
          <a:schemeClr val="bg1"/>
        </a:solidFill>
      </xdr:spPr>
      <xdr:txBody>
        <a:bodyPr wrap="square" lIns="0" tIns="0" rIns="0" bIns="0" rtlCol="0" anchor="ctr" anchorCtr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700"/>
            <a:t>大阪市道</a:t>
          </a:r>
        </a:p>
      </xdr:txBody>
    </xdr:sp>
    <xdr:clientData/>
  </xdr:twoCellAnchor>
  <xdr:twoCellAnchor>
    <xdr:from>
      <xdr:col>4</xdr:col>
      <xdr:colOff>200758</xdr:colOff>
      <xdr:row>26</xdr:row>
      <xdr:rowOff>168519</xdr:rowOff>
    </xdr:from>
    <xdr:to>
      <xdr:col>4</xdr:col>
      <xdr:colOff>611079</xdr:colOff>
      <xdr:row>27</xdr:row>
      <xdr:rowOff>116699</xdr:rowOff>
    </xdr:to>
    <xdr:sp macro="" textlink="">
      <xdr:nvSpPr>
        <xdr:cNvPr id="25" name="テキスト ボックス 1"/>
        <xdr:cNvSpPr txBox="1"/>
      </xdr:nvSpPr>
      <xdr:spPr>
        <a:xfrm>
          <a:off x="3553558" y="5092944"/>
          <a:ext cx="410321" cy="119630"/>
        </a:xfrm>
        <a:prstGeom prst="rect">
          <a:avLst/>
        </a:prstGeom>
        <a:solidFill>
          <a:schemeClr val="bg1"/>
        </a:solidFill>
      </xdr:spPr>
      <xdr:txBody>
        <a:bodyPr wrap="square" lIns="0" tIns="0" rIns="0" bIns="0" rtlCol="0" anchor="ctr" anchorCtr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700"/>
            <a:t>大阪市道</a:t>
          </a:r>
        </a:p>
      </xdr:txBody>
    </xdr:sp>
    <xdr:clientData/>
  </xdr:twoCellAnchor>
  <xdr:oneCellAnchor>
    <xdr:from>
      <xdr:col>4</xdr:col>
      <xdr:colOff>783248</xdr:colOff>
      <xdr:row>28</xdr:row>
      <xdr:rowOff>9525</xdr:rowOff>
    </xdr:from>
    <xdr:ext cx="299762" cy="133370"/>
    <xdr:sp macro="" textlink="">
      <xdr:nvSpPr>
        <xdr:cNvPr id="26" name="テキスト ボックス 1"/>
        <xdr:cNvSpPr txBox="1"/>
      </xdr:nvSpPr>
      <xdr:spPr>
        <a:xfrm>
          <a:off x="4136048" y="5276850"/>
          <a:ext cx="299762" cy="133370"/>
        </a:xfrm>
        <a:prstGeom prst="rect">
          <a:avLst/>
        </a:prstGeom>
        <a:solidFill>
          <a:schemeClr val="bg1"/>
        </a:solidFill>
      </xdr:spPr>
      <xdr:txBody>
        <a:bodyPr wrap="none" lIns="0" tIns="0" rIns="0" bIns="0" rtlCol="0" anchor="ctr" anchorCtr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/>
            <a:t>その他</a:t>
          </a:r>
        </a:p>
      </xdr:txBody>
    </xdr:sp>
    <xdr:clientData/>
  </xdr:oneCellAnchor>
  <xdr:oneCellAnchor>
    <xdr:from>
      <xdr:col>4</xdr:col>
      <xdr:colOff>574431</xdr:colOff>
      <xdr:row>31</xdr:row>
      <xdr:rowOff>124558</xdr:rowOff>
    </xdr:from>
    <xdr:ext cx="299762" cy="133370"/>
    <xdr:sp macro="" textlink="">
      <xdr:nvSpPr>
        <xdr:cNvPr id="27" name="テキスト ボックス 1"/>
        <xdr:cNvSpPr txBox="1"/>
      </xdr:nvSpPr>
      <xdr:spPr>
        <a:xfrm>
          <a:off x="3927231" y="5906233"/>
          <a:ext cx="299762" cy="133370"/>
        </a:xfrm>
        <a:prstGeom prst="rect">
          <a:avLst/>
        </a:prstGeom>
        <a:solidFill>
          <a:schemeClr val="bg1"/>
        </a:solidFill>
      </xdr:spPr>
      <xdr:txBody>
        <a:bodyPr wrap="none" lIns="0" tIns="0" rIns="0" bIns="0" rtlCol="0" anchor="ctr" anchorCtr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/>
            <a:t>その他</a:t>
          </a:r>
        </a:p>
      </xdr:txBody>
    </xdr:sp>
    <xdr:clientData/>
  </xdr:oneCellAnchor>
  <xdr:oneCellAnchor>
    <xdr:from>
      <xdr:col>4</xdr:col>
      <xdr:colOff>790575</xdr:colOff>
      <xdr:row>40</xdr:row>
      <xdr:rowOff>149651</xdr:rowOff>
    </xdr:from>
    <xdr:ext cx="332000" cy="133370"/>
    <xdr:sp macro="" textlink="">
      <xdr:nvSpPr>
        <xdr:cNvPr id="28" name="テキスト ボックス 1"/>
        <xdr:cNvSpPr txBox="1"/>
      </xdr:nvSpPr>
      <xdr:spPr>
        <a:xfrm>
          <a:off x="4143375" y="7474376"/>
          <a:ext cx="332000" cy="133370"/>
        </a:xfrm>
        <a:prstGeom prst="rect">
          <a:avLst/>
        </a:prstGeom>
        <a:solidFill>
          <a:schemeClr val="bg1"/>
        </a:solidFill>
      </xdr:spPr>
      <xdr:txBody>
        <a:bodyPr wrap="square" lIns="0" tIns="0" rIns="0" bIns="0" rtlCol="0" anchor="ctr" anchorCtr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/>
            <a:t>その他</a:t>
          </a:r>
        </a:p>
      </xdr:txBody>
    </xdr:sp>
    <xdr:clientData/>
  </xdr:oneCellAnchor>
  <xdr:oneCellAnchor>
    <xdr:from>
      <xdr:col>4</xdr:col>
      <xdr:colOff>620590</xdr:colOff>
      <xdr:row>44</xdr:row>
      <xdr:rowOff>56418</xdr:rowOff>
    </xdr:from>
    <xdr:ext cx="299762" cy="133370"/>
    <xdr:sp macro="" textlink="">
      <xdr:nvSpPr>
        <xdr:cNvPr id="29" name="テキスト ボックス 1"/>
        <xdr:cNvSpPr txBox="1"/>
      </xdr:nvSpPr>
      <xdr:spPr>
        <a:xfrm>
          <a:off x="3973390" y="8066943"/>
          <a:ext cx="299762" cy="133370"/>
        </a:xfrm>
        <a:prstGeom prst="rect">
          <a:avLst/>
        </a:prstGeom>
        <a:solidFill>
          <a:schemeClr val="bg1"/>
        </a:solidFill>
      </xdr:spPr>
      <xdr:txBody>
        <a:bodyPr wrap="none" lIns="0" tIns="0" rIns="0" bIns="0" rtlCol="0" anchor="ctr" anchorCtr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/>
            <a:t>その他</a:t>
          </a:r>
        </a:p>
      </xdr:txBody>
    </xdr:sp>
    <xdr:clientData/>
  </xdr:oneCellAnchor>
  <xdr:twoCellAnchor>
    <xdr:from>
      <xdr:col>1</xdr:col>
      <xdr:colOff>264501</xdr:colOff>
      <xdr:row>41</xdr:row>
      <xdr:rowOff>8792</xdr:rowOff>
    </xdr:from>
    <xdr:to>
      <xdr:col>1</xdr:col>
      <xdr:colOff>740752</xdr:colOff>
      <xdr:row>41</xdr:row>
      <xdr:rowOff>127488</xdr:rowOff>
    </xdr:to>
    <xdr:sp macro="" textlink="">
      <xdr:nvSpPr>
        <xdr:cNvPr id="30" name="テキスト ボックス 1"/>
        <xdr:cNvSpPr txBox="1"/>
      </xdr:nvSpPr>
      <xdr:spPr>
        <a:xfrm>
          <a:off x="1159851" y="7504967"/>
          <a:ext cx="476251" cy="118696"/>
        </a:xfrm>
        <a:prstGeom prst="rect">
          <a:avLst/>
        </a:prstGeom>
        <a:solidFill>
          <a:schemeClr val="bg1"/>
        </a:solidFill>
      </xdr:spPr>
      <xdr:txBody>
        <a:bodyPr wrap="square" lIns="0" tIns="0" rIns="0" bIns="0" rtlCol="0" anchor="ctr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/>
            <a:t>一般国道</a:t>
          </a:r>
        </a:p>
      </xdr:txBody>
    </xdr:sp>
    <xdr:clientData/>
  </xdr:twoCellAnchor>
  <xdr:twoCellAnchor>
    <xdr:from>
      <xdr:col>1</xdr:col>
      <xdr:colOff>224204</xdr:colOff>
      <xdr:row>44</xdr:row>
      <xdr:rowOff>79132</xdr:rowOff>
    </xdr:from>
    <xdr:to>
      <xdr:col>1</xdr:col>
      <xdr:colOff>707781</xdr:colOff>
      <xdr:row>45</xdr:row>
      <xdr:rowOff>21981</xdr:rowOff>
    </xdr:to>
    <xdr:sp macro="" textlink="">
      <xdr:nvSpPr>
        <xdr:cNvPr id="31" name="テキスト ボックス 1"/>
        <xdr:cNvSpPr txBox="1"/>
      </xdr:nvSpPr>
      <xdr:spPr>
        <a:xfrm>
          <a:off x="1119554" y="8089657"/>
          <a:ext cx="483577" cy="114299"/>
        </a:xfrm>
        <a:prstGeom prst="rect">
          <a:avLst/>
        </a:prstGeom>
        <a:solidFill>
          <a:schemeClr val="bg1"/>
        </a:solidFill>
      </xdr:spPr>
      <xdr:txBody>
        <a:bodyPr wrap="square" lIns="0" tIns="0" rIns="0" bIns="0" rtlCol="0" anchor="ctr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/>
            <a:t>一般国道</a:t>
          </a:r>
        </a:p>
      </xdr:txBody>
    </xdr:sp>
    <xdr:clientData/>
  </xdr:twoCellAnchor>
  <xdr:oneCellAnchor>
    <xdr:from>
      <xdr:col>2</xdr:col>
      <xdr:colOff>574431</xdr:colOff>
      <xdr:row>41</xdr:row>
      <xdr:rowOff>4396</xdr:rowOff>
    </xdr:from>
    <xdr:ext cx="522460" cy="133370"/>
    <xdr:sp macro="" textlink="">
      <xdr:nvSpPr>
        <xdr:cNvPr id="32" name="テキスト ボックス 1"/>
        <xdr:cNvSpPr txBox="1"/>
      </xdr:nvSpPr>
      <xdr:spPr>
        <a:xfrm>
          <a:off x="2260356" y="7500571"/>
          <a:ext cx="522460" cy="133370"/>
        </a:xfrm>
        <a:prstGeom prst="rect">
          <a:avLst/>
        </a:prstGeom>
        <a:solidFill>
          <a:schemeClr val="bg1"/>
        </a:solidFill>
      </xdr:spPr>
      <xdr:txBody>
        <a:bodyPr wrap="none" lIns="0" tIns="0" rIns="0" bIns="0" rtlCol="0" anchor="ctr" anchorCtr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/>
            <a:t>主要地方道</a:t>
          </a:r>
        </a:p>
      </xdr:txBody>
    </xdr:sp>
    <xdr:clientData/>
  </xdr:oneCellAnchor>
  <xdr:oneCellAnchor>
    <xdr:from>
      <xdr:col>2</xdr:col>
      <xdr:colOff>464526</xdr:colOff>
      <xdr:row>44</xdr:row>
      <xdr:rowOff>66111</xdr:rowOff>
    </xdr:from>
    <xdr:ext cx="564174" cy="133370"/>
    <xdr:sp macro="" textlink="">
      <xdr:nvSpPr>
        <xdr:cNvPr id="33" name="テキスト ボックス 1"/>
        <xdr:cNvSpPr txBox="1"/>
      </xdr:nvSpPr>
      <xdr:spPr>
        <a:xfrm>
          <a:off x="2150451" y="8076636"/>
          <a:ext cx="564174" cy="133370"/>
        </a:xfrm>
        <a:prstGeom prst="rect">
          <a:avLst/>
        </a:prstGeom>
        <a:solidFill>
          <a:schemeClr val="bg1"/>
        </a:solidFill>
      </xdr:spPr>
      <xdr:txBody>
        <a:bodyPr wrap="square" lIns="0" tIns="0" rIns="0" bIns="0" rtlCol="0" anchor="ctr" anchorCtr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/>
            <a:t>主要地方道</a:t>
          </a:r>
        </a:p>
      </xdr:txBody>
    </xdr:sp>
    <xdr:clientData/>
  </xdr:oneCellAnchor>
  <xdr:twoCellAnchor>
    <xdr:from>
      <xdr:col>3</xdr:col>
      <xdr:colOff>313592</xdr:colOff>
      <xdr:row>43</xdr:row>
      <xdr:rowOff>35902</xdr:rowOff>
    </xdr:from>
    <xdr:to>
      <xdr:col>3</xdr:col>
      <xdr:colOff>723913</xdr:colOff>
      <xdr:row>43</xdr:row>
      <xdr:rowOff>155532</xdr:rowOff>
    </xdr:to>
    <xdr:sp macro="" textlink="">
      <xdr:nvSpPr>
        <xdr:cNvPr id="34" name="テキスト ボックス 1"/>
        <xdr:cNvSpPr txBox="1"/>
      </xdr:nvSpPr>
      <xdr:spPr>
        <a:xfrm>
          <a:off x="2837717" y="7874977"/>
          <a:ext cx="410321" cy="119630"/>
        </a:xfrm>
        <a:prstGeom prst="rect">
          <a:avLst/>
        </a:prstGeom>
        <a:solidFill>
          <a:schemeClr val="bg1"/>
        </a:solidFill>
      </xdr:spPr>
      <xdr:txBody>
        <a:bodyPr wrap="square" lIns="0" tIns="0" rIns="0" bIns="0" rtlCol="0" anchor="ctr" anchorCtr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700"/>
            <a:t>一般府道</a:t>
          </a:r>
        </a:p>
      </xdr:txBody>
    </xdr:sp>
    <xdr:clientData/>
  </xdr:twoCellAnchor>
  <xdr:twoCellAnchor>
    <xdr:from>
      <xdr:col>3</xdr:col>
      <xdr:colOff>474052</xdr:colOff>
      <xdr:row>39</xdr:row>
      <xdr:rowOff>153866</xdr:rowOff>
    </xdr:from>
    <xdr:to>
      <xdr:col>4</xdr:col>
      <xdr:colOff>55698</xdr:colOff>
      <xdr:row>40</xdr:row>
      <xdr:rowOff>102046</xdr:rowOff>
    </xdr:to>
    <xdr:sp macro="" textlink="">
      <xdr:nvSpPr>
        <xdr:cNvPr id="35" name="テキスト ボックス 1"/>
        <xdr:cNvSpPr txBox="1"/>
      </xdr:nvSpPr>
      <xdr:spPr>
        <a:xfrm>
          <a:off x="2998177" y="7307141"/>
          <a:ext cx="410321" cy="119630"/>
        </a:xfrm>
        <a:prstGeom prst="rect">
          <a:avLst/>
        </a:prstGeom>
        <a:solidFill>
          <a:schemeClr val="bg1"/>
        </a:solidFill>
      </xdr:spPr>
      <xdr:txBody>
        <a:bodyPr wrap="square" lIns="0" tIns="0" rIns="0" bIns="0" rtlCol="0" anchor="ctr" anchorCtr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700"/>
            <a:t>一般府道</a:t>
          </a:r>
        </a:p>
      </xdr:txBody>
    </xdr:sp>
    <xdr:clientData/>
  </xdr:twoCellAnchor>
  <xdr:twoCellAnchor>
    <xdr:from>
      <xdr:col>4</xdr:col>
      <xdr:colOff>53486</xdr:colOff>
      <xdr:row>39</xdr:row>
      <xdr:rowOff>153866</xdr:rowOff>
    </xdr:from>
    <xdr:to>
      <xdr:col>4</xdr:col>
      <xdr:colOff>464540</xdr:colOff>
      <xdr:row>40</xdr:row>
      <xdr:rowOff>102046</xdr:rowOff>
    </xdr:to>
    <xdr:sp macro="" textlink="">
      <xdr:nvSpPr>
        <xdr:cNvPr id="36" name="テキスト ボックス 1"/>
        <xdr:cNvSpPr txBox="1"/>
      </xdr:nvSpPr>
      <xdr:spPr>
        <a:xfrm>
          <a:off x="3406286" y="7307141"/>
          <a:ext cx="411054" cy="119630"/>
        </a:xfrm>
        <a:prstGeom prst="rect">
          <a:avLst/>
        </a:prstGeom>
        <a:solidFill>
          <a:schemeClr val="bg1"/>
        </a:solidFill>
      </xdr:spPr>
      <xdr:txBody>
        <a:bodyPr wrap="square" lIns="0" tIns="0" rIns="0" bIns="0" rtlCol="0" anchor="ctr" anchorCtr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700"/>
            <a:t>大阪市道</a:t>
          </a:r>
        </a:p>
      </xdr:txBody>
    </xdr:sp>
    <xdr:clientData/>
  </xdr:twoCellAnchor>
  <xdr:twoCellAnchor>
    <xdr:from>
      <xdr:col>3</xdr:col>
      <xdr:colOff>714374</xdr:colOff>
      <xdr:row>43</xdr:row>
      <xdr:rowOff>35903</xdr:rowOff>
    </xdr:from>
    <xdr:to>
      <xdr:col>4</xdr:col>
      <xdr:colOff>296753</xdr:colOff>
      <xdr:row>43</xdr:row>
      <xdr:rowOff>155533</xdr:rowOff>
    </xdr:to>
    <xdr:sp macro="" textlink="">
      <xdr:nvSpPr>
        <xdr:cNvPr id="37" name="テキスト ボックス 1"/>
        <xdr:cNvSpPr txBox="1"/>
      </xdr:nvSpPr>
      <xdr:spPr>
        <a:xfrm>
          <a:off x="3238499" y="7874978"/>
          <a:ext cx="411054" cy="119630"/>
        </a:xfrm>
        <a:prstGeom prst="rect">
          <a:avLst/>
        </a:prstGeom>
        <a:solidFill>
          <a:schemeClr val="bg1"/>
        </a:solidFill>
      </xdr:spPr>
      <xdr:txBody>
        <a:bodyPr wrap="square" lIns="0" tIns="0" rIns="0" bIns="0" rtlCol="0" anchor="ctr" anchorCtr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700"/>
            <a:t>大阪市道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0.15207</cdr:x>
      <cdr:y>0.31705</cdr:y>
    </cdr:from>
    <cdr:to>
      <cdr:x>0.21755</cdr:x>
      <cdr:y>0.3909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952980" y="572625"/>
          <a:ext cx="410369" cy="13337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lIns="0" tIns="0" rIns="0" bIns="0" rtlCol="0" anchor="ctr" anchorCtr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800"/>
            <a:t>一般国道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0.00758</cdr:x>
      <cdr:y>0.31082</cdr:y>
    </cdr:from>
    <cdr:to>
      <cdr:x>0.13044</cdr:x>
      <cdr:y>0.43404</cdr:y>
    </cdr:to>
    <cdr:sp macro="" textlink="">
      <cdr:nvSpPr>
        <cdr:cNvPr id="5222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660933"/>
          <a:ext cx="790932" cy="256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平成２９年</a:t>
          </a:r>
        </a:p>
      </cdr:txBody>
    </cdr:sp>
  </cdr:relSizeAnchor>
  <cdr:relSizeAnchor xmlns:cdr="http://schemas.openxmlformats.org/drawingml/2006/chartDrawing">
    <cdr:from>
      <cdr:x>0.01821</cdr:x>
      <cdr:y>0.61972</cdr:y>
    </cdr:from>
    <cdr:to>
      <cdr:x>0.10926</cdr:x>
      <cdr:y>0.70892</cdr:y>
    </cdr:to>
    <cdr:sp macro="" textlink="">
      <cdr:nvSpPr>
        <cdr:cNvPr id="5222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301" y="1257301"/>
          <a:ext cx="571499" cy="180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平成３０年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view="pageBreakPreview" topLeftCell="A22" zoomScaleNormal="100" zoomScaleSheetLayoutView="100" workbookViewId="0">
      <selection activeCell="N15" sqref="N15"/>
    </sheetView>
  </sheetViews>
  <sheetFormatPr defaultRowHeight="13.5" x14ac:dyDescent="0.15"/>
  <cols>
    <col min="1" max="1" width="3.5" customWidth="1"/>
    <col min="2" max="2" width="4.625" customWidth="1"/>
    <col min="3" max="3" width="7.75" customWidth="1"/>
    <col min="4" max="5" width="12.625" customWidth="1"/>
    <col min="6" max="6" width="2.25" customWidth="1"/>
    <col min="7" max="7" width="12.625" customWidth="1"/>
    <col min="8" max="8" width="2.125" customWidth="1"/>
    <col min="9" max="9" width="12.625" customWidth="1"/>
  </cols>
  <sheetData>
    <row r="1" spans="1:11" ht="23.25" customHeight="1" x14ac:dyDescent="0.15">
      <c r="A1" s="1" t="s">
        <v>277</v>
      </c>
    </row>
    <row r="3" spans="1:11" ht="24" customHeight="1" thickBot="1" x14ac:dyDescent="0.2">
      <c r="A3" s="3" t="s">
        <v>43</v>
      </c>
      <c r="B3" s="3"/>
      <c r="C3" s="3"/>
      <c r="D3" s="3"/>
      <c r="E3" s="559" t="s">
        <v>251</v>
      </c>
      <c r="F3" s="560"/>
      <c r="G3" s="560"/>
      <c r="H3" s="560"/>
      <c r="I3" s="560"/>
      <c r="J3" s="3"/>
      <c r="K3" s="3"/>
    </row>
    <row r="4" spans="1:11" ht="20.100000000000001" customHeight="1" x14ac:dyDescent="0.15">
      <c r="A4" s="5"/>
      <c r="B4" s="6"/>
      <c r="C4" s="434" t="s">
        <v>236</v>
      </c>
      <c r="D4" s="561" t="s">
        <v>278</v>
      </c>
      <c r="E4" s="563" t="s">
        <v>275</v>
      </c>
      <c r="F4" s="565" t="s">
        <v>44</v>
      </c>
      <c r="G4" s="565"/>
      <c r="H4" s="565"/>
      <c r="I4" s="566"/>
      <c r="J4" s="3"/>
      <c r="K4" s="3"/>
    </row>
    <row r="5" spans="1:11" ht="20.100000000000001" customHeight="1" thickBot="1" x14ac:dyDescent="0.2">
      <c r="A5" s="7" t="s">
        <v>26</v>
      </c>
      <c r="B5" s="8"/>
      <c r="C5" s="9"/>
      <c r="D5" s="562"/>
      <c r="E5" s="564"/>
      <c r="F5" s="10"/>
      <c r="G5" s="11" t="s">
        <v>28</v>
      </c>
      <c r="H5" s="12"/>
      <c r="I5" s="13" t="s">
        <v>212</v>
      </c>
      <c r="J5" s="3"/>
      <c r="K5" s="3"/>
    </row>
    <row r="6" spans="1:11" ht="20.100000000000001" customHeight="1" x14ac:dyDescent="0.15">
      <c r="A6" s="546" t="s">
        <v>100</v>
      </c>
      <c r="B6" s="541" t="s">
        <v>146</v>
      </c>
      <c r="C6" s="549"/>
      <c r="D6" s="454">
        <v>10885</v>
      </c>
      <c r="E6" s="413">
        <v>11332</v>
      </c>
      <c r="F6" s="334"/>
      <c r="G6" s="335">
        <f t="shared" ref="G6:G15" si="0">D6-E6</f>
        <v>-447</v>
      </c>
      <c r="H6" s="336"/>
      <c r="I6" s="337">
        <f t="shared" ref="I6:I15" si="1">(D6/E6-1)*100</f>
        <v>-3.9445817154959428</v>
      </c>
      <c r="J6" s="32"/>
      <c r="K6" s="32"/>
    </row>
    <row r="7" spans="1:11" ht="20.100000000000001" customHeight="1" x14ac:dyDescent="0.15">
      <c r="A7" s="547"/>
      <c r="B7" s="550" t="s">
        <v>24</v>
      </c>
      <c r="C7" s="338" t="s">
        <v>80</v>
      </c>
      <c r="D7" s="455">
        <v>44</v>
      </c>
      <c r="E7" s="414">
        <v>44</v>
      </c>
      <c r="F7" s="339"/>
      <c r="G7" s="340">
        <f t="shared" si="0"/>
        <v>0</v>
      </c>
      <c r="H7" s="341"/>
      <c r="I7" s="342">
        <f t="shared" si="1"/>
        <v>0</v>
      </c>
      <c r="J7" s="32"/>
      <c r="K7" s="32"/>
    </row>
    <row r="8" spans="1:11" ht="20.100000000000001" customHeight="1" x14ac:dyDescent="0.15">
      <c r="A8" s="547"/>
      <c r="B8" s="550"/>
      <c r="C8" s="343" t="s">
        <v>207</v>
      </c>
      <c r="D8" s="455">
        <v>3</v>
      </c>
      <c r="E8" s="414">
        <v>0</v>
      </c>
      <c r="F8" s="339"/>
      <c r="G8" s="344">
        <f t="shared" si="0"/>
        <v>3</v>
      </c>
      <c r="H8" s="341"/>
      <c r="I8" s="417" t="s">
        <v>299</v>
      </c>
      <c r="J8" s="32"/>
      <c r="K8" s="32"/>
    </row>
    <row r="9" spans="1:11" ht="20.100000000000001" customHeight="1" x14ac:dyDescent="0.15">
      <c r="A9" s="547"/>
      <c r="B9" s="550"/>
      <c r="C9" s="343" t="s">
        <v>168</v>
      </c>
      <c r="D9" s="455">
        <v>15</v>
      </c>
      <c r="E9" s="414">
        <v>20</v>
      </c>
      <c r="F9" s="339"/>
      <c r="G9" s="340">
        <f t="shared" si="0"/>
        <v>-5</v>
      </c>
      <c r="H9" s="341"/>
      <c r="I9" s="342">
        <f t="shared" si="1"/>
        <v>-25</v>
      </c>
      <c r="J9" s="32"/>
      <c r="K9" s="32"/>
    </row>
    <row r="10" spans="1:11" ht="20.100000000000001" customHeight="1" x14ac:dyDescent="0.15">
      <c r="A10" s="547"/>
      <c r="B10" s="550" t="s">
        <v>7</v>
      </c>
      <c r="C10" s="338" t="s">
        <v>74</v>
      </c>
      <c r="D10" s="455">
        <v>12723</v>
      </c>
      <c r="E10" s="414">
        <v>13398</v>
      </c>
      <c r="F10" s="339"/>
      <c r="G10" s="344">
        <f t="shared" si="0"/>
        <v>-675</v>
      </c>
      <c r="H10" s="341"/>
      <c r="I10" s="342">
        <f t="shared" si="1"/>
        <v>-5.0380653828929649</v>
      </c>
      <c r="J10" s="32"/>
      <c r="K10" s="32"/>
    </row>
    <row r="11" spans="1:11" ht="20.100000000000001" customHeight="1" x14ac:dyDescent="0.15">
      <c r="A11" s="547"/>
      <c r="B11" s="550"/>
      <c r="C11" s="343" t="s">
        <v>207</v>
      </c>
      <c r="D11" s="455">
        <v>588</v>
      </c>
      <c r="E11" s="414">
        <v>615</v>
      </c>
      <c r="F11" s="339"/>
      <c r="G11" s="340">
        <f t="shared" si="0"/>
        <v>-27</v>
      </c>
      <c r="H11" s="341"/>
      <c r="I11" s="342">
        <f t="shared" si="1"/>
        <v>-4.3902439024390283</v>
      </c>
      <c r="J11" s="32"/>
      <c r="K11" s="32"/>
    </row>
    <row r="12" spans="1:11" ht="20.100000000000001" customHeight="1" thickBot="1" x14ac:dyDescent="0.2">
      <c r="A12" s="548"/>
      <c r="B12" s="551"/>
      <c r="C12" s="343" t="s">
        <v>168</v>
      </c>
      <c r="D12" s="456">
        <v>1859</v>
      </c>
      <c r="E12" s="415">
        <v>1832</v>
      </c>
      <c r="F12" s="345"/>
      <c r="G12" s="346">
        <f t="shared" si="0"/>
        <v>27</v>
      </c>
      <c r="H12" s="347"/>
      <c r="I12" s="348">
        <f t="shared" si="1"/>
        <v>1.473799126637565</v>
      </c>
      <c r="J12" s="32"/>
      <c r="K12" s="32"/>
    </row>
    <row r="13" spans="1:11" ht="20.100000000000001" customHeight="1" x14ac:dyDescent="0.15">
      <c r="A13" s="546" t="s">
        <v>210</v>
      </c>
      <c r="B13" s="541" t="s">
        <v>146</v>
      </c>
      <c r="C13" s="549"/>
      <c r="D13" s="454">
        <v>34382</v>
      </c>
      <c r="E13" s="413">
        <v>35997</v>
      </c>
      <c r="F13" s="334"/>
      <c r="G13" s="349">
        <f t="shared" si="0"/>
        <v>-1615</v>
      </c>
      <c r="H13" s="336"/>
      <c r="I13" s="337">
        <f t="shared" si="1"/>
        <v>-4.4864849848598514</v>
      </c>
      <c r="J13" s="32"/>
      <c r="K13" s="32"/>
    </row>
    <row r="14" spans="1:11" ht="20.100000000000001" customHeight="1" x14ac:dyDescent="0.15">
      <c r="A14" s="547"/>
      <c r="B14" s="550" t="s">
        <v>24</v>
      </c>
      <c r="C14" s="338" t="s">
        <v>74</v>
      </c>
      <c r="D14" s="455">
        <v>147</v>
      </c>
      <c r="E14" s="414">
        <v>150</v>
      </c>
      <c r="F14" s="339"/>
      <c r="G14" s="350">
        <f t="shared" si="0"/>
        <v>-3</v>
      </c>
      <c r="H14" s="341"/>
      <c r="I14" s="342">
        <f t="shared" si="1"/>
        <v>-2.0000000000000018</v>
      </c>
      <c r="J14" s="32"/>
      <c r="K14" s="32"/>
    </row>
    <row r="15" spans="1:11" ht="20.100000000000001" customHeight="1" x14ac:dyDescent="0.15">
      <c r="A15" s="547"/>
      <c r="B15" s="550"/>
      <c r="C15" s="343" t="s">
        <v>207</v>
      </c>
      <c r="D15" s="455">
        <v>5</v>
      </c>
      <c r="E15" s="414">
        <v>1</v>
      </c>
      <c r="F15" s="339"/>
      <c r="G15" s="350">
        <f t="shared" si="0"/>
        <v>4</v>
      </c>
      <c r="H15" s="341"/>
      <c r="I15" s="342">
        <f t="shared" si="1"/>
        <v>400</v>
      </c>
      <c r="J15" s="32"/>
      <c r="K15" s="32"/>
    </row>
    <row r="16" spans="1:11" ht="20.100000000000001" customHeight="1" x14ac:dyDescent="0.15">
      <c r="A16" s="547"/>
      <c r="B16" s="550"/>
      <c r="C16" s="343" t="s">
        <v>168</v>
      </c>
      <c r="D16" s="455">
        <v>67</v>
      </c>
      <c r="E16" s="414">
        <v>66</v>
      </c>
      <c r="F16" s="339"/>
      <c r="G16" s="350">
        <f t="shared" ref="G16:G22" si="2">D16-E16</f>
        <v>1</v>
      </c>
      <c r="H16" s="341"/>
      <c r="I16" s="342">
        <f t="shared" ref="I16:I22" si="3">(D16/E16-1)*100</f>
        <v>1.5151515151515138</v>
      </c>
      <c r="J16" s="32"/>
      <c r="K16" s="32"/>
    </row>
    <row r="17" spans="1:11" ht="20.100000000000001" customHeight="1" x14ac:dyDescent="0.15">
      <c r="A17" s="547"/>
      <c r="B17" s="550" t="s">
        <v>7</v>
      </c>
      <c r="C17" s="338" t="s">
        <v>74</v>
      </c>
      <c r="D17" s="455">
        <v>40933</v>
      </c>
      <c r="E17" s="414">
        <v>43585</v>
      </c>
      <c r="F17" s="339"/>
      <c r="G17" s="350">
        <f t="shared" si="2"/>
        <v>-2652</v>
      </c>
      <c r="H17" s="341"/>
      <c r="I17" s="342">
        <f t="shared" si="3"/>
        <v>-6.0846621544109247</v>
      </c>
      <c r="J17" s="32"/>
      <c r="K17" s="32"/>
    </row>
    <row r="18" spans="1:11" ht="20.100000000000001" customHeight="1" x14ac:dyDescent="0.15">
      <c r="A18" s="547"/>
      <c r="B18" s="550"/>
      <c r="C18" s="343" t="s">
        <v>207</v>
      </c>
      <c r="D18" s="455">
        <v>2311</v>
      </c>
      <c r="E18" s="414">
        <v>2567</v>
      </c>
      <c r="F18" s="339"/>
      <c r="G18" s="350">
        <f t="shared" si="2"/>
        <v>-256</v>
      </c>
      <c r="H18" s="341"/>
      <c r="I18" s="342">
        <f t="shared" si="3"/>
        <v>-9.9727308141799753</v>
      </c>
      <c r="J18" s="32"/>
      <c r="K18" s="32"/>
    </row>
    <row r="19" spans="1:11" ht="20.100000000000001" customHeight="1" thickBot="1" x14ac:dyDescent="0.2">
      <c r="A19" s="548"/>
      <c r="B19" s="551"/>
      <c r="C19" s="343" t="s">
        <v>168</v>
      </c>
      <c r="D19" s="456">
        <v>6137</v>
      </c>
      <c r="E19" s="415">
        <v>6157</v>
      </c>
      <c r="F19" s="345"/>
      <c r="G19" s="346">
        <f t="shared" si="2"/>
        <v>-20</v>
      </c>
      <c r="H19" s="347"/>
      <c r="I19" s="348">
        <f t="shared" si="3"/>
        <v>-0.32483352281955646</v>
      </c>
      <c r="J19" s="32"/>
      <c r="K19" s="32"/>
    </row>
    <row r="20" spans="1:11" ht="20.100000000000001" customHeight="1" x14ac:dyDescent="0.15">
      <c r="A20" s="552" t="s">
        <v>239</v>
      </c>
      <c r="B20" s="553" t="s">
        <v>245</v>
      </c>
      <c r="C20" s="554"/>
      <c r="D20" s="457">
        <v>430601</v>
      </c>
      <c r="E20" s="416">
        <v>472165</v>
      </c>
      <c r="F20" s="351"/>
      <c r="G20" s="344">
        <f t="shared" si="2"/>
        <v>-41564</v>
      </c>
      <c r="H20" s="352"/>
      <c r="I20" s="353">
        <f t="shared" si="3"/>
        <v>-8.8028549341861435</v>
      </c>
      <c r="J20" s="32"/>
      <c r="K20" s="32"/>
    </row>
    <row r="21" spans="1:11" ht="20.100000000000001" customHeight="1" x14ac:dyDescent="0.15">
      <c r="A21" s="547"/>
      <c r="B21" s="555" t="s">
        <v>19</v>
      </c>
      <c r="C21" s="556"/>
      <c r="D21" s="455">
        <v>3532</v>
      </c>
      <c r="E21" s="414">
        <v>3694</v>
      </c>
      <c r="F21" s="339"/>
      <c r="G21" s="340">
        <f t="shared" si="2"/>
        <v>-162</v>
      </c>
      <c r="H21" s="341"/>
      <c r="I21" s="342">
        <f t="shared" si="3"/>
        <v>-4.3854899837574397</v>
      </c>
      <c r="J21" s="32"/>
      <c r="K21" s="32"/>
    </row>
    <row r="22" spans="1:11" ht="20.100000000000001" customHeight="1" thickBot="1" x14ac:dyDescent="0.2">
      <c r="A22" s="548"/>
      <c r="B22" s="557" t="s">
        <v>121</v>
      </c>
      <c r="C22" s="558"/>
      <c r="D22" s="456">
        <v>525846</v>
      </c>
      <c r="E22" s="415">
        <v>580850</v>
      </c>
      <c r="F22" s="345"/>
      <c r="G22" s="346">
        <f t="shared" si="2"/>
        <v>-55004</v>
      </c>
      <c r="H22" s="347"/>
      <c r="I22" s="342">
        <f t="shared" si="3"/>
        <v>-9.46957045708875</v>
      </c>
      <c r="J22" s="32"/>
      <c r="K22" s="32"/>
    </row>
    <row r="23" spans="1:11" x14ac:dyDescent="0.15">
      <c r="A23" s="3"/>
      <c r="B23" s="531" t="s">
        <v>131</v>
      </c>
      <c r="C23" s="531"/>
      <c r="D23" s="531"/>
      <c r="E23" s="531"/>
      <c r="F23" s="531"/>
      <c r="G23" s="531"/>
      <c r="H23" s="531"/>
      <c r="I23" s="531"/>
      <c r="J23" s="32"/>
      <c r="K23" s="32"/>
    </row>
    <row r="24" spans="1:11" ht="22.5" customHeight="1" x14ac:dyDescent="0.15">
      <c r="A24" s="3"/>
      <c r="B24" s="175"/>
      <c r="C24" s="175"/>
      <c r="D24" s="175"/>
      <c r="E24" s="175"/>
      <c r="F24" s="175"/>
      <c r="G24" s="175"/>
      <c r="H24" s="175"/>
      <c r="I24" s="175"/>
      <c r="J24" s="32"/>
      <c r="K24" s="32"/>
    </row>
    <row r="25" spans="1:11" ht="14.25" thickBot="1" x14ac:dyDescent="0.2">
      <c r="A25" s="3" t="s">
        <v>206</v>
      </c>
      <c r="B25" s="32"/>
      <c r="C25" s="32"/>
      <c r="D25" s="32"/>
      <c r="E25" s="32"/>
      <c r="F25" s="32"/>
      <c r="G25" s="32"/>
      <c r="H25" s="32"/>
      <c r="I25" s="32"/>
      <c r="J25" s="532" t="s">
        <v>33</v>
      </c>
      <c r="K25" s="532"/>
    </row>
    <row r="26" spans="1:11" x14ac:dyDescent="0.15">
      <c r="A26" s="5"/>
      <c r="B26" s="354"/>
      <c r="C26" s="354"/>
      <c r="D26" s="355" t="s">
        <v>236</v>
      </c>
      <c r="E26" s="533" t="s">
        <v>278</v>
      </c>
      <c r="F26" s="534"/>
      <c r="G26" s="537" t="s">
        <v>275</v>
      </c>
      <c r="H26" s="538"/>
      <c r="I26" s="541" t="s">
        <v>50</v>
      </c>
      <c r="J26" s="542"/>
      <c r="K26" s="543"/>
    </row>
    <row r="27" spans="1:11" ht="14.25" thickBot="1" x14ac:dyDescent="0.2">
      <c r="A27" s="7" t="s">
        <v>26</v>
      </c>
      <c r="B27" s="28"/>
      <c r="C27" s="28"/>
      <c r="D27" s="356"/>
      <c r="E27" s="535"/>
      <c r="F27" s="536"/>
      <c r="G27" s="539"/>
      <c r="H27" s="540"/>
      <c r="I27" s="357" t="s">
        <v>183</v>
      </c>
      <c r="J27" s="544" t="s">
        <v>254</v>
      </c>
      <c r="K27" s="545"/>
    </row>
    <row r="28" spans="1:11" x14ac:dyDescent="0.15">
      <c r="A28" s="17" t="s">
        <v>46</v>
      </c>
      <c r="B28" s="18"/>
      <c r="C28" s="18"/>
      <c r="D28" s="358"/>
      <c r="E28" s="18">
        <v>44</v>
      </c>
      <c r="F28" s="18"/>
      <c r="G28" s="19">
        <v>44</v>
      </c>
      <c r="H28" s="359"/>
      <c r="I28" s="360">
        <f t="shared" ref="I28:I41" si="4">E28-G28</f>
        <v>0</v>
      </c>
      <c r="J28" s="526">
        <f>(E28/G28-1)*100</f>
        <v>0</v>
      </c>
      <c r="K28" s="527">
        <f>(F28/G28-1)*100</f>
        <v>-100</v>
      </c>
    </row>
    <row r="29" spans="1:11" x14ac:dyDescent="0.15">
      <c r="A29" s="528" t="s">
        <v>78</v>
      </c>
      <c r="B29" s="361" t="s">
        <v>237</v>
      </c>
      <c r="C29" s="362"/>
      <c r="D29" s="363"/>
      <c r="E29" s="21">
        <v>15</v>
      </c>
      <c r="F29" s="21"/>
      <c r="G29" s="22">
        <v>20</v>
      </c>
      <c r="H29" s="364"/>
      <c r="I29" s="365">
        <f t="shared" si="4"/>
        <v>-5</v>
      </c>
      <c r="J29" s="524">
        <f>(E29/G29-1)*100</f>
        <v>-25</v>
      </c>
      <c r="K29" s="525">
        <f>(F29/G29-1)*100</f>
        <v>-100</v>
      </c>
    </row>
    <row r="30" spans="1:11" x14ac:dyDescent="0.15">
      <c r="A30" s="529"/>
      <c r="B30" s="24" t="s">
        <v>160</v>
      </c>
      <c r="C30" s="23"/>
      <c r="D30" s="366"/>
      <c r="E30" s="23">
        <v>3</v>
      </c>
      <c r="F30" s="23"/>
      <c r="G30" s="24">
        <v>0</v>
      </c>
      <c r="H30" s="367"/>
      <c r="I30" s="368">
        <f t="shared" si="4"/>
        <v>3</v>
      </c>
      <c r="J30" s="524" t="s">
        <v>299</v>
      </c>
      <c r="K30" s="525" t="e">
        <f t="shared" ref="K30:K41" si="5">(F30/G30-1)*100</f>
        <v>#DIV/0!</v>
      </c>
    </row>
    <row r="31" spans="1:11" x14ac:dyDescent="0.15">
      <c r="A31" s="530"/>
      <c r="B31" s="26" t="s">
        <v>145</v>
      </c>
      <c r="C31" s="25"/>
      <c r="D31" s="369"/>
      <c r="E31" s="25">
        <v>26</v>
      </c>
      <c r="F31" s="25"/>
      <c r="G31" s="26">
        <v>24</v>
      </c>
      <c r="H31" s="370"/>
      <c r="I31" s="365">
        <f t="shared" si="4"/>
        <v>2</v>
      </c>
      <c r="J31" s="516">
        <f t="shared" ref="J31:J41" si="6">(E31/G31-1)*100</f>
        <v>8.333333333333325</v>
      </c>
      <c r="K31" s="517">
        <f t="shared" si="5"/>
        <v>-100</v>
      </c>
    </row>
    <row r="32" spans="1:11" x14ac:dyDescent="0.15">
      <c r="A32" s="518" t="s">
        <v>234</v>
      </c>
      <c r="B32" s="21" t="s">
        <v>136</v>
      </c>
      <c r="C32" s="21"/>
      <c r="D32" s="363"/>
      <c r="E32" s="21">
        <v>4</v>
      </c>
      <c r="F32" s="21"/>
      <c r="G32" s="22">
        <v>5</v>
      </c>
      <c r="H32" s="364"/>
      <c r="I32" s="368">
        <f t="shared" si="4"/>
        <v>-1</v>
      </c>
      <c r="J32" s="514">
        <f t="shared" si="6"/>
        <v>-19.999999999999996</v>
      </c>
      <c r="K32" s="515">
        <f t="shared" si="5"/>
        <v>-100</v>
      </c>
    </row>
    <row r="33" spans="1:11" x14ac:dyDescent="0.15">
      <c r="A33" s="519"/>
      <c r="B33" s="371"/>
      <c r="C33" s="372" t="s">
        <v>192</v>
      </c>
      <c r="D33" s="366"/>
      <c r="E33" s="23">
        <v>3</v>
      </c>
      <c r="F33" s="23"/>
      <c r="G33" s="24">
        <v>4</v>
      </c>
      <c r="H33" s="367"/>
      <c r="I33" s="365">
        <f t="shared" si="4"/>
        <v>-1</v>
      </c>
      <c r="J33" s="514">
        <f t="shared" si="6"/>
        <v>-25</v>
      </c>
      <c r="K33" s="515">
        <f t="shared" si="5"/>
        <v>-100</v>
      </c>
    </row>
    <row r="34" spans="1:11" x14ac:dyDescent="0.15">
      <c r="A34" s="519"/>
      <c r="B34" s="21" t="s">
        <v>202</v>
      </c>
      <c r="C34" s="21"/>
      <c r="D34" s="363"/>
      <c r="E34" s="21">
        <v>8</v>
      </c>
      <c r="F34" s="21"/>
      <c r="G34" s="22">
        <v>13</v>
      </c>
      <c r="H34" s="364"/>
      <c r="I34" s="368">
        <f t="shared" si="4"/>
        <v>-5</v>
      </c>
      <c r="J34" s="524">
        <f t="shared" si="6"/>
        <v>-38.46153846153846</v>
      </c>
      <c r="K34" s="525">
        <f t="shared" si="5"/>
        <v>-100</v>
      </c>
    </row>
    <row r="35" spans="1:11" x14ac:dyDescent="0.15">
      <c r="A35" s="519"/>
      <c r="B35" s="23" t="s">
        <v>135</v>
      </c>
      <c r="C35" s="23"/>
      <c r="D35" s="366"/>
      <c r="E35" s="23">
        <v>6</v>
      </c>
      <c r="F35" s="23"/>
      <c r="G35" s="24">
        <v>1</v>
      </c>
      <c r="H35" s="367"/>
      <c r="I35" s="365">
        <f t="shared" si="4"/>
        <v>5</v>
      </c>
      <c r="J35" s="516">
        <f t="shared" si="6"/>
        <v>500</v>
      </c>
      <c r="K35" s="517">
        <f t="shared" si="5"/>
        <v>-100</v>
      </c>
    </row>
    <row r="36" spans="1:11" x14ac:dyDescent="0.15">
      <c r="A36" s="519"/>
      <c r="B36" s="21" t="s">
        <v>204</v>
      </c>
      <c r="C36" s="21"/>
      <c r="D36" s="363"/>
      <c r="E36" s="21">
        <v>11</v>
      </c>
      <c r="F36" s="21"/>
      <c r="G36" s="22">
        <v>8</v>
      </c>
      <c r="H36" s="364"/>
      <c r="I36" s="368">
        <f t="shared" si="4"/>
        <v>3</v>
      </c>
      <c r="J36" s="514">
        <f t="shared" si="6"/>
        <v>37.5</v>
      </c>
      <c r="K36" s="515">
        <f t="shared" si="5"/>
        <v>-100</v>
      </c>
    </row>
    <row r="37" spans="1:11" x14ac:dyDescent="0.15">
      <c r="A37" s="523"/>
      <c r="B37" s="23" t="s">
        <v>145</v>
      </c>
      <c r="C37" s="23"/>
      <c r="D37" s="366"/>
      <c r="E37" s="23">
        <v>15</v>
      </c>
      <c r="F37" s="23"/>
      <c r="G37" s="24">
        <v>17</v>
      </c>
      <c r="H37" s="367"/>
      <c r="I37" s="365">
        <f t="shared" si="4"/>
        <v>-2</v>
      </c>
      <c r="J37" s="516">
        <f t="shared" si="6"/>
        <v>-11.764705882352944</v>
      </c>
      <c r="K37" s="517">
        <f t="shared" si="5"/>
        <v>-100</v>
      </c>
    </row>
    <row r="38" spans="1:11" x14ac:dyDescent="0.15">
      <c r="A38" s="518" t="s">
        <v>86</v>
      </c>
      <c r="B38" s="21" t="s">
        <v>16</v>
      </c>
      <c r="C38" s="21"/>
      <c r="D38" s="363"/>
      <c r="E38" s="21">
        <v>15</v>
      </c>
      <c r="F38" s="21"/>
      <c r="G38" s="22">
        <v>17</v>
      </c>
      <c r="H38" s="364"/>
      <c r="I38" s="368">
        <f t="shared" si="4"/>
        <v>-2</v>
      </c>
      <c r="J38" s="514">
        <f t="shared" si="6"/>
        <v>-11.764705882352944</v>
      </c>
      <c r="K38" s="515">
        <f t="shared" si="5"/>
        <v>-100</v>
      </c>
    </row>
    <row r="39" spans="1:11" x14ac:dyDescent="0.15">
      <c r="A39" s="519"/>
      <c r="B39" s="23" t="s">
        <v>257</v>
      </c>
      <c r="C39" s="23"/>
      <c r="D39" s="366"/>
      <c r="E39" s="23">
        <v>19</v>
      </c>
      <c r="F39" s="23"/>
      <c r="G39" s="24">
        <v>20</v>
      </c>
      <c r="H39" s="367"/>
      <c r="I39" s="365">
        <f t="shared" si="4"/>
        <v>-1</v>
      </c>
      <c r="J39" s="514">
        <f t="shared" si="6"/>
        <v>-5.0000000000000044</v>
      </c>
      <c r="K39" s="515">
        <f t="shared" si="5"/>
        <v>-100</v>
      </c>
    </row>
    <row r="40" spans="1:11" x14ac:dyDescent="0.15">
      <c r="A40" s="519"/>
      <c r="B40" s="23" t="s">
        <v>27</v>
      </c>
      <c r="C40" s="23"/>
      <c r="D40" s="366"/>
      <c r="E40" s="23">
        <v>10</v>
      </c>
      <c r="F40" s="23"/>
      <c r="G40" s="24">
        <v>6</v>
      </c>
      <c r="H40" s="367"/>
      <c r="I40" s="365">
        <f t="shared" si="4"/>
        <v>4</v>
      </c>
      <c r="J40" s="514">
        <f t="shared" si="6"/>
        <v>66.666666666666671</v>
      </c>
      <c r="K40" s="515">
        <f t="shared" si="5"/>
        <v>-100</v>
      </c>
    </row>
    <row r="41" spans="1:11" ht="14.25" thickBot="1" x14ac:dyDescent="0.2">
      <c r="A41" s="520"/>
      <c r="B41" s="28" t="s">
        <v>116</v>
      </c>
      <c r="C41" s="28"/>
      <c r="D41" s="356"/>
      <c r="E41" s="28">
        <v>0</v>
      </c>
      <c r="F41" s="28"/>
      <c r="G41" s="29">
        <v>1</v>
      </c>
      <c r="H41" s="373"/>
      <c r="I41" s="374">
        <f t="shared" si="4"/>
        <v>-1</v>
      </c>
      <c r="J41" s="521">
        <f t="shared" si="6"/>
        <v>-100</v>
      </c>
      <c r="K41" s="522">
        <f t="shared" si="5"/>
        <v>-100</v>
      </c>
    </row>
    <row r="42" spans="1:11" x14ac:dyDescent="0.15">
      <c r="B42" s="375"/>
      <c r="C42" s="375"/>
      <c r="D42" s="375"/>
      <c r="E42" s="375"/>
      <c r="F42" s="375"/>
      <c r="G42" s="375"/>
      <c r="H42" s="375"/>
      <c r="I42" s="375"/>
      <c r="J42" s="375"/>
      <c r="K42" s="375"/>
    </row>
  </sheetData>
  <mergeCells count="39">
    <mergeCell ref="E3:I3"/>
    <mergeCell ref="D4:D5"/>
    <mergeCell ref="E4:E5"/>
    <mergeCell ref="F4:I4"/>
    <mergeCell ref="A6:A12"/>
    <mergeCell ref="B6:C6"/>
    <mergeCell ref="B7:B9"/>
    <mergeCell ref="B10:B12"/>
    <mergeCell ref="A13:A19"/>
    <mergeCell ref="B13:C13"/>
    <mergeCell ref="B14:B16"/>
    <mergeCell ref="B17:B19"/>
    <mergeCell ref="A20:A22"/>
    <mergeCell ref="B20:C20"/>
    <mergeCell ref="B21:C21"/>
    <mergeCell ref="B22:C22"/>
    <mergeCell ref="B23:I23"/>
    <mergeCell ref="J25:K25"/>
    <mergeCell ref="E26:F27"/>
    <mergeCell ref="G26:H27"/>
    <mergeCell ref="I26:K26"/>
    <mergeCell ref="J27:K27"/>
    <mergeCell ref="J28:K28"/>
    <mergeCell ref="A29:A31"/>
    <mergeCell ref="J29:K29"/>
    <mergeCell ref="J30:K30"/>
    <mergeCell ref="J31:K31"/>
    <mergeCell ref="J36:K36"/>
    <mergeCell ref="J37:K37"/>
    <mergeCell ref="A38:A41"/>
    <mergeCell ref="J38:K38"/>
    <mergeCell ref="J39:K39"/>
    <mergeCell ref="J40:K40"/>
    <mergeCell ref="J41:K41"/>
    <mergeCell ref="A32:A37"/>
    <mergeCell ref="J32:K32"/>
    <mergeCell ref="J33:K33"/>
    <mergeCell ref="J34:K34"/>
    <mergeCell ref="J35:K35"/>
  </mergeCells>
  <phoneticPr fontId="37"/>
  <pageMargins left="0.98425196850393704" right="0.39370078740157483" top="0.98425196850393704" bottom="0.98425196850393704" header="0.31496062992125984" footer="0.51181102362204722"/>
  <pageSetup paperSize="9" firstPageNumber="0" orientation="portrait" r:id="rId1"/>
  <headerFooter alignWithMargins="0">
    <oddFooter xml:space="preserve">&amp;C-1-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view="pageBreakPreview" topLeftCell="A22" zoomScaleNormal="100" zoomScaleSheetLayoutView="100" workbookViewId="0">
      <selection activeCell="N15" sqref="N15"/>
    </sheetView>
  </sheetViews>
  <sheetFormatPr defaultRowHeight="13.5" x14ac:dyDescent="0.15"/>
  <cols>
    <col min="1" max="1" width="7.625" customWidth="1"/>
    <col min="2" max="12" width="8.125" customWidth="1"/>
    <col min="13" max="13" width="5.5" customWidth="1"/>
  </cols>
  <sheetData>
    <row r="1" spans="1:11" ht="21" customHeight="1" x14ac:dyDescent="0.15">
      <c r="A1" s="147" t="s">
        <v>41</v>
      </c>
      <c r="F1" s="672" t="s">
        <v>179</v>
      </c>
      <c r="G1" s="672"/>
      <c r="H1" s="672"/>
      <c r="I1" s="672"/>
      <c r="J1" s="672"/>
      <c r="K1" s="211"/>
    </row>
    <row r="2" spans="1:11" x14ac:dyDescent="0.15">
      <c r="A2" s="450" t="s">
        <v>26</v>
      </c>
      <c r="B2" s="673" t="s">
        <v>34</v>
      </c>
      <c r="C2" s="674"/>
      <c r="D2" s="675"/>
      <c r="E2" s="676" t="s">
        <v>115</v>
      </c>
      <c r="F2" s="677"/>
      <c r="G2" s="678"/>
      <c r="H2" s="679" t="s">
        <v>5</v>
      </c>
      <c r="I2" s="680"/>
      <c r="J2" s="681"/>
      <c r="K2" s="212"/>
    </row>
    <row r="3" spans="1:11" x14ac:dyDescent="0.15">
      <c r="A3" s="213" t="s">
        <v>276</v>
      </c>
      <c r="B3" s="214" t="s">
        <v>190</v>
      </c>
      <c r="C3" s="215" t="s">
        <v>145</v>
      </c>
      <c r="D3" s="216" t="s">
        <v>216</v>
      </c>
      <c r="E3" s="214" t="s">
        <v>190</v>
      </c>
      <c r="F3" s="215" t="s">
        <v>145</v>
      </c>
      <c r="G3" s="217" t="s">
        <v>216</v>
      </c>
      <c r="H3" s="218" t="s">
        <v>190</v>
      </c>
      <c r="I3" s="215" t="s">
        <v>145</v>
      </c>
      <c r="J3" s="217" t="s">
        <v>216</v>
      </c>
      <c r="K3" s="219"/>
    </row>
    <row r="4" spans="1:11" ht="20.100000000000001" customHeight="1" x14ac:dyDescent="0.15">
      <c r="A4" s="426">
        <v>1</v>
      </c>
      <c r="B4" s="315">
        <v>463</v>
      </c>
      <c r="C4" s="327">
        <v>314</v>
      </c>
      <c r="D4" s="221">
        <f t="shared" ref="D4:D15" si="0">SUM(B4:C4)</f>
        <v>777</v>
      </c>
      <c r="E4" s="315">
        <v>1</v>
      </c>
      <c r="F4" s="327">
        <v>0</v>
      </c>
      <c r="G4" s="221">
        <f t="shared" ref="G4:G15" si="1">SUM(E4:F4)</f>
        <v>1</v>
      </c>
      <c r="H4" s="315">
        <v>582</v>
      </c>
      <c r="I4" s="327">
        <v>340</v>
      </c>
      <c r="J4" s="220">
        <f t="shared" ref="J4:J15" si="2">SUM(H4:I4)</f>
        <v>922</v>
      </c>
      <c r="K4" s="222"/>
    </row>
    <row r="5" spans="1:11" ht="20.100000000000001" customHeight="1" x14ac:dyDescent="0.15">
      <c r="A5" s="427">
        <v>2</v>
      </c>
      <c r="B5" s="318">
        <v>509</v>
      </c>
      <c r="C5" s="329">
        <v>321</v>
      </c>
      <c r="D5" s="224">
        <f t="shared" si="0"/>
        <v>830</v>
      </c>
      <c r="E5" s="318">
        <v>1</v>
      </c>
      <c r="F5" s="329">
        <v>1</v>
      </c>
      <c r="G5" s="224">
        <f t="shared" si="1"/>
        <v>2</v>
      </c>
      <c r="H5" s="318">
        <v>605</v>
      </c>
      <c r="I5" s="329">
        <v>353</v>
      </c>
      <c r="J5" s="223">
        <f t="shared" si="2"/>
        <v>958</v>
      </c>
      <c r="K5" s="222"/>
    </row>
    <row r="6" spans="1:11" ht="20.100000000000001" customHeight="1" x14ac:dyDescent="0.15">
      <c r="A6" s="427">
        <v>3</v>
      </c>
      <c r="B6" s="318">
        <v>544</v>
      </c>
      <c r="C6" s="329">
        <v>378</v>
      </c>
      <c r="D6" s="224">
        <f t="shared" si="0"/>
        <v>922</v>
      </c>
      <c r="E6" s="318">
        <v>3</v>
      </c>
      <c r="F6" s="329">
        <v>0</v>
      </c>
      <c r="G6" s="224">
        <f t="shared" si="1"/>
        <v>3</v>
      </c>
      <c r="H6" s="318">
        <v>668</v>
      </c>
      <c r="I6" s="329">
        <v>429</v>
      </c>
      <c r="J6" s="223">
        <f t="shared" si="2"/>
        <v>1097</v>
      </c>
      <c r="K6" s="222"/>
    </row>
    <row r="7" spans="1:11" ht="20.100000000000001" customHeight="1" x14ac:dyDescent="0.15">
      <c r="A7" s="427">
        <v>4</v>
      </c>
      <c r="B7" s="318">
        <v>511</v>
      </c>
      <c r="C7" s="329">
        <v>413</v>
      </c>
      <c r="D7" s="224">
        <f t="shared" si="0"/>
        <v>924</v>
      </c>
      <c r="E7" s="318">
        <v>4</v>
      </c>
      <c r="F7" s="329">
        <v>1</v>
      </c>
      <c r="G7" s="224">
        <f t="shared" si="1"/>
        <v>5</v>
      </c>
      <c r="H7" s="318">
        <v>621</v>
      </c>
      <c r="I7" s="329">
        <v>460</v>
      </c>
      <c r="J7" s="223">
        <f t="shared" si="2"/>
        <v>1081</v>
      </c>
      <c r="K7" s="222"/>
    </row>
    <row r="8" spans="1:11" ht="20.100000000000001" customHeight="1" x14ac:dyDescent="0.15">
      <c r="A8" s="427">
        <v>5</v>
      </c>
      <c r="B8" s="318">
        <v>535</v>
      </c>
      <c r="C8" s="329">
        <v>390</v>
      </c>
      <c r="D8" s="224">
        <f t="shared" si="0"/>
        <v>925</v>
      </c>
      <c r="E8" s="318">
        <v>3</v>
      </c>
      <c r="F8" s="329">
        <v>1</v>
      </c>
      <c r="G8" s="224">
        <f t="shared" si="1"/>
        <v>4</v>
      </c>
      <c r="H8" s="318">
        <v>648</v>
      </c>
      <c r="I8" s="329">
        <v>436</v>
      </c>
      <c r="J8" s="223">
        <f t="shared" si="2"/>
        <v>1084</v>
      </c>
      <c r="K8" s="222"/>
    </row>
    <row r="9" spans="1:11" ht="20.100000000000001" customHeight="1" x14ac:dyDescent="0.15">
      <c r="A9" s="427">
        <v>6</v>
      </c>
      <c r="B9" s="318">
        <v>544</v>
      </c>
      <c r="C9" s="329">
        <v>401</v>
      </c>
      <c r="D9" s="224">
        <f t="shared" si="0"/>
        <v>945</v>
      </c>
      <c r="E9" s="318">
        <v>1</v>
      </c>
      <c r="F9" s="329">
        <v>0</v>
      </c>
      <c r="G9" s="224">
        <f t="shared" si="1"/>
        <v>1</v>
      </c>
      <c r="H9" s="318">
        <v>644</v>
      </c>
      <c r="I9" s="329">
        <v>432</v>
      </c>
      <c r="J9" s="223">
        <f t="shared" si="2"/>
        <v>1076</v>
      </c>
      <c r="K9" s="222"/>
    </row>
    <row r="10" spans="1:11" ht="20.100000000000001" customHeight="1" x14ac:dyDescent="0.15">
      <c r="A10" s="427">
        <v>7</v>
      </c>
      <c r="B10" s="318">
        <v>543</v>
      </c>
      <c r="C10" s="329">
        <v>436</v>
      </c>
      <c r="D10" s="224">
        <f t="shared" si="0"/>
        <v>979</v>
      </c>
      <c r="E10" s="318">
        <v>2</v>
      </c>
      <c r="F10" s="329">
        <v>2</v>
      </c>
      <c r="G10" s="224">
        <f t="shared" si="1"/>
        <v>4</v>
      </c>
      <c r="H10" s="318">
        <v>678</v>
      </c>
      <c r="I10" s="329">
        <v>497</v>
      </c>
      <c r="J10" s="223">
        <f t="shared" si="2"/>
        <v>1175</v>
      </c>
      <c r="K10" s="222"/>
    </row>
    <row r="11" spans="1:11" ht="20.100000000000001" customHeight="1" x14ac:dyDescent="0.15">
      <c r="A11" s="427">
        <v>8</v>
      </c>
      <c r="B11" s="318">
        <v>501</v>
      </c>
      <c r="C11" s="329">
        <v>370</v>
      </c>
      <c r="D11" s="224">
        <f t="shared" si="0"/>
        <v>871</v>
      </c>
      <c r="E11" s="318">
        <v>1</v>
      </c>
      <c r="F11" s="329">
        <v>1</v>
      </c>
      <c r="G11" s="224">
        <f t="shared" si="1"/>
        <v>2</v>
      </c>
      <c r="H11" s="318">
        <v>623</v>
      </c>
      <c r="I11" s="329">
        <v>398</v>
      </c>
      <c r="J11" s="223">
        <f t="shared" si="2"/>
        <v>1021</v>
      </c>
      <c r="K11" s="222"/>
    </row>
    <row r="12" spans="1:11" ht="20.100000000000001" customHeight="1" x14ac:dyDescent="0.15">
      <c r="A12" s="427">
        <v>9</v>
      </c>
      <c r="B12" s="318">
        <v>493</v>
      </c>
      <c r="C12" s="329">
        <v>350</v>
      </c>
      <c r="D12" s="224">
        <f t="shared" si="0"/>
        <v>843</v>
      </c>
      <c r="E12" s="318">
        <v>1</v>
      </c>
      <c r="F12" s="329">
        <v>3</v>
      </c>
      <c r="G12" s="224">
        <f t="shared" si="1"/>
        <v>4</v>
      </c>
      <c r="H12" s="318">
        <v>593</v>
      </c>
      <c r="I12" s="329">
        <v>389</v>
      </c>
      <c r="J12" s="223">
        <f t="shared" si="2"/>
        <v>982</v>
      </c>
      <c r="K12" s="222"/>
    </row>
    <row r="13" spans="1:11" ht="20.100000000000001" customHeight="1" x14ac:dyDescent="0.15">
      <c r="A13" s="427">
        <v>10</v>
      </c>
      <c r="B13" s="318">
        <v>591</v>
      </c>
      <c r="C13" s="329">
        <v>396</v>
      </c>
      <c r="D13" s="224">
        <f t="shared" si="0"/>
        <v>987</v>
      </c>
      <c r="E13" s="318">
        <v>3</v>
      </c>
      <c r="F13" s="329">
        <v>3</v>
      </c>
      <c r="G13" s="224">
        <f t="shared" si="1"/>
        <v>6</v>
      </c>
      <c r="H13" s="318">
        <v>708</v>
      </c>
      <c r="I13" s="329">
        <v>430</v>
      </c>
      <c r="J13" s="223">
        <f t="shared" si="2"/>
        <v>1138</v>
      </c>
      <c r="K13" s="222"/>
    </row>
    <row r="14" spans="1:11" ht="20.100000000000001" customHeight="1" x14ac:dyDescent="0.15">
      <c r="A14" s="427">
        <v>11</v>
      </c>
      <c r="B14" s="318">
        <v>513</v>
      </c>
      <c r="C14" s="329">
        <v>397</v>
      </c>
      <c r="D14" s="224">
        <f t="shared" si="0"/>
        <v>910</v>
      </c>
      <c r="E14" s="318">
        <v>4</v>
      </c>
      <c r="F14" s="329">
        <v>1</v>
      </c>
      <c r="G14" s="224">
        <f t="shared" si="1"/>
        <v>5</v>
      </c>
      <c r="H14" s="318">
        <v>609</v>
      </c>
      <c r="I14" s="329">
        <v>436</v>
      </c>
      <c r="J14" s="223">
        <f t="shared" si="2"/>
        <v>1045</v>
      </c>
      <c r="K14" s="222"/>
    </row>
    <row r="15" spans="1:11" ht="20.100000000000001" customHeight="1" x14ac:dyDescent="0.15">
      <c r="A15" s="428">
        <v>12</v>
      </c>
      <c r="B15" s="326">
        <v>559</v>
      </c>
      <c r="C15" s="330">
        <v>413</v>
      </c>
      <c r="D15" s="226">
        <f t="shared" si="0"/>
        <v>972</v>
      </c>
      <c r="E15" s="326">
        <v>5</v>
      </c>
      <c r="F15" s="330">
        <v>2</v>
      </c>
      <c r="G15" s="226">
        <f t="shared" si="1"/>
        <v>7</v>
      </c>
      <c r="H15" s="326">
        <v>684</v>
      </c>
      <c r="I15" s="330">
        <v>460</v>
      </c>
      <c r="J15" s="225">
        <f t="shared" si="2"/>
        <v>1144</v>
      </c>
      <c r="K15" s="222"/>
    </row>
    <row r="16" spans="1:11" ht="20.100000000000001" customHeight="1" x14ac:dyDescent="0.15">
      <c r="A16" s="227" t="s">
        <v>216</v>
      </c>
      <c r="B16" s="228">
        <f>SUM(B4:B15)</f>
        <v>6306</v>
      </c>
      <c r="C16" s="228">
        <f>SUM(C4:C15)</f>
        <v>4579</v>
      </c>
      <c r="D16" s="229">
        <f t="shared" ref="D16:J16" si="3">SUM(D4:D15)</f>
        <v>10885</v>
      </c>
      <c r="E16" s="230">
        <f t="shared" si="3"/>
        <v>29</v>
      </c>
      <c r="F16" s="228">
        <f t="shared" si="3"/>
        <v>15</v>
      </c>
      <c r="G16" s="231">
        <f t="shared" si="3"/>
        <v>44</v>
      </c>
      <c r="H16" s="230">
        <f t="shared" si="3"/>
        <v>7663</v>
      </c>
      <c r="I16" s="228">
        <f t="shared" si="3"/>
        <v>5060</v>
      </c>
      <c r="J16" s="231">
        <f t="shared" si="3"/>
        <v>12723</v>
      </c>
      <c r="K16" s="222"/>
    </row>
    <row r="17" spans="1:15" x14ac:dyDescent="0.1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</row>
    <row r="18" spans="1:15" x14ac:dyDescent="0.1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</row>
    <row r="19" spans="1:15" x14ac:dyDescent="0.15">
      <c r="A19" s="30" t="s">
        <v>66</v>
      </c>
      <c r="B19" s="30"/>
      <c r="C19" s="30"/>
      <c r="D19" s="30"/>
      <c r="E19" s="30"/>
      <c r="F19" s="683" t="s">
        <v>179</v>
      </c>
      <c r="G19" s="683"/>
      <c r="H19" s="683"/>
      <c r="I19" s="683"/>
      <c r="J19" s="683"/>
      <c r="K19" s="211"/>
      <c r="L19" s="232"/>
      <c r="M19" s="232"/>
      <c r="N19" s="232"/>
      <c r="O19" s="232"/>
    </row>
    <row r="20" spans="1:15" x14ac:dyDescent="0.15">
      <c r="A20" s="233"/>
      <c r="B20" s="234" t="s">
        <v>236</v>
      </c>
      <c r="C20" s="676" t="s">
        <v>67</v>
      </c>
      <c r="D20" s="667" t="s">
        <v>282</v>
      </c>
      <c r="E20" s="664">
        <v>25</v>
      </c>
      <c r="F20" s="664">
        <v>26</v>
      </c>
      <c r="G20" s="671">
        <v>27</v>
      </c>
      <c r="H20" s="664">
        <v>28</v>
      </c>
      <c r="I20" s="664">
        <v>29</v>
      </c>
      <c r="J20" s="665">
        <v>30</v>
      </c>
      <c r="K20" s="670"/>
      <c r="L20" s="670"/>
      <c r="M20" s="670"/>
    </row>
    <row r="21" spans="1:15" x14ac:dyDescent="0.15">
      <c r="A21" s="235" t="s">
        <v>26</v>
      </c>
      <c r="B21" s="236" t="s">
        <v>64</v>
      </c>
      <c r="C21" s="682"/>
      <c r="D21" s="668"/>
      <c r="E21" s="614"/>
      <c r="F21" s="614"/>
      <c r="G21" s="614"/>
      <c r="H21" s="614"/>
      <c r="I21" s="614"/>
      <c r="J21" s="666"/>
      <c r="K21" s="670"/>
      <c r="L21" s="670"/>
      <c r="M21" s="670"/>
    </row>
    <row r="22" spans="1:15" x14ac:dyDescent="0.15">
      <c r="A22" s="669" t="s">
        <v>122</v>
      </c>
      <c r="B22" s="237" t="s">
        <v>190</v>
      </c>
      <c r="C22" s="238">
        <v>12747</v>
      </c>
      <c r="D22" s="240">
        <v>8604</v>
      </c>
      <c r="E22" s="241">
        <v>8315</v>
      </c>
      <c r="F22" s="241">
        <v>7859</v>
      </c>
      <c r="G22" s="241">
        <v>7635</v>
      </c>
      <c r="H22" s="241">
        <v>7269</v>
      </c>
      <c r="I22" s="241">
        <v>6723</v>
      </c>
      <c r="J22" s="451">
        <f>B16</f>
        <v>6306</v>
      </c>
      <c r="K22" s="242"/>
      <c r="L22" s="242"/>
      <c r="M22" s="243"/>
    </row>
    <row r="23" spans="1:15" x14ac:dyDescent="0.15">
      <c r="A23" s="547"/>
      <c r="B23" s="244" t="s">
        <v>145</v>
      </c>
      <c r="C23" s="245">
        <v>10633</v>
      </c>
      <c r="D23" s="247">
        <v>5896</v>
      </c>
      <c r="E23" s="248">
        <v>5658</v>
      </c>
      <c r="F23" s="248">
        <v>5087</v>
      </c>
      <c r="G23" s="248">
        <v>5134</v>
      </c>
      <c r="H23" s="248">
        <v>4904</v>
      </c>
      <c r="I23" s="248">
        <v>4609</v>
      </c>
      <c r="J23" s="452">
        <f>C16</f>
        <v>4579</v>
      </c>
      <c r="K23" s="242"/>
      <c r="L23" s="242"/>
      <c r="M23" s="243"/>
    </row>
    <row r="24" spans="1:15" x14ac:dyDescent="0.15">
      <c r="A24" s="547"/>
      <c r="B24" s="249" t="s">
        <v>216</v>
      </c>
      <c r="C24" s="250">
        <f>C22+C23</f>
        <v>23380</v>
      </c>
      <c r="D24" s="246">
        <v>14500</v>
      </c>
      <c r="E24" s="247">
        <v>13973</v>
      </c>
      <c r="F24" s="248">
        <v>12946</v>
      </c>
      <c r="G24" s="248">
        <v>12769</v>
      </c>
      <c r="H24" s="248">
        <v>12173</v>
      </c>
      <c r="I24" s="248">
        <v>11332</v>
      </c>
      <c r="J24" s="452">
        <f>D16</f>
        <v>10885</v>
      </c>
      <c r="K24" s="242"/>
      <c r="L24" s="242"/>
      <c r="M24" s="243"/>
    </row>
    <row r="25" spans="1:15" ht="36" x14ac:dyDescent="0.15">
      <c r="A25" s="548"/>
      <c r="B25" s="251" t="s">
        <v>118</v>
      </c>
      <c r="C25" s="252">
        <f t="shared" ref="C25:J25" si="4">C22/C24*100</f>
        <v>54.52095808383234</v>
      </c>
      <c r="D25" s="253">
        <f t="shared" si="4"/>
        <v>59.337931034482757</v>
      </c>
      <c r="E25" s="254">
        <f t="shared" si="4"/>
        <v>59.507621842124095</v>
      </c>
      <c r="F25" s="255">
        <f t="shared" si="4"/>
        <v>60.706009578248107</v>
      </c>
      <c r="G25" s="255">
        <f t="shared" si="4"/>
        <v>59.793249275589325</v>
      </c>
      <c r="H25" s="255">
        <f t="shared" si="4"/>
        <v>59.714121416249078</v>
      </c>
      <c r="I25" s="255">
        <f t="shared" si="4"/>
        <v>59.327567949170486</v>
      </c>
      <c r="J25" s="256">
        <f t="shared" si="4"/>
        <v>57.932935231970603</v>
      </c>
      <c r="K25" s="257"/>
      <c r="L25" s="257"/>
      <c r="M25" s="258"/>
    </row>
    <row r="26" spans="1:15" x14ac:dyDescent="0.15">
      <c r="A26" s="669" t="s">
        <v>129</v>
      </c>
      <c r="B26" s="259" t="s">
        <v>190</v>
      </c>
      <c r="C26" s="260">
        <v>111</v>
      </c>
      <c r="D26" s="239">
        <v>36</v>
      </c>
      <c r="E26" s="240">
        <v>41</v>
      </c>
      <c r="F26" s="241">
        <v>34</v>
      </c>
      <c r="G26" s="241">
        <v>35</v>
      </c>
      <c r="H26" s="241">
        <v>30</v>
      </c>
      <c r="I26" s="241">
        <v>33</v>
      </c>
      <c r="J26" s="451">
        <f>E16</f>
        <v>29</v>
      </c>
      <c r="K26" s="242"/>
      <c r="L26" s="242"/>
      <c r="M26" s="243"/>
    </row>
    <row r="27" spans="1:15" x14ac:dyDescent="0.15">
      <c r="A27" s="547"/>
      <c r="B27" s="244" t="s">
        <v>145</v>
      </c>
      <c r="C27" s="245">
        <v>111</v>
      </c>
      <c r="D27" s="246">
        <v>15</v>
      </c>
      <c r="E27" s="247">
        <v>8</v>
      </c>
      <c r="F27" s="248">
        <v>17</v>
      </c>
      <c r="G27" s="248">
        <v>16</v>
      </c>
      <c r="H27" s="248">
        <v>19</v>
      </c>
      <c r="I27" s="248">
        <v>11</v>
      </c>
      <c r="J27" s="452">
        <f>F16</f>
        <v>15</v>
      </c>
      <c r="K27" s="242"/>
      <c r="L27" s="242"/>
      <c r="M27" s="243"/>
    </row>
    <row r="28" spans="1:15" x14ac:dyDescent="0.15">
      <c r="A28" s="547"/>
      <c r="B28" s="249" t="s">
        <v>216</v>
      </c>
      <c r="C28" s="250">
        <f>C26+C27</f>
        <v>222</v>
      </c>
      <c r="D28" s="246">
        <v>51</v>
      </c>
      <c r="E28" s="246">
        <v>49</v>
      </c>
      <c r="F28" s="247">
        <v>51</v>
      </c>
      <c r="G28" s="248">
        <v>51</v>
      </c>
      <c r="H28" s="248">
        <v>49</v>
      </c>
      <c r="I28" s="248">
        <v>44</v>
      </c>
      <c r="J28" s="452">
        <f>G16</f>
        <v>44</v>
      </c>
      <c r="K28" s="242"/>
      <c r="L28" s="242"/>
      <c r="M28" s="243"/>
    </row>
    <row r="29" spans="1:15" ht="36" x14ac:dyDescent="0.15">
      <c r="A29" s="548"/>
      <c r="B29" s="261" t="s">
        <v>118</v>
      </c>
      <c r="C29" s="252">
        <f t="shared" ref="C29:J29" si="5">C26/C28*100</f>
        <v>50</v>
      </c>
      <c r="D29" s="253">
        <f t="shared" si="5"/>
        <v>70.588235294117652</v>
      </c>
      <c r="E29" s="254">
        <f t="shared" si="5"/>
        <v>83.673469387755105</v>
      </c>
      <c r="F29" s="255">
        <f t="shared" si="5"/>
        <v>66.666666666666657</v>
      </c>
      <c r="G29" s="255">
        <f t="shared" si="5"/>
        <v>68.627450980392155</v>
      </c>
      <c r="H29" s="255">
        <f t="shared" si="5"/>
        <v>61.224489795918366</v>
      </c>
      <c r="I29" s="255">
        <f t="shared" si="5"/>
        <v>75</v>
      </c>
      <c r="J29" s="256">
        <f t="shared" si="5"/>
        <v>65.909090909090907</v>
      </c>
      <c r="K29" s="257"/>
      <c r="L29" s="257"/>
      <c r="M29" s="258"/>
    </row>
    <row r="30" spans="1:15" x14ac:dyDescent="0.15">
      <c r="A30" s="669" t="s">
        <v>72</v>
      </c>
      <c r="B30" s="262" t="s">
        <v>190</v>
      </c>
      <c r="C30" s="260">
        <v>18125</v>
      </c>
      <c r="D30" s="239">
        <v>10394</v>
      </c>
      <c r="E30" s="240">
        <v>10103</v>
      </c>
      <c r="F30" s="241">
        <v>9640</v>
      </c>
      <c r="G30" s="241">
        <v>9221</v>
      </c>
      <c r="H30" s="241">
        <v>8791</v>
      </c>
      <c r="I30" s="241">
        <v>8266</v>
      </c>
      <c r="J30" s="451">
        <f>H16</f>
        <v>7663</v>
      </c>
      <c r="K30" s="242"/>
      <c r="L30" s="242"/>
      <c r="M30" s="243"/>
    </row>
    <row r="31" spans="1:15" x14ac:dyDescent="0.15">
      <c r="A31" s="547"/>
      <c r="B31" s="244" t="s">
        <v>145</v>
      </c>
      <c r="C31" s="245">
        <v>13394</v>
      </c>
      <c r="D31" s="246">
        <v>6506</v>
      </c>
      <c r="E31" s="247">
        <v>6315</v>
      </c>
      <c r="F31" s="248">
        <v>5581</v>
      </c>
      <c r="G31" s="248">
        <v>5646</v>
      </c>
      <c r="H31" s="248">
        <v>5440</v>
      </c>
      <c r="I31" s="248">
        <v>5132</v>
      </c>
      <c r="J31" s="452">
        <f>I16</f>
        <v>5060</v>
      </c>
      <c r="K31" s="242"/>
      <c r="L31" s="242"/>
      <c r="M31" s="243"/>
    </row>
    <row r="32" spans="1:15" x14ac:dyDescent="0.15">
      <c r="A32" s="547"/>
      <c r="B32" s="249" t="s">
        <v>216</v>
      </c>
      <c r="C32" s="250">
        <f>C30+C31</f>
        <v>31519</v>
      </c>
      <c r="D32" s="246">
        <v>16900</v>
      </c>
      <c r="E32" s="247">
        <v>16418</v>
      </c>
      <c r="F32" s="246">
        <v>15221</v>
      </c>
      <c r="G32" s="248">
        <v>14867</v>
      </c>
      <c r="H32" s="248">
        <v>14231</v>
      </c>
      <c r="I32" s="248">
        <v>13398</v>
      </c>
      <c r="J32" s="452">
        <f>J16</f>
        <v>12723</v>
      </c>
      <c r="K32" s="242"/>
      <c r="L32" s="242"/>
      <c r="M32" s="243"/>
    </row>
    <row r="33" spans="1:13" ht="36" x14ac:dyDescent="0.15">
      <c r="A33" s="548"/>
      <c r="B33" s="261" t="s">
        <v>118</v>
      </c>
      <c r="C33" s="252">
        <f t="shared" ref="C33:J33" si="6">C30/C32*100</f>
        <v>57.504996985944992</v>
      </c>
      <c r="D33" s="263">
        <f t="shared" si="6"/>
        <v>61.502958579881664</v>
      </c>
      <c r="E33" s="264">
        <f t="shared" si="6"/>
        <v>61.536118893896941</v>
      </c>
      <c r="F33" s="265">
        <f t="shared" si="6"/>
        <v>63.333552329019113</v>
      </c>
      <c r="G33" s="265">
        <f t="shared" si="6"/>
        <v>62.023273020784288</v>
      </c>
      <c r="H33" s="265">
        <f t="shared" si="6"/>
        <v>61.773592860656315</v>
      </c>
      <c r="I33" s="265">
        <f t="shared" si="6"/>
        <v>61.695775488878937</v>
      </c>
      <c r="J33" s="266">
        <f t="shared" si="6"/>
        <v>60.229505619743776</v>
      </c>
      <c r="K33" s="257"/>
      <c r="L33" s="257"/>
      <c r="M33" s="258"/>
    </row>
    <row r="35" spans="1:13" x14ac:dyDescent="0.15">
      <c r="A35" s="267"/>
      <c r="B35" s="268"/>
      <c r="C35" s="268"/>
      <c r="D35" s="268"/>
      <c r="E35" s="268"/>
      <c r="F35" s="268"/>
      <c r="G35" s="268"/>
      <c r="H35" s="268"/>
      <c r="I35" s="268"/>
      <c r="J35" s="268"/>
      <c r="K35" s="268"/>
    </row>
    <row r="36" spans="1:13" ht="17.25" customHeight="1" x14ac:dyDescent="0.15">
      <c r="A36" s="662" t="s">
        <v>188</v>
      </c>
      <c r="B36" s="663" t="s">
        <v>272</v>
      </c>
      <c r="C36" s="663"/>
      <c r="D36" s="663"/>
      <c r="E36" s="663"/>
      <c r="F36" s="663"/>
      <c r="G36" s="663"/>
      <c r="H36" s="663"/>
      <c r="I36" s="663"/>
      <c r="J36" s="663"/>
      <c r="K36" s="269"/>
    </row>
    <row r="37" spans="1:13" x14ac:dyDescent="0.15">
      <c r="A37" s="663"/>
      <c r="B37" s="663"/>
      <c r="C37" s="663"/>
      <c r="D37" s="663"/>
      <c r="E37" s="663"/>
      <c r="F37" s="663"/>
      <c r="G37" s="663"/>
      <c r="H37" s="663"/>
      <c r="I37" s="663"/>
      <c r="J37" s="663"/>
      <c r="K37" s="269"/>
    </row>
  </sheetData>
  <mergeCells count="21">
    <mergeCell ref="F1:J1"/>
    <mergeCell ref="F20:F21"/>
    <mergeCell ref="B2:D2"/>
    <mergeCell ref="E2:G2"/>
    <mergeCell ref="H2:J2"/>
    <mergeCell ref="C20:C21"/>
    <mergeCell ref="F19:J19"/>
    <mergeCell ref="K20:K21"/>
    <mergeCell ref="L20:L21"/>
    <mergeCell ref="A22:A25"/>
    <mergeCell ref="M20:M21"/>
    <mergeCell ref="G20:G21"/>
    <mergeCell ref="E20:E21"/>
    <mergeCell ref="A36:A37"/>
    <mergeCell ref="B36:J37"/>
    <mergeCell ref="H20:H21"/>
    <mergeCell ref="I20:I21"/>
    <mergeCell ref="J20:J21"/>
    <mergeCell ref="D20:D21"/>
    <mergeCell ref="A26:A29"/>
    <mergeCell ref="A30:A33"/>
  </mergeCells>
  <phoneticPr fontId="37"/>
  <pageMargins left="0.98425196850393704" right="0.39370078740157483" top="0.98425196850393704" bottom="0.98425196850393704" header="0.51181102362204722" footer="0.51181102362204722"/>
  <pageSetup paperSize="9" firstPageNumber="0" orientation="portrait" r:id="rId1"/>
  <headerFooter alignWithMargins="0">
    <oddFooter>&amp;C－10－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13"/>
  <sheetViews>
    <sheetView tabSelected="1" view="pageBreakPreview" zoomScaleNormal="100" zoomScaleSheetLayoutView="100" workbookViewId="0">
      <selection activeCell="N15" sqref="N15"/>
    </sheetView>
  </sheetViews>
  <sheetFormatPr defaultRowHeight="13.5" x14ac:dyDescent="0.15"/>
  <cols>
    <col min="1" max="1" width="5.5" customWidth="1"/>
    <col min="2" max="2" width="5.75" customWidth="1"/>
    <col min="3" max="11" width="8.125" customWidth="1"/>
  </cols>
  <sheetData>
    <row r="1" spans="1:13" ht="21.75" customHeight="1" x14ac:dyDescent="0.15">
      <c r="A1" s="397" t="s">
        <v>247</v>
      </c>
    </row>
    <row r="2" spans="1:13" x14ac:dyDescent="0.15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3" s="30" customFormat="1" ht="14.25" thickBot="1" x14ac:dyDescent="0.2">
      <c r="A3" s="30" t="s">
        <v>137</v>
      </c>
      <c r="H3" s="683" t="s">
        <v>179</v>
      </c>
      <c r="I3" s="683"/>
      <c r="J3" s="683"/>
      <c r="K3" s="683"/>
    </row>
    <row r="4" spans="1:13" ht="25.5" customHeight="1" x14ac:dyDescent="0.15">
      <c r="A4" s="685" t="s">
        <v>165</v>
      </c>
      <c r="B4" s="686"/>
      <c r="C4" s="689" t="s">
        <v>173</v>
      </c>
      <c r="D4" s="690"/>
      <c r="E4" s="691"/>
      <c r="F4" s="692" t="s">
        <v>126</v>
      </c>
      <c r="G4" s="693"/>
      <c r="H4" s="694"/>
      <c r="I4" s="695" t="s">
        <v>249</v>
      </c>
      <c r="J4" s="696"/>
      <c r="K4" s="697"/>
    </row>
    <row r="5" spans="1:13" ht="14.25" thickBot="1" x14ac:dyDescent="0.2">
      <c r="A5" s="687"/>
      <c r="B5" s="688"/>
      <c r="C5" s="270" t="s">
        <v>190</v>
      </c>
      <c r="D5" s="271" t="s">
        <v>145</v>
      </c>
      <c r="E5" s="272" t="s">
        <v>216</v>
      </c>
      <c r="F5" s="273" t="s">
        <v>190</v>
      </c>
      <c r="G5" s="271" t="s">
        <v>145</v>
      </c>
      <c r="H5" s="274" t="s">
        <v>216</v>
      </c>
      <c r="I5" s="275" t="s">
        <v>190</v>
      </c>
      <c r="J5" s="271" t="s">
        <v>145</v>
      </c>
      <c r="K5" s="276" t="s">
        <v>216</v>
      </c>
    </row>
    <row r="6" spans="1:13" ht="24.95" customHeight="1" x14ac:dyDescent="0.15">
      <c r="A6" s="684" t="s">
        <v>120</v>
      </c>
      <c r="B6" s="277">
        <v>30</v>
      </c>
      <c r="C6" s="418">
        <f>'★12ページ（時間道路別）'!D29</f>
        <v>4263</v>
      </c>
      <c r="D6" s="419">
        <f>'★12ページ（時間道路別）'!E29</f>
        <v>3495</v>
      </c>
      <c r="E6" s="278">
        <f t="shared" ref="E6:E11" si="0">SUM(C6:D6)</f>
        <v>7758</v>
      </c>
      <c r="F6" s="418">
        <f>'★12ページ（時間道路別）'!D30</f>
        <v>2043</v>
      </c>
      <c r="G6" s="419">
        <f>'★12ページ（時間道路別）'!E30</f>
        <v>1084</v>
      </c>
      <c r="H6" s="279">
        <f t="shared" ref="H6:H11" si="1">SUM(F6:G6)</f>
        <v>3127</v>
      </c>
      <c r="I6" s="280">
        <f>C6/(C6+F6)*100</f>
        <v>67.602283539486208</v>
      </c>
      <c r="J6" s="281">
        <f>D6/(D6+G6)*100</f>
        <v>76.326708888403587</v>
      </c>
      <c r="K6" s="282">
        <f>E6/(E6+H6)*100</f>
        <v>71.272393201653657</v>
      </c>
    </row>
    <row r="7" spans="1:13" ht="24.95" customHeight="1" thickBot="1" x14ac:dyDescent="0.2">
      <c r="A7" s="548"/>
      <c r="B7" s="283">
        <v>29</v>
      </c>
      <c r="C7" s="284">
        <v>4427</v>
      </c>
      <c r="D7" s="285">
        <v>3473</v>
      </c>
      <c r="E7" s="286">
        <f t="shared" si="0"/>
        <v>7900</v>
      </c>
      <c r="F7" s="284">
        <v>2296</v>
      </c>
      <c r="G7" s="285">
        <v>1136</v>
      </c>
      <c r="H7" s="287">
        <f t="shared" si="1"/>
        <v>3432</v>
      </c>
      <c r="I7" s="288">
        <v>65.848579503197982</v>
      </c>
      <c r="J7" s="289">
        <v>75.352571056628335</v>
      </c>
      <c r="K7" s="290">
        <f>E7/(E7+H7)*100</f>
        <v>69.714084009883521</v>
      </c>
    </row>
    <row r="8" spans="1:13" ht="24.95" customHeight="1" x14ac:dyDescent="0.15">
      <c r="A8" s="684" t="s">
        <v>129</v>
      </c>
      <c r="B8" s="277">
        <v>30</v>
      </c>
      <c r="C8" s="418">
        <f>'★12ページ（時間道路別）'!G29</f>
        <v>14</v>
      </c>
      <c r="D8" s="419">
        <f>'★12ページ（時間道路別）'!H29</f>
        <v>11</v>
      </c>
      <c r="E8" s="278">
        <f t="shared" si="0"/>
        <v>25</v>
      </c>
      <c r="F8" s="418">
        <f>'★12ページ（時間道路別）'!G30</f>
        <v>15</v>
      </c>
      <c r="G8" s="419">
        <f>'★12ページ（時間道路別）'!H30</f>
        <v>4</v>
      </c>
      <c r="H8" s="279">
        <f t="shared" si="1"/>
        <v>19</v>
      </c>
      <c r="I8" s="280">
        <f>C8/(C8+F8)*100</f>
        <v>48.275862068965516</v>
      </c>
      <c r="J8" s="281">
        <f>D8/(D8+G8)*100</f>
        <v>73.333333333333329</v>
      </c>
      <c r="K8" s="282">
        <f>E8/(E8+H8)*100</f>
        <v>56.81818181818182</v>
      </c>
    </row>
    <row r="9" spans="1:13" ht="24.95" customHeight="1" thickBot="1" x14ac:dyDescent="0.2">
      <c r="A9" s="548"/>
      <c r="B9" s="283">
        <v>29</v>
      </c>
      <c r="C9" s="291">
        <v>19</v>
      </c>
      <c r="D9" s="292">
        <v>5</v>
      </c>
      <c r="E9" s="293">
        <f t="shared" si="0"/>
        <v>24</v>
      </c>
      <c r="F9" s="291">
        <v>14</v>
      </c>
      <c r="G9" s="292">
        <v>6</v>
      </c>
      <c r="H9" s="287">
        <f t="shared" si="1"/>
        <v>20</v>
      </c>
      <c r="I9" s="288">
        <v>57.575757575757578</v>
      </c>
      <c r="J9" s="289">
        <v>45.454545454545453</v>
      </c>
      <c r="K9" s="290">
        <f>E9/(E9+H9)*100</f>
        <v>54.54545454545454</v>
      </c>
    </row>
    <row r="10" spans="1:13" ht="24.95" customHeight="1" x14ac:dyDescent="0.15">
      <c r="A10" s="684" t="s">
        <v>72</v>
      </c>
      <c r="B10" s="277">
        <v>30</v>
      </c>
      <c r="C10" s="418">
        <f>'★12ページ（時間道路別）'!J29</f>
        <v>5199</v>
      </c>
      <c r="D10" s="419">
        <f>'★12ページ（時間道路別）'!K29</f>
        <v>3840</v>
      </c>
      <c r="E10" s="279">
        <f t="shared" si="0"/>
        <v>9039</v>
      </c>
      <c r="F10" s="418">
        <f>'★12ページ（時間道路別）'!J30</f>
        <v>2464</v>
      </c>
      <c r="G10" s="419">
        <f>'★12ページ（時間道路別）'!K30</f>
        <v>1220</v>
      </c>
      <c r="H10" s="279">
        <f t="shared" si="1"/>
        <v>3684</v>
      </c>
      <c r="I10" s="294">
        <f>C10/(C10+F10)*100</f>
        <v>67.845491321936578</v>
      </c>
      <c r="J10" s="295">
        <f>D10/(D10+G10)*100</f>
        <v>75.889328063241095</v>
      </c>
      <c r="K10" s="296">
        <f>E10/(E10+H10)*100</f>
        <v>71.044564961094082</v>
      </c>
    </row>
    <row r="11" spans="1:13" ht="24.95" customHeight="1" thickBot="1" x14ac:dyDescent="0.2">
      <c r="A11" s="548"/>
      <c r="B11" s="283">
        <v>29</v>
      </c>
      <c r="C11" s="291">
        <v>5348</v>
      </c>
      <c r="D11" s="292">
        <v>3861</v>
      </c>
      <c r="E11" s="287">
        <f t="shared" si="0"/>
        <v>9209</v>
      </c>
      <c r="F11" s="291">
        <v>2918</v>
      </c>
      <c r="G11" s="292">
        <v>1271</v>
      </c>
      <c r="H11" s="287">
        <f t="shared" si="1"/>
        <v>4189</v>
      </c>
      <c r="I11" s="297">
        <v>64.698766029518509</v>
      </c>
      <c r="J11" s="289">
        <v>75.233826968043644</v>
      </c>
      <c r="K11" s="290">
        <f>E11/(E11+H11)*100</f>
        <v>68.734139423794588</v>
      </c>
    </row>
    <row r="12" spans="1:13" x14ac:dyDescent="0.15">
      <c r="A12" s="298"/>
      <c r="B12" s="298"/>
      <c r="C12" s="298"/>
      <c r="D12" s="298"/>
      <c r="E12" s="298"/>
      <c r="F12" s="298"/>
      <c r="G12" s="298"/>
      <c r="H12" s="298"/>
      <c r="I12" s="298"/>
      <c r="J12" s="298"/>
      <c r="K12" s="298"/>
    </row>
    <row r="13" spans="1:13" x14ac:dyDescent="0.15">
      <c r="A13" s="29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</row>
  </sheetData>
  <mergeCells count="8">
    <mergeCell ref="A6:A7"/>
    <mergeCell ref="A8:A9"/>
    <mergeCell ref="A10:A11"/>
    <mergeCell ref="H3:K3"/>
    <mergeCell ref="A4:B5"/>
    <mergeCell ref="C4:E4"/>
    <mergeCell ref="F4:H4"/>
    <mergeCell ref="I4:K4"/>
  </mergeCells>
  <phoneticPr fontId="37"/>
  <pageMargins left="0.78740157480314965" right="0.18" top="0.98425196850393704" bottom="0.98425196850393704" header="0.51181102362204722" footer="0.51181102362204722"/>
  <pageSetup paperSize="9" firstPageNumber="0" orientation="portrait" r:id="rId1"/>
  <headerFooter alignWithMargins="0">
    <oddFooter xml:space="preserve">&amp;C-11-
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view="pageBreakPreview" topLeftCell="A7" zoomScaleNormal="100" zoomScaleSheetLayoutView="100" workbookViewId="0">
      <selection activeCell="N15" sqref="N15"/>
    </sheetView>
  </sheetViews>
  <sheetFormatPr defaultRowHeight="13.5" x14ac:dyDescent="0.15"/>
  <cols>
    <col min="1" max="1" width="3.375" customWidth="1"/>
    <col min="2" max="2" width="4.125" customWidth="1"/>
    <col min="3" max="11" width="8.625" customWidth="1"/>
  </cols>
  <sheetData>
    <row r="1" spans="1:11" s="190" customFormat="1" ht="19.5" customHeight="1" x14ac:dyDescent="0.15">
      <c r="A1" s="190" t="s">
        <v>259</v>
      </c>
    </row>
    <row r="2" spans="1:11" x14ac:dyDescent="0.15">
      <c r="A2" s="233"/>
      <c r="B2" s="300" t="s">
        <v>26</v>
      </c>
      <c r="C2" s="700" t="s">
        <v>81</v>
      </c>
      <c r="D2" s="701"/>
      <c r="E2" s="301" t="s">
        <v>112</v>
      </c>
      <c r="F2" s="679" t="s">
        <v>141</v>
      </c>
      <c r="G2" s="701"/>
      <c r="H2" s="301" t="s">
        <v>111</v>
      </c>
      <c r="I2" s="679" t="s">
        <v>77</v>
      </c>
      <c r="J2" s="701"/>
      <c r="K2" s="301" t="s">
        <v>235</v>
      </c>
    </row>
    <row r="3" spans="1:11" x14ac:dyDescent="0.15">
      <c r="A3" s="302"/>
      <c r="B3" s="303"/>
      <c r="C3" s="304" t="s">
        <v>93</v>
      </c>
      <c r="D3" s="305"/>
      <c r="E3" s="305"/>
      <c r="F3" s="304" t="s">
        <v>93</v>
      </c>
      <c r="G3" s="305"/>
      <c r="H3" s="306"/>
      <c r="I3" s="304" t="s">
        <v>93</v>
      </c>
      <c r="J3" s="305"/>
      <c r="K3" s="306"/>
    </row>
    <row r="4" spans="1:11" x14ac:dyDescent="0.15">
      <c r="A4" s="307" t="s">
        <v>40</v>
      </c>
      <c r="B4" s="308"/>
      <c r="C4" s="309"/>
      <c r="D4" s="310" t="s">
        <v>190</v>
      </c>
      <c r="E4" s="206" t="s">
        <v>145</v>
      </c>
      <c r="F4" s="309"/>
      <c r="G4" s="310" t="s">
        <v>190</v>
      </c>
      <c r="H4" s="311" t="s">
        <v>145</v>
      </c>
      <c r="I4" s="309"/>
      <c r="J4" s="310" t="s">
        <v>190</v>
      </c>
      <c r="K4" s="311" t="s">
        <v>145</v>
      </c>
    </row>
    <row r="5" spans="1:11" ht="18" customHeight="1" x14ac:dyDescent="0.15">
      <c r="A5" s="312"/>
      <c r="B5" s="313">
        <v>0</v>
      </c>
      <c r="C5" s="314">
        <f t="shared" ref="C5:C14" si="0">SUM(D5:E5)</f>
        <v>175</v>
      </c>
      <c r="D5" s="508">
        <v>128</v>
      </c>
      <c r="E5" s="509">
        <v>47</v>
      </c>
      <c r="F5" s="315">
        <f t="shared" ref="F5:F14" si="1">SUM(G5:H5)</f>
        <v>2</v>
      </c>
      <c r="G5" s="508">
        <v>2</v>
      </c>
      <c r="H5" s="509">
        <v>0</v>
      </c>
      <c r="I5" s="315">
        <f t="shared" ref="I5:I14" si="2">SUM(J5:K5)</f>
        <v>228</v>
      </c>
      <c r="J5" s="508">
        <v>165</v>
      </c>
      <c r="K5" s="509">
        <v>63</v>
      </c>
    </row>
    <row r="6" spans="1:11" ht="18" customHeight="1" x14ac:dyDescent="0.15">
      <c r="A6" s="309" t="s">
        <v>3</v>
      </c>
      <c r="B6" s="316">
        <v>1</v>
      </c>
      <c r="C6" s="317">
        <f t="shared" si="0"/>
        <v>143</v>
      </c>
      <c r="D6" s="510">
        <v>94</v>
      </c>
      <c r="E6" s="511">
        <v>49</v>
      </c>
      <c r="F6" s="318">
        <f t="shared" si="1"/>
        <v>0</v>
      </c>
      <c r="G6" s="510">
        <v>0</v>
      </c>
      <c r="H6" s="511">
        <v>0</v>
      </c>
      <c r="I6" s="318">
        <f t="shared" si="2"/>
        <v>178</v>
      </c>
      <c r="J6" s="510">
        <v>120</v>
      </c>
      <c r="K6" s="511">
        <v>58</v>
      </c>
    </row>
    <row r="7" spans="1:11" ht="18" customHeight="1" x14ac:dyDescent="0.15">
      <c r="A7" s="309"/>
      <c r="B7" s="316">
        <v>2</v>
      </c>
      <c r="C7" s="317">
        <f t="shared" si="0"/>
        <v>117</v>
      </c>
      <c r="D7" s="510">
        <v>80</v>
      </c>
      <c r="E7" s="511">
        <v>37</v>
      </c>
      <c r="F7" s="318">
        <f t="shared" si="1"/>
        <v>2</v>
      </c>
      <c r="G7" s="510">
        <v>1</v>
      </c>
      <c r="H7" s="511">
        <v>1</v>
      </c>
      <c r="I7" s="318">
        <f t="shared" si="2"/>
        <v>140</v>
      </c>
      <c r="J7" s="510">
        <v>97</v>
      </c>
      <c r="K7" s="511">
        <v>43</v>
      </c>
    </row>
    <row r="8" spans="1:11" ht="18" customHeight="1" x14ac:dyDescent="0.15">
      <c r="A8" s="309" t="s">
        <v>148</v>
      </c>
      <c r="B8" s="316">
        <v>3</v>
      </c>
      <c r="C8" s="317">
        <f t="shared" si="0"/>
        <v>109</v>
      </c>
      <c r="D8" s="510">
        <v>84</v>
      </c>
      <c r="E8" s="511">
        <v>25</v>
      </c>
      <c r="F8" s="318">
        <f t="shared" si="1"/>
        <v>3</v>
      </c>
      <c r="G8" s="510">
        <v>3</v>
      </c>
      <c r="H8" s="511">
        <v>0</v>
      </c>
      <c r="I8" s="318">
        <f t="shared" si="2"/>
        <v>128</v>
      </c>
      <c r="J8" s="510">
        <v>97</v>
      </c>
      <c r="K8" s="511">
        <v>31</v>
      </c>
    </row>
    <row r="9" spans="1:11" ht="18" customHeight="1" x14ac:dyDescent="0.15">
      <c r="A9" s="309"/>
      <c r="B9" s="316">
        <v>4</v>
      </c>
      <c r="C9" s="317">
        <f t="shared" si="0"/>
        <v>105</v>
      </c>
      <c r="D9" s="510">
        <v>65</v>
      </c>
      <c r="E9" s="511">
        <v>40</v>
      </c>
      <c r="F9" s="318">
        <f t="shared" si="1"/>
        <v>4</v>
      </c>
      <c r="G9" s="510">
        <v>3</v>
      </c>
      <c r="H9" s="511">
        <v>1</v>
      </c>
      <c r="I9" s="318">
        <f t="shared" si="2"/>
        <v>112</v>
      </c>
      <c r="J9" s="510">
        <v>67</v>
      </c>
      <c r="K9" s="511">
        <v>45</v>
      </c>
    </row>
    <row r="10" spans="1:11" ht="18" customHeight="1" x14ac:dyDescent="0.15">
      <c r="A10" s="319"/>
      <c r="B10" s="316">
        <v>5</v>
      </c>
      <c r="C10" s="317">
        <f t="shared" si="0"/>
        <v>122</v>
      </c>
      <c r="D10" s="510">
        <v>85</v>
      </c>
      <c r="E10" s="511">
        <v>37</v>
      </c>
      <c r="F10" s="318">
        <f t="shared" si="1"/>
        <v>2</v>
      </c>
      <c r="G10" s="510">
        <v>2</v>
      </c>
      <c r="H10" s="511">
        <v>0</v>
      </c>
      <c r="I10" s="318">
        <f t="shared" si="2"/>
        <v>134</v>
      </c>
      <c r="J10" s="510">
        <v>95</v>
      </c>
      <c r="K10" s="511">
        <v>39</v>
      </c>
    </row>
    <row r="11" spans="1:11" ht="18" customHeight="1" x14ac:dyDescent="0.15">
      <c r="A11" s="320"/>
      <c r="B11" s="321">
        <v>6</v>
      </c>
      <c r="C11" s="317">
        <f t="shared" si="0"/>
        <v>270</v>
      </c>
      <c r="D11" s="510">
        <v>157</v>
      </c>
      <c r="E11" s="511">
        <v>113</v>
      </c>
      <c r="F11" s="318">
        <f t="shared" si="1"/>
        <v>3</v>
      </c>
      <c r="G11" s="510">
        <v>2</v>
      </c>
      <c r="H11" s="511">
        <v>1</v>
      </c>
      <c r="I11" s="318">
        <f t="shared" si="2"/>
        <v>293</v>
      </c>
      <c r="J11" s="510">
        <v>172</v>
      </c>
      <c r="K11" s="511">
        <v>121</v>
      </c>
    </row>
    <row r="12" spans="1:11" ht="18" customHeight="1" x14ac:dyDescent="0.15">
      <c r="A12" s="320"/>
      <c r="B12" s="321">
        <v>7</v>
      </c>
      <c r="C12" s="317">
        <f t="shared" si="0"/>
        <v>578</v>
      </c>
      <c r="D12" s="510">
        <v>331</v>
      </c>
      <c r="E12" s="511">
        <v>247</v>
      </c>
      <c r="F12" s="318">
        <f t="shared" si="1"/>
        <v>2</v>
      </c>
      <c r="G12" s="510">
        <v>2</v>
      </c>
      <c r="H12" s="511">
        <v>0</v>
      </c>
      <c r="I12" s="318">
        <f t="shared" si="2"/>
        <v>640</v>
      </c>
      <c r="J12" s="510">
        <v>380</v>
      </c>
      <c r="K12" s="511">
        <v>260</v>
      </c>
    </row>
    <row r="13" spans="1:11" ht="18" customHeight="1" x14ac:dyDescent="0.15">
      <c r="A13" s="320"/>
      <c r="B13" s="321">
        <v>8</v>
      </c>
      <c r="C13" s="317">
        <f t="shared" si="0"/>
        <v>886</v>
      </c>
      <c r="D13" s="510">
        <v>451</v>
      </c>
      <c r="E13" s="511">
        <v>435</v>
      </c>
      <c r="F13" s="318">
        <f t="shared" si="1"/>
        <v>6</v>
      </c>
      <c r="G13" s="510">
        <v>4</v>
      </c>
      <c r="H13" s="511">
        <v>2</v>
      </c>
      <c r="I13" s="318">
        <f t="shared" si="2"/>
        <v>983</v>
      </c>
      <c r="J13" s="510">
        <v>512</v>
      </c>
      <c r="K13" s="511">
        <v>471</v>
      </c>
    </row>
    <row r="14" spans="1:11" ht="18" customHeight="1" x14ac:dyDescent="0.15">
      <c r="A14" s="320"/>
      <c r="B14" s="321">
        <v>9</v>
      </c>
      <c r="C14" s="317">
        <f t="shared" si="0"/>
        <v>685</v>
      </c>
      <c r="D14" s="510">
        <v>372</v>
      </c>
      <c r="E14" s="511">
        <v>313</v>
      </c>
      <c r="F14" s="318">
        <f t="shared" si="1"/>
        <v>0</v>
      </c>
      <c r="G14" s="510">
        <v>0</v>
      </c>
      <c r="H14" s="511">
        <v>0</v>
      </c>
      <c r="I14" s="318">
        <f t="shared" si="2"/>
        <v>794</v>
      </c>
      <c r="J14" s="510">
        <v>447</v>
      </c>
      <c r="K14" s="511">
        <v>347</v>
      </c>
    </row>
    <row r="15" spans="1:11" ht="18" customHeight="1" x14ac:dyDescent="0.15">
      <c r="A15" s="320"/>
      <c r="B15" s="321">
        <v>10</v>
      </c>
      <c r="C15" s="317">
        <f t="shared" ref="C15:C28" si="3">SUM(D15:E15)</f>
        <v>715</v>
      </c>
      <c r="D15" s="510">
        <v>378</v>
      </c>
      <c r="E15" s="511">
        <v>337</v>
      </c>
      <c r="F15" s="318">
        <f t="shared" ref="F15:F28" si="4">SUM(G15:H15)</f>
        <v>3</v>
      </c>
      <c r="G15" s="510">
        <v>1</v>
      </c>
      <c r="H15" s="511">
        <v>2</v>
      </c>
      <c r="I15" s="318">
        <f t="shared" ref="I15:I28" si="5">SUM(J15:K15)</f>
        <v>808</v>
      </c>
      <c r="J15" s="510">
        <v>446</v>
      </c>
      <c r="K15" s="511">
        <v>362</v>
      </c>
    </row>
    <row r="16" spans="1:11" ht="18" customHeight="1" x14ac:dyDescent="0.15">
      <c r="A16" s="320"/>
      <c r="B16" s="321">
        <v>11</v>
      </c>
      <c r="C16" s="317">
        <f t="shared" si="3"/>
        <v>646</v>
      </c>
      <c r="D16" s="510">
        <v>366</v>
      </c>
      <c r="E16" s="511">
        <v>280</v>
      </c>
      <c r="F16" s="318">
        <f t="shared" si="4"/>
        <v>0</v>
      </c>
      <c r="G16" s="510">
        <v>0</v>
      </c>
      <c r="H16" s="511">
        <v>0</v>
      </c>
      <c r="I16" s="318">
        <f t="shared" si="5"/>
        <v>747</v>
      </c>
      <c r="J16" s="510">
        <v>444</v>
      </c>
      <c r="K16" s="511">
        <v>303</v>
      </c>
    </row>
    <row r="17" spans="1:11" ht="18" customHeight="1" x14ac:dyDescent="0.15">
      <c r="A17" s="320"/>
      <c r="B17" s="321">
        <v>12</v>
      </c>
      <c r="C17" s="317">
        <f t="shared" si="3"/>
        <v>610</v>
      </c>
      <c r="D17" s="510">
        <v>332</v>
      </c>
      <c r="E17" s="511">
        <v>278</v>
      </c>
      <c r="F17" s="318">
        <f t="shared" si="4"/>
        <v>2</v>
      </c>
      <c r="G17" s="510">
        <v>2</v>
      </c>
      <c r="H17" s="511">
        <v>0</v>
      </c>
      <c r="I17" s="318">
        <f t="shared" si="5"/>
        <v>726</v>
      </c>
      <c r="J17" s="510">
        <v>420</v>
      </c>
      <c r="K17" s="511">
        <v>306</v>
      </c>
    </row>
    <row r="18" spans="1:11" ht="18" customHeight="1" x14ac:dyDescent="0.15">
      <c r="A18" s="320"/>
      <c r="B18" s="321">
        <v>13</v>
      </c>
      <c r="C18" s="317">
        <f t="shared" si="3"/>
        <v>595</v>
      </c>
      <c r="D18" s="510">
        <v>316</v>
      </c>
      <c r="E18" s="511">
        <v>279</v>
      </c>
      <c r="F18" s="318">
        <f t="shared" si="4"/>
        <v>0</v>
      </c>
      <c r="G18" s="510">
        <v>0</v>
      </c>
      <c r="H18" s="511">
        <v>0</v>
      </c>
      <c r="I18" s="318">
        <f t="shared" si="5"/>
        <v>696</v>
      </c>
      <c r="J18" s="510">
        <v>391</v>
      </c>
      <c r="K18" s="511">
        <v>305</v>
      </c>
    </row>
    <row r="19" spans="1:11" ht="18" customHeight="1" x14ac:dyDescent="0.15">
      <c r="A19" s="320"/>
      <c r="B19" s="321">
        <v>14</v>
      </c>
      <c r="C19" s="317">
        <f t="shared" si="3"/>
        <v>622</v>
      </c>
      <c r="D19" s="510">
        <v>350</v>
      </c>
      <c r="E19" s="511">
        <v>272</v>
      </c>
      <c r="F19" s="318">
        <f t="shared" si="4"/>
        <v>2</v>
      </c>
      <c r="G19" s="510">
        <v>1</v>
      </c>
      <c r="H19" s="511">
        <v>1</v>
      </c>
      <c r="I19" s="318">
        <f t="shared" si="5"/>
        <v>767</v>
      </c>
      <c r="J19" s="510">
        <v>452</v>
      </c>
      <c r="K19" s="511">
        <v>315</v>
      </c>
    </row>
    <row r="20" spans="1:11" ht="18" customHeight="1" x14ac:dyDescent="0.15">
      <c r="A20" s="320"/>
      <c r="B20" s="321">
        <v>15</v>
      </c>
      <c r="C20" s="317">
        <f t="shared" si="3"/>
        <v>653</v>
      </c>
      <c r="D20" s="510">
        <v>370</v>
      </c>
      <c r="E20" s="511">
        <v>283</v>
      </c>
      <c r="F20" s="318">
        <f t="shared" si="4"/>
        <v>4</v>
      </c>
      <c r="G20" s="510">
        <v>1</v>
      </c>
      <c r="H20" s="511">
        <v>3</v>
      </c>
      <c r="I20" s="318">
        <f t="shared" si="5"/>
        <v>793</v>
      </c>
      <c r="J20" s="510">
        <v>478</v>
      </c>
      <c r="K20" s="511">
        <v>315</v>
      </c>
    </row>
    <row r="21" spans="1:11" ht="18" customHeight="1" x14ac:dyDescent="0.15">
      <c r="A21" s="320"/>
      <c r="B21" s="321">
        <v>16</v>
      </c>
      <c r="C21" s="317">
        <f t="shared" si="3"/>
        <v>671</v>
      </c>
      <c r="D21" s="510">
        <v>367</v>
      </c>
      <c r="E21" s="511">
        <v>304</v>
      </c>
      <c r="F21" s="318">
        <f t="shared" si="4"/>
        <v>2</v>
      </c>
      <c r="G21" s="510">
        <v>0</v>
      </c>
      <c r="H21" s="511">
        <v>2</v>
      </c>
      <c r="I21" s="318">
        <f t="shared" si="5"/>
        <v>804</v>
      </c>
      <c r="J21" s="510">
        <v>468</v>
      </c>
      <c r="K21" s="511">
        <v>336</v>
      </c>
    </row>
    <row r="22" spans="1:11" ht="18" customHeight="1" x14ac:dyDescent="0.15">
      <c r="A22" s="320"/>
      <c r="B22" s="321">
        <v>17</v>
      </c>
      <c r="C22" s="317">
        <f t="shared" si="3"/>
        <v>827</v>
      </c>
      <c r="D22" s="510">
        <v>473</v>
      </c>
      <c r="E22" s="511">
        <v>354</v>
      </c>
      <c r="F22" s="318">
        <f t="shared" si="4"/>
        <v>1</v>
      </c>
      <c r="G22" s="510">
        <v>1</v>
      </c>
      <c r="H22" s="511">
        <v>0</v>
      </c>
      <c r="I22" s="318">
        <f t="shared" si="5"/>
        <v>988</v>
      </c>
      <c r="J22" s="510">
        <v>589</v>
      </c>
      <c r="K22" s="511">
        <v>399</v>
      </c>
    </row>
    <row r="23" spans="1:11" ht="18" customHeight="1" x14ac:dyDescent="0.15">
      <c r="A23" s="322"/>
      <c r="B23" s="316">
        <v>18</v>
      </c>
      <c r="C23" s="317">
        <f t="shared" si="3"/>
        <v>750</v>
      </c>
      <c r="D23" s="510">
        <v>451</v>
      </c>
      <c r="E23" s="511">
        <v>299</v>
      </c>
      <c r="F23" s="318">
        <f t="shared" si="4"/>
        <v>2</v>
      </c>
      <c r="G23" s="510">
        <v>1</v>
      </c>
      <c r="H23" s="511">
        <v>1</v>
      </c>
      <c r="I23" s="318">
        <f t="shared" si="5"/>
        <v>855</v>
      </c>
      <c r="J23" s="510">
        <v>529</v>
      </c>
      <c r="K23" s="511">
        <v>326</v>
      </c>
    </row>
    <row r="24" spans="1:11" ht="18" customHeight="1" x14ac:dyDescent="0.15">
      <c r="A24" s="309" t="s">
        <v>3</v>
      </c>
      <c r="B24" s="316">
        <v>19</v>
      </c>
      <c r="C24" s="317">
        <f t="shared" si="3"/>
        <v>504</v>
      </c>
      <c r="D24" s="510">
        <v>318</v>
      </c>
      <c r="E24" s="511">
        <v>186</v>
      </c>
      <c r="F24" s="318">
        <f t="shared" si="4"/>
        <v>0</v>
      </c>
      <c r="G24" s="510">
        <v>0</v>
      </c>
      <c r="H24" s="511">
        <v>0</v>
      </c>
      <c r="I24" s="318">
        <f t="shared" si="5"/>
        <v>590</v>
      </c>
      <c r="J24" s="510">
        <v>383</v>
      </c>
      <c r="K24" s="511">
        <v>207</v>
      </c>
    </row>
    <row r="25" spans="1:11" ht="18" customHeight="1" x14ac:dyDescent="0.15">
      <c r="A25" s="309"/>
      <c r="B25" s="316">
        <v>20</v>
      </c>
      <c r="C25" s="317">
        <f t="shared" si="3"/>
        <v>403</v>
      </c>
      <c r="D25" s="510">
        <v>264</v>
      </c>
      <c r="E25" s="511">
        <v>139</v>
      </c>
      <c r="F25" s="318">
        <f t="shared" si="4"/>
        <v>1</v>
      </c>
      <c r="G25" s="510">
        <v>0</v>
      </c>
      <c r="H25" s="511">
        <v>1</v>
      </c>
      <c r="I25" s="318">
        <f t="shared" si="5"/>
        <v>484</v>
      </c>
      <c r="J25" s="510">
        <v>326</v>
      </c>
      <c r="K25" s="511">
        <v>158</v>
      </c>
    </row>
    <row r="26" spans="1:11" ht="18" customHeight="1" x14ac:dyDescent="0.15">
      <c r="A26" s="309" t="s">
        <v>148</v>
      </c>
      <c r="B26" s="316">
        <v>21</v>
      </c>
      <c r="C26" s="317">
        <f t="shared" si="3"/>
        <v>292</v>
      </c>
      <c r="D26" s="510">
        <v>195</v>
      </c>
      <c r="E26" s="511">
        <v>97</v>
      </c>
      <c r="F26" s="318">
        <f t="shared" si="4"/>
        <v>3</v>
      </c>
      <c r="G26" s="510">
        <v>3</v>
      </c>
      <c r="H26" s="511">
        <v>0</v>
      </c>
      <c r="I26" s="318">
        <f t="shared" si="5"/>
        <v>346</v>
      </c>
      <c r="J26" s="510">
        <v>243</v>
      </c>
      <c r="K26" s="511">
        <v>103</v>
      </c>
    </row>
    <row r="27" spans="1:11" ht="18" customHeight="1" x14ac:dyDescent="0.15">
      <c r="A27" s="309"/>
      <c r="B27" s="316">
        <v>22</v>
      </c>
      <c r="C27" s="317">
        <f t="shared" si="3"/>
        <v>219</v>
      </c>
      <c r="D27" s="510">
        <v>150</v>
      </c>
      <c r="E27" s="511">
        <v>69</v>
      </c>
      <c r="F27" s="318">
        <f t="shared" si="4"/>
        <v>0</v>
      </c>
      <c r="G27" s="510">
        <v>0</v>
      </c>
      <c r="H27" s="511">
        <v>0</v>
      </c>
      <c r="I27" s="318">
        <f t="shared" si="5"/>
        <v>270</v>
      </c>
      <c r="J27" s="510">
        <v>190</v>
      </c>
      <c r="K27" s="511">
        <v>80</v>
      </c>
    </row>
    <row r="28" spans="1:11" ht="18" customHeight="1" x14ac:dyDescent="0.15">
      <c r="A28" s="323"/>
      <c r="B28" s="324">
        <v>23</v>
      </c>
      <c r="C28" s="325">
        <f t="shared" si="3"/>
        <v>188</v>
      </c>
      <c r="D28" s="512">
        <v>129</v>
      </c>
      <c r="E28" s="513">
        <v>59</v>
      </c>
      <c r="F28" s="326">
        <f t="shared" si="4"/>
        <v>0</v>
      </c>
      <c r="G28" s="512">
        <v>0</v>
      </c>
      <c r="H28" s="513">
        <v>0</v>
      </c>
      <c r="I28" s="326">
        <f t="shared" si="5"/>
        <v>219</v>
      </c>
      <c r="J28" s="512">
        <v>152</v>
      </c>
      <c r="K28" s="513">
        <v>67</v>
      </c>
    </row>
    <row r="29" spans="1:11" ht="18" customHeight="1" x14ac:dyDescent="0.15">
      <c r="A29" s="702" t="s">
        <v>152</v>
      </c>
      <c r="B29" s="607"/>
      <c r="C29" s="314">
        <f t="shared" ref="C29:K29" si="6">SUM(C11:C22)</f>
        <v>7758</v>
      </c>
      <c r="D29" s="327">
        <f>SUM(D11:D22)</f>
        <v>4263</v>
      </c>
      <c r="E29" s="328">
        <f>SUM(E11:E22)</f>
        <v>3495</v>
      </c>
      <c r="F29" s="315">
        <f t="shared" si="6"/>
        <v>25</v>
      </c>
      <c r="G29" s="327">
        <f t="shared" si="6"/>
        <v>14</v>
      </c>
      <c r="H29" s="328">
        <f t="shared" si="6"/>
        <v>11</v>
      </c>
      <c r="I29" s="315">
        <f t="shared" si="6"/>
        <v>9039</v>
      </c>
      <c r="J29" s="327">
        <f t="shared" si="6"/>
        <v>5199</v>
      </c>
      <c r="K29" s="328">
        <f t="shared" si="6"/>
        <v>3840</v>
      </c>
    </row>
    <row r="30" spans="1:11" ht="18" customHeight="1" x14ac:dyDescent="0.15">
      <c r="A30" s="703" t="s">
        <v>95</v>
      </c>
      <c r="B30" s="704"/>
      <c r="C30" s="317">
        <f t="shared" ref="C30:K30" si="7">C31-C29</f>
        <v>3127</v>
      </c>
      <c r="D30" s="329">
        <f t="shared" si="7"/>
        <v>2043</v>
      </c>
      <c r="E30" s="224">
        <f>E31-E29</f>
        <v>1084</v>
      </c>
      <c r="F30" s="318">
        <f t="shared" si="7"/>
        <v>19</v>
      </c>
      <c r="G30" s="329">
        <f t="shared" si="7"/>
        <v>15</v>
      </c>
      <c r="H30" s="224">
        <f t="shared" si="7"/>
        <v>4</v>
      </c>
      <c r="I30" s="318">
        <f t="shared" si="7"/>
        <v>3684</v>
      </c>
      <c r="J30" s="329">
        <f t="shared" si="7"/>
        <v>2464</v>
      </c>
      <c r="K30" s="224">
        <f t="shared" si="7"/>
        <v>1220</v>
      </c>
    </row>
    <row r="31" spans="1:11" ht="18" customHeight="1" x14ac:dyDescent="0.15">
      <c r="A31" s="705" t="s">
        <v>196</v>
      </c>
      <c r="B31" s="706"/>
      <c r="C31" s="325">
        <f t="shared" ref="C31:K31" si="8">SUM(C5:C28)</f>
        <v>10885</v>
      </c>
      <c r="D31" s="330">
        <f t="shared" si="8"/>
        <v>6306</v>
      </c>
      <c r="E31" s="331">
        <f t="shared" si="8"/>
        <v>4579</v>
      </c>
      <c r="F31" s="326">
        <f t="shared" si="8"/>
        <v>44</v>
      </c>
      <c r="G31" s="330">
        <f t="shared" si="8"/>
        <v>29</v>
      </c>
      <c r="H31" s="331">
        <f t="shared" si="8"/>
        <v>15</v>
      </c>
      <c r="I31" s="326">
        <f t="shared" si="8"/>
        <v>12723</v>
      </c>
      <c r="J31" s="330">
        <f t="shared" si="8"/>
        <v>7663</v>
      </c>
      <c r="K31" s="331">
        <f t="shared" si="8"/>
        <v>5060</v>
      </c>
    </row>
    <row r="32" spans="1:11" ht="18" customHeight="1" x14ac:dyDescent="0.15">
      <c r="A32" s="698" t="s">
        <v>188</v>
      </c>
      <c r="B32" s="698"/>
      <c r="C32" s="699" t="s">
        <v>110</v>
      </c>
      <c r="D32" s="699"/>
      <c r="E32" s="699"/>
      <c r="F32" s="699"/>
      <c r="G32" s="699"/>
      <c r="H32" s="699"/>
      <c r="I32" s="699"/>
      <c r="J32" s="699"/>
      <c r="K32" s="699"/>
    </row>
  </sheetData>
  <mergeCells count="8">
    <mergeCell ref="A32:B32"/>
    <mergeCell ref="C32:K32"/>
    <mergeCell ref="C2:D2"/>
    <mergeCell ref="F2:G2"/>
    <mergeCell ref="I2:J2"/>
    <mergeCell ref="A29:B29"/>
    <mergeCell ref="A30:B30"/>
    <mergeCell ref="A31:B31"/>
  </mergeCells>
  <phoneticPr fontId="37"/>
  <pageMargins left="0.98425196850393704" right="0.39370078740157483" top="0.98425196850393704" bottom="0.78" header="0.51181102362204722" footer="0.51181102362204722"/>
  <pageSetup paperSize="9" scale="97" firstPageNumber="0" orientation="portrait" r:id="rId1"/>
  <headerFooter alignWithMargins="0">
    <oddFooter>&amp;C－12－</oddFooter>
  </headerFooter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57"/>
  <sheetViews>
    <sheetView tabSelected="1" view="pageBreakPreview" topLeftCell="A34" zoomScaleNormal="100" zoomScaleSheetLayoutView="100" workbookViewId="0">
      <selection activeCell="N15" sqref="N15"/>
    </sheetView>
  </sheetViews>
  <sheetFormatPr defaultRowHeight="13.5" x14ac:dyDescent="0.15"/>
  <cols>
    <col min="1" max="1" width="5.5" customWidth="1"/>
    <col min="2" max="2" width="7.125" customWidth="1"/>
    <col min="3" max="3" width="8.125" customWidth="1"/>
    <col min="4" max="4" width="7.625" customWidth="1"/>
    <col min="5" max="6" width="8.125" customWidth="1"/>
    <col min="7" max="7" width="7.625" customWidth="1"/>
    <col min="8" max="8" width="8.125" customWidth="1"/>
    <col min="9" max="9" width="9.375" customWidth="1"/>
    <col min="10" max="10" width="8.125" customWidth="1"/>
    <col min="11" max="11" width="11.75" customWidth="1"/>
  </cols>
  <sheetData>
    <row r="1" spans="1:11" ht="17.25" x14ac:dyDescent="0.2">
      <c r="A1" s="31" t="s">
        <v>262</v>
      </c>
    </row>
    <row r="2" spans="1:11" s="30" customFormat="1" ht="14.25" x14ac:dyDescent="0.15">
      <c r="A2" s="126" t="s">
        <v>266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4.25" thickBot="1" x14ac:dyDescent="0.2">
      <c r="A4" s="3" t="s">
        <v>181</v>
      </c>
      <c r="B4" s="3"/>
      <c r="C4" s="3"/>
      <c r="D4" s="3"/>
      <c r="E4" s="3"/>
      <c r="F4" s="3"/>
      <c r="G4" s="3"/>
      <c r="H4" s="559" t="s">
        <v>179</v>
      </c>
      <c r="I4" s="559"/>
      <c r="J4" s="559"/>
      <c r="K4" s="559"/>
    </row>
    <row r="5" spans="1:11" x14ac:dyDescent="0.15">
      <c r="A5" s="167" t="s">
        <v>231</v>
      </c>
      <c r="B5" s="33" t="s">
        <v>26</v>
      </c>
      <c r="C5" s="571" t="s">
        <v>200</v>
      </c>
      <c r="D5" s="571"/>
      <c r="E5" s="571"/>
      <c r="F5" s="561" t="s">
        <v>82</v>
      </c>
      <c r="G5" s="571"/>
      <c r="H5" s="573"/>
      <c r="I5" s="571" t="s">
        <v>198</v>
      </c>
      <c r="J5" s="571"/>
      <c r="K5" s="573"/>
    </row>
    <row r="6" spans="1:11" x14ac:dyDescent="0.15">
      <c r="A6" s="169" t="s">
        <v>55</v>
      </c>
      <c r="B6" s="34"/>
      <c r="C6" s="572"/>
      <c r="D6" s="572"/>
      <c r="E6" s="572"/>
      <c r="F6" s="574"/>
      <c r="G6" s="572"/>
      <c r="H6" s="575"/>
      <c r="I6" s="572"/>
      <c r="J6" s="572"/>
      <c r="K6" s="575"/>
    </row>
    <row r="7" spans="1:11" ht="14.25" thickBot="1" x14ac:dyDescent="0.2">
      <c r="A7" s="173" t="s">
        <v>182</v>
      </c>
      <c r="B7" s="36" t="s">
        <v>236</v>
      </c>
      <c r="C7" s="37" t="s">
        <v>73</v>
      </c>
      <c r="D7" s="38" t="s">
        <v>24</v>
      </c>
      <c r="E7" s="39" t="s">
        <v>37</v>
      </c>
      <c r="F7" s="37" t="s">
        <v>73</v>
      </c>
      <c r="G7" s="38" t="s">
        <v>24</v>
      </c>
      <c r="H7" s="39" t="s">
        <v>37</v>
      </c>
      <c r="I7" s="37" t="s">
        <v>73</v>
      </c>
      <c r="J7" s="38" t="s">
        <v>24</v>
      </c>
      <c r="K7" s="40" t="s">
        <v>37</v>
      </c>
    </row>
    <row r="8" spans="1:11" x14ac:dyDescent="0.15">
      <c r="A8" s="41"/>
      <c r="B8" s="42">
        <v>45</v>
      </c>
      <c r="C8" s="43">
        <v>25242</v>
      </c>
      <c r="D8" s="44">
        <v>280</v>
      </c>
      <c r="E8" s="43">
        <v>34642</v>
      </c>
      <c r="F8" s="45">
        <v>52968</v>
      </c>
      <c r="G8" s="44">
        <v>848</v>
      </c>
      <c r="H8" s="46">
        <v>74649</v>
      </c>
      <c r="I8" s="43">
        <v>718080</v>
      </c>
      <c r="J8" s="47">
        <v>16765</v>
      </c>
      <c r="K8" s="46">
        <v>981096</v>
      </c>
    </row>
    <row r="9" spans="1:11" x14ac:dyDescent="0.15">
      <c r="A9" s="567" t="s">
        <v>203</v>
      </c>
      <c r="B9" s="49">
        <v>46</v>
      </c>
      <c r="C9" s="50">
        <v>23380</v>
      </c>
      <c r="D9" s="51">
        <v>222</v>
      </c>
      <c r="E9" s="50">
        <v>31519</v>
      </c>
      <c r="F9" s="52">
        <v>49820</v>
      </c>
      <c r="G9" s="51">
        <v>692</v>
      </c>
      <c r="H9" s="53">
        <v>67881</v>
      </c>
      <c r="I9" s="50">
        <v>700290</v>
      </c>
      <c r="J9" s="54">
        <v>16278</v>
      </c>
      <c r="K9" s="53">
        <v>949689</v>
      </c>
    </row>
    <row r="10" spans="1:11" x14ac:dyDescent="0.15">
      <c r="A10" s="568"/>
      <c r="B10" s="56">
        <v>47</v>
      </c>
      <c r="C10" s="57">
        <v>20479</v>
      </c>
      <c r="D10" s="58">
        <v>228</v>
      </c>
      <c r="E10" s="57">
        <v>27240</v>
      </c>
      <c r="F10" s="59">
        <v>45725</v>
      </c>
      <c r="G10" s="58">
        <v>704</v>
      </c>
      <c r="H10" s="60">
        <v>62350</v>
      </c>
      <c r="I10" s="57">
        <v>659283</v>
      </c>
      <c r="J10" s="61">
        <v>15198</v>
      </c>
      <c r="K10" s="60">
        <v>889198</v>
      </c>
    </row>
    <row r="11" spans="1:11" x14ac:dyDescent="0.15">
      <c r="A11" s="568"/>
      <c r="B11" s="62">
        <v>48</v>
      </c>
      <c r="C11" s="63">
        <v>16669</v>
      </c>
      <c r="D11" s="64">
        <v>244</v>
      </c>
      <c r="E11" s="63">
        <v>21997</v>
      </c>
      <c r="F11" s="65">
        <v>38625</v>
      </c>
      <c r="G11" s="64">
        <v>677</v>
      </c>
      <c r="H11" s="66">
        <v>52337</v>
      </c>
      <c r="I11" s="63">
        <v>586713</v>
      </c>
      <c r="J11" s="67">
        <v>14574</v>
      </c>
      <c r="K11" s="66">
        <v>789948</v>
      </c>
    </row>
    <row r="12" spans="1:11" x14ac:dyDescent="0.15">
      <c r="A12" s="568"/>
      <c r="B12" s="56">
        <v>49</v>
      </c>
      <c r="C12" s="57">
        <v>13552</v>
      </c>
      <c r="D12" s="58">
        <v>147</v>
      </c>
      <c r="E12" s="57">
        <v>17500</v>
      </c>
      <c r="F12" s="59">
        <v>32389</v>
      </c>
      <c r="G12" s="58">
        <v>514</v>
      </c>
      <c r="H12" s="60">
        <v>42959</v>
      </c>
      <c r="I12" s="57">
        <v>490452</v>
      </c>
      <c r="J12" s="61">
        <v>11432</v>
      </c>
      <c r="K12" s="60">
        <v>651420</v>
      </c>
    </row>
    <row r="13" spans="1:11" x14ac:dyDescent="0.15">
      <c r="A13" s="569"/>
      <c r="B13" s="42">
        <v>50</v>
      </c>
      <c r="C13" s="43">
        <v>12726</v>
      </c>
      <c r="D13" s="44">
        <v>130</v>
      </c>
      <c r="E13" s="43">
        <v>16029</v>
      </c>
      <c r="F13" s="45">
        <v>31630</v>
      </c>
      <c r="G13" s="44">
        <v>433</v>
      </c>
      <c r="H13" s="46">
        <v>40989</v>
      </c>
      <c r="I13" s="43">
        <v>472938</v>
      </c>
      <c r="J13" s="47">
        <v>10792</v>
      </c>
      <c r="K13" s="46">
        <v>622467</v>
      </c>
    </row>
    <row r="14" spans="1:11" x14ac:dyDescent="0.15">
      <c r="A14" s="567" t="s">
        <v>108</v>
      </c>
      <c r="B14" s="49">
        <v>51</v>
      </c>
      <c r="C14" s="50">
        <v>12890</v>
      </c>
      <c r="D14" s="51">
        <v>110</v>
      </c>
      <c r="E14" s="50">
        <v>16367</v>
      </c>
      <c r="F14" s="52">
        <v>32311</v>
      </c>
      <c r="G14" s="51">
        <v>401</v>
      </c>
      <c r="H14" s="53">
        <v>41611</v>
      </c>
      <c r="I14" s="50">
        <v>471041</v>
      </c>
      <c r="J14" s="54">
        <v>9945</v>
      </c>
      <c r="K14" s="53">
        <v>613957</v>
      </c>
    </row>
    <row r="15" spans="1:11" x14ac:dyDescent="0.15">
      <c r="A15" s="568"/>
      <c r="B15" s="56">
        <v>52</v>
      </c>
      <c r="C15" s="57">
        <v>12852</v>
      </c>
      <c r="D15" s="58">
        <v>98</v>
      </c>
      <c r="E15" s="57">
        <v>16017</v>
      </c>
      <c r="F15" s="59">
        <v>33430</v>
      </c>
      <c r="G15" s="58">
        <v>361</v>
      </c>
      <c r="H15" s="60">
        <v>42577</v>
      </c>
      <c r="I15" s="57">
        <v>460649</v>
      </c>
      <c r="J15" s="61">
        <v>8945</v>
      </c>
      <c r="K15" s="60">
        <v>593211</v>
      </c>
    </row>
    <row r="16" spans="1:11" x14ac:dyDescent="0.15">
      <c r="A16" s="568"/>
      <c r="B16" s="62">
        <v>53</v>
      </c>
      <c r="C16" s="63">
        <v>12742</v>
      </c>
      <c r="D16" s="64">
        <v>118</v>
      </c>
      <c r="E16" s="63">
        <v>15854</v>
      </c>
      <c r="F16" s="65">
        <v>33645</v>
      </c>
      <c r="G16" s="64">
        <v>416</v>
      </c>
      <c r="H16" s="66">
        <v>42461</v>
      </c>
      <c r="I16" s="63">
        <v>464037</v>
      </c>
      <c r="J16" s="67">
        <v>8783</v>
      </c>
      <c r="K16" s="66">
        <v>594116</v>
      </c>
    </row>
    <row r="17" spans="1:11" x14ac:dyDescent="0.15">
      <c r="A17" s="568"/>
      <c r="B17" s="56">
        <v>54</v>
      </c>
      <c r="C17" s="57">
        <v>12648</v>
      </c>
      <c r="D17" s="58">
        <v>99</v>
      </c>
      <c r="E17" s="57">
        <v>15423</v>
      </c>
      <c r="F17" s="59">
        <v>33734</v>
      </c>
      <c r="G17" s="58">
        <v>321</v>
      </c>
      <c r="H17" s="60">
        <v>41947</v>
      </c>
      <c r="I17" s="57">
        <v>471573</v>
      </c>
      <c r="J17" s="61">
        <v>8466</v>
      </c>
      <c r="K17" s="60">
        <v>596282</v>
      </c>
    </row>
    <row r="18" spans="1:11" x14ac:dyDescent="0.15">
      <c r="A18" s="569"/>
      <c r="B18" s="42">
        <v>55</v>
      </c>
      <c r="C18" s="43">
        <v>13322</v>
      </c>
      <c r="D18" s="44">
        <v>104</v>
      </c>
      <c r="E18" s="43">
        <v>16163</v>
      </c>
      <c r="F18" s="45">
        <v>35734</v>
      </c>
      <c r="G18" s="44">
        <v>364</v>
      </c>
      <c r="H18" s="46">
        <v>44113</v>
      </c>
      <c r="I18" s="43">
        <v>476677</v>
      </c>
      <c r="J18" s="47">
        <v>8760</v>
      </c>
      <c r="K18" s="46">
        <v>598716</v>
      </c>
    </row>
    <row r="19" spans="1:11" x14ac:dyDescent="0.15">
      <c r="A19" s="567" t="s">
        <v>69</v>
      </c>
      <c r="B19" s="49">
        <v>56</v>
      </c>
      <c r="C19" s="50">
        <v>14262</v>
      </c>
      <c r="D19" s="51">
        <v>128</v>
      </c>
      <c r="E19" s="50">
        <v>17476</v>
      </c>
      <c r="F19" s="52">
        <v>37747</v>
      </c>
      <c r="G19" s="51">
        <v>383</v>
      </c>
      <c r="H19" s="53">
        <v>46569</v>
      </c>
      <c r="I19" s="50">
        <v>485578</v>
      </c>
      <c r="J19" s="54">
        <v>8719</v>
      </c>
      <c r="K19" s="53">
        <v>607346</v>
      </c>
    </row>
    <row r="20" spans="1:11" x14ac:dyDescent="0.15">
      <c r="A20" s="568"/>
      <c r="B20" s="56">
        <v>57</v>
      </c>
      <c r="C20" s="57">
        <v>15192</v>
      </c>
      <c r="D20" s="58">
        <v>131</v>
      </c>
      <c r="E20" s="57">
        <v>18448</v>
      </c>
      <c r="F20" s="59">
        <v>41862</v>
      </c>
      <c r="G20" s="58">
        <v>383</v>
      </c>
      <c r="H20" s="60">
        <v>51523</v>
      </c>
      <c r="I20" s="57">
        <v>502261</v>
      </c>
      <c r="J20" s="61">
        <v>9073</v>
      </c>
      <c r="K20" s="60">
        <v>626822</v>
      </c>
    </row>
    <row r="21" spans="1:11" x14ac:dyDescent="0.15">
      <c r="A21" s="568"/>
      <c r="B21" s="62">
        <v>58</v>
      </c>
      <c r="C21" s="63">
        <v>15719</v>
      </c>
      <c r="D21" s="64">
        <v>117</v>
      </c>
      <c r="E21" s="63">
        <v>19220</v>
      </c>
      <c r="F21" s="65">
        <v>44421</v>
      </c>
      <c r="G21" s="64">
        <v>412</v>
      </c>
      <c r="H21" s="66">
        <v>54354</v>
      </c>
      <c r="I21" s="63">
        <v>526362</v>
      </c>
      <c r="J21" s="67">
        <v>9520</v>
      </c>
      <c r="K21" s="66">
        <v>654822</v>
      </c>
    </row>
    <row r="22" spans="1:11" x14ac:dyDescent="0.15">
      <c r="A22" s="568"/>
      <c r="B22" s="56">
        <v>59</v>
      </c>
      <c r="C22" s="57">
        <v>15515</v>
      </c>
      <c r="D22" s="58">
        <v>138</v>
      </c>
      <c r="E22" s="57">
        <v>18863</v>
      </c>
      <c r="F22" s="59">
        <v>43517</v>
      </c>
      <c r="G22" s="58">
        <v>401</v>
      </c>
      <c r="H22" s="60">
        <v>54570</v>
      </c>
      <c r="I22" s="57">
        <v>518462</v>
      </c>
      <c r="J22" s="61">
        <v>9262</v>
      </c>
      <c r="K22" s="60">
        <v>644321</v>
      </c>
    </row>
    <row r="23" spans="1:11" x14ac:dyDescent="0.15">
      <c r="A23" s="569"/>
      <c r="B23" s="42">
        <v>60</v>
      </c>
      <c r="C23" s="43">
        <v>16284</v>
      </c>
      <c r="D23" s="44">
        <v>121</v>
      </c>
      <c r="E23" s="43">
        <v>19750</v>
      </c>
      <c r="F23" s="45">
        <v>47249</v>
      </c>
      <c r="G23" s="44">
        <v>391</v>
      </c>
      <c r="H23" s="46">
        <v>57673</v>
      </c>
      <c r="I23" s="43">
        <v>552788</v>
      </c>
      <c r="J23" s="47">
        <v>9261</v>
      </c>
      <c r="K23" s="46">
        <v>681346</v>
      </c>
    </row>
    <row r="24" spans="1:11" x14ac:dyDescent="0.15">
      <c r="A24" s="567" t="s">
        <v>248</v>
      </c>
      <c r="B24" s="49">
        <v>61</v>
      </c>
      <c r="C24" s="50">
        <v>16380</v>
      </c>
      <c r="D24" s="51">
        <v>134</v>
      </c>
      <c r="E24" s="50">
        <v>19970</v>
      </c>
      <c r="F24" s="52">
        <v>48940</v>
      </c>
      <c r="G24" s="51">
        <v>461</v>
      </c>
      <c r="H24" s="53">
        <v>60249</v>
      </c>
      <c r="I24" s="50">
        <v>579190</v>
      </c>
      <c r="J24" s="54">
        <v>9317</v>
      </c>
      <c r="K24" s="53">
        <v>712330</v>
      </c>
    </row>
    <row r="25" spans="1:11" x14ac:dyDescent="0.15">
      <c r="A25" s="568"/>
      <c r="B25" s="56">
        <v>62</v>
      </c>
      <c r="C25" s="57">
        <v>16386</v>
      </c>
      <c r="D25" s="58">
        <v>139</v>
      </c>
      <c r="E25" s="57">
        <v>20120</v>
      </c>
      <c r="F25" s="59">
        <v>50128</v>
      </c>
      <c r="G25" s="58">
        <v>434</v>
      </c>
      <c r="H25" s="60">
        <v>61620</v>
      </c>
      <c r="I25" s="57">
        <v>590723</v>
      </c>
      <c r="J25" s="61">
        <v>9347</v>
      </c>
      <c r="K25" s="60">
        <v>722179</v>
      </c>
    </row>
    <row r="26" spans="1:11" x14ac:dyDescent="0.15">
      <c r="A26" s="568"/>
      <c r="B26" s="62">
        <v>63</v>
      </c>
      <c r="C26" s="63">
        <v>16191</v>
      </c>
      <c r="D26" s="64">
        <v>145</v>
      </c>
      <c r="E26" s="63">
        <v>19807</v>
      </c>
      <c r="F26" s="65">
        <v>49461</v>
      </c>
      <c r="G26" s="64">
        <v>500</v>
      </c>
      <c r="H26" s="66">
        <v>61089</v>
      </c>
      <c r="I26" s="63">
        <v>614481</v>
      </c>
      <c r="J26" s="67">
        <v>10344</v>
      </c>
      <c r="K26" s="66">
        <v>752845</v>
      </c>
    </row>
    <row r="27" spans="1:11" x14ac:dyDescent="0.15">
      <c r="A27" s="568"/>
      <c r="B27" s="56" t="s">
        <v>147</v>
      </c>
      <c r="C27" s="57">
        <v>16518</v>
      </c>
      <c r="D27" s="58">
        <v>148</v>
      </c>
      <c r="E27" s="57">
        <v>20524</v>
      </c>
      <c r="F27" s="59">
        <v>50692</v>
      </c>
      <c r="G27" s="58">
        <v>519</v>
      </c>
      <c r="H27" s="68">
        <v>63572</v>
      </c>
      <c r="I27" s="57">
        <v>661363</v>
      </c>
      <c r="J27" s="61">
        <v>11086</v>
      </c>
      <c r="K27" s="60">
        <v>814832</v>
      </c>
    </row>
    <row r="28" spans="1:11" x14ac:dyDescent="0.15">
      <c r="A28" s="569"/>
      <c r="B28" s="42">
        <v>2</v>
      </c>
      <c r="C28" s="43">
        <v>14987</v>
      </c>
      <c r="D28" s="44">
        <v>164</v>
      </c>
      <c r="E28" s="43">
        <v>19896</v>
      </c>
      <c r="F28" s="45">
        <v>46156</v>
      </c>
      <c r="G28" s="44">
        <v>571</v>
      </c>
      <c r="H28" s="68">
        <v>58364</v>
      </c>
      <c r="I28" s="43">
        <v>643097</v>
      </c>
      <c r="J28" s="47">
        <v>11227</v>
      </c>
      <c r="K28" s="46">
        <v>790295</v>
      </c>
    </row>
    <row r="29" spans="1:11" x14ac:dyDescent="0.15">
      <c r="A29" s="567" t="s">
        <v>54</v>
      </c>
      <c r="B29" s="49">
        <v>3</v>
      </c>
      <c r="C29" s="50">
        <v>15690</v>
      </c>
      <c r="D29" s="51">
        <v>147</v>
      </c>
      <c r="E29" s="50">
        <v>19590</v>
      </c>
      <c r="F29" s="52">
        <v>49220</v>
      </c>
      <c r="G29" s="51">
        <v>550</v>
      </c>
      <c r="H29" s="69">
        <v>61504</v>
      </c>
      <c r="I29" s="50">
        <v>662392</v>
      </c>
      <c r="J29" s="54">
        <v>11109</v>
      </c>
      <c r="K29" s="53">
        <v>810245</v>
      </c>
    </row>
    <row r="30" spans="1:11" x14ac:dyDescent="0.15">
      <c r="A30" s="568"/>
      <c r="B30" s="56">
        <v>4</v>
      </c>
      <c r="C30" s="57">
        <v>16498</v>
      </c>
      <c r="D30" s="58">
        <v>157</v>
      </c>
      <c r="E30" s="57">
        <v>20232</v>
      </c>
      <c r="F30" s="59">
        <v>51606</v>
      </c>
      <c r="G30" s="58">
        <v>527</v>
      </c>
      <c r="H30" s="70">
        <v>63551</v>
      </c>
      <c r="I30" s="57">
        <v>695346</v>
      </c>
      <c r="J30" s="61">
        <v>11452</v>
      </c>
      <c r="K30" s="60">
        <v>844003</v>
      </c>
    </row>
    <row r="31" spans="1:11" x14ac:dyDescent="0.15">
      <c r="A31" s="568"/>
      <c r="B31" s="62">
        <v>5</v>
      </c>
      <c r="C31" s="63">
        <v>16340</v>
      </c>
      <c r="D31" s="64">
        <v>167</v>
      </c>
      <c r="E31" s="63">
        <v>19840</v>
      </c>
      <c r="F31" s="65">
        <v>52319</v>
      </c>
      <c r="G31" s="64">
        <v>481</v>
      </c>
      <c r="H31" s="68">
        <v>63857</v>
      </c>
      <c r="I31" s="63">
        <v>724678</v>
      </c>
      <c r="J31" s="67">
        <v>10945</v>
      </c>
      <c r="K31" s="66">
        <v>878633</v>
      </c>
    </row>
    <row r="32" spans="1:11" x14ac:dyDescent="0.15">
      <c r="A32" s="568"/>
      <c r="B32" s="56">
        <v>6</v>
      </c>
      <c r="C32" s="57">
        <v>16354</v>
      </c>
      <c r="D32" s="58">
        <v>156</v>
      </c>
      <c r="E32" s="57">
        <v>19748</v>
      </c>
      <c r="F32" s="59">
        <v>52450</v>
      </c>
      <c r="G32" s="58">
        <v>469</v>
      </c>
      <c r="H32" s="71">
        <v>63309</v>
      </c>
      <c r="I32" s="57">
        <v>729461</v>
      </c>
      <c r="J32" s="61">
        <v>10653</v>
      </c>
      <c r="K32" s="60">
        <v>881723</v>
      </c>
    </row>
    <row r="33" spans="1:11" x14ac:dyDescent="0.15">
      <c r="A33" s="569"/>
      <c r="B33" s="42">
        <v>7</v>
      </c>
      <c r="C33" s="43">
        <v>17087</v>
      </c>
      <c r="D33" s="44">
        <v>159</v>
      </c>
      <c r="E33" s="43">
        <v>20621</v>
      </c>
      <c r="F33" s="45">
        <v>55369</v>
      </c>
      <c r="G33" s="44">
        <v>474</v>
      </c>
      <c r="H33" s="68">
        <v>65926</v>
      </c>
      <c r="I33" s="43">
        <v>761794</v>
      </c>
      <c r="J33" s="47">
        <v>10684</v>
      </c>
      <c r="K33" s="46">
        <v>922677</v>
      </c>
    </row>
    <row r="34" spans="1:11" x14ac:dyDescent="0.15">
      <c r="A34" s="567" t="s">
        <v>199</v>
      </c>
      <c r="B34" s="49">
        <v>8</v>
      </c>
      <c r="C34" s="50">
        <v>17366</v>
      </c>
      <c r="D34" s="51">
        <v>122</v>
      </c>
      <c r="E34" s="50">
        <v>20667</v>
      </c>
      <c r="F34" s="52">
        <v>56109</v>
      </c>
      <c r="G34" s="51">
        <v>435</v>
      </c>
      <c r="H34" s="69">
        <v>65965</v>
      </c>
      <c r="I34" s="50">
        <v>771085</v>
      </c>
      <c r="J34" s="54">
        <v>9943</v>
      </c>
      <c r="K34" s="53">
        <v>942204</v>
      </c>
    </row>
    <row r="35" spans="1:11" x14ac:dyDescent="0.15">
      <c r="A35" s="568"/>
      <c r="B35" s="56">
        <v>9</v>
      </c>
      <c r="C35" s="57">
        <v>16806</v>
      </c>
      <c r="D35" s="58">
        <v>132</v>
      </c>
      <c r="E35" s="57">
        <v>19764</v>
      </c>
      <c r="F35" s="59">
        <v>55209</v>
      </c>
      <c r="G35" s="58">
        <v>384</v>
      </c>
      <c r="H35" s="70">
        <v>64476</v>
      </c>
      <c r="I35" s="57">
        <v>780401</v>
      </c>
      <c r="J35" s="61">
        <v>9642</v>
      </c>
      <c r="K35" s="60">
        <v>958925</v>
      </c>
    </row>
    <row r="36" spans="1:11" x14ac:dyDescent="0.15">
      <c r="A36" s="568"/>
      <c r="B36" s="62">
        <v>10</v>
      </c>
      <c r="C36" s="63">
        <v>17237</v>
      </c>
      <c r="D36" s="64">
        <v>129</v>
      </c>
      <c r="E36" s="63">
        <v>20434</v>
      </c>
      <c r="F36" s="65">
        <v>56478</v>
      </c>
      <c r="G36" s="64">
        <v>394</v>
      </c>
      <c r="H36" s="68">
        <v>67551</v>
      </c>
      <c r="I36" s="63">
        <v>803882</v>
      </c>
      <c r="J36" s="67">
        <v>9214</v>
      </c>
      <c r="K36" s="66">
        <v>990676</v>
      </c>
    </row>
    <row r="37" spans="1:11" x14ac:dyDescent="0.15">
      <c r="A37" s="568"/>
      <c r="B37" s="56">
        <v>11</v>
      </c>
      <c r="C37" s="57">
        <v>17775</v>
      </c>
      <c r="D37" s="58">
        <v>117</v>
      </c>
      <c r="E37" s="57">
        <v>21146</v>
      </c>
      <c r="F37" s="59">
        <v>58506</v>
      </c>
      <c r="G37" s="58">
        <v>367</v>
      </c>
      <c r="H37" s="72">
        <v>70015</v>
      </c>
      <c r="I37" s="57">
        <v>850371</v>
      </c>
      <c r="J37" s="61">
        <v>9012</v>
      </c>
      <c r="K37" s="60">
        <v>1050399</v>
      </c>
    </row>
    <row r="38" spans="1:11" x14ac:dyDescent="0.15">
      <c r="A38" s="569"/>
      <c r="B38" s="42">
        <v>12</v>
      </c>
      <c r="C38" s="43">
        <v>19490</v>
      </c>
      <c r="D38" s="44">
        <v>100</v>
      </c>
      <c r="E38" s="43">
        <v>23167</v>
      </c>
      <c r="F38" s="45">
        <v>63273</v>
      </c>
      <c r="G38" s="44">
        <v>369</v>
      </c>
      <c r="H38" s="68">
        <v>75768</v>
      </c>
      <c r="I38" s="43">
        <v>931950</v>
      </c>
      <c r="J38" s="47">
        <v>9073</v>
      </c>
      <c r="K38" s="46">
        <v>1155707</v>
      </c>
    </row>
    <row r="39" spans="1:11" x14ac:dyDescent="0.15">
      <c r="A39" s="567" t="s">
        <v>59</v>
      </c>
      <c r="B39" s="49">
        <v>13</v>
      </c>
      <c r="C39" s="50">
        <v>19686</v>
      </c>
      <c r="D39" s="51">
        <v>101</v>
      </c>
      <c r="E39" s="50">
        <v>23349</v>
      </c>
      <c r="F39" s="52">
        <v>63671</v>
      </c>
      <c r="G39" s="51">
        <v>327</v>
      </c>
      <c r="H39" s="69">
        <v>76594</v>
      </c>
      <c r="I39" s="50">
        <v>947253</v>
      </c>
      <c r="J39" s="54">
        <v>8757</v>
      </c>
      <c r="K39" s="53">
        <v>1181039</v>
      </c>
    </row>
    <row r="40" spans="1:11" x14ac:dyDescent="0.15">
      <c r="A40" s="568"/>
      <c r="B40" s="56">
        <v>14</v>
      </c>
      <c r="C40" s="57">
        <v>19690</v>
      </c>
      <c r="D40" s="58">
        <v>107</v>
      </c>
      <c r="E40" s="57">
        <v>23424</v>
      </c>
      <c r="F40" s="59">
        <v>63803</v>
      </c>
      <c r="G40" s="58">
        <v>323</v>
      </c>
      <c r="H40" s="70">
        <v>77299</v>
      </c>
      <c r="I40" s="57">
        <v>936950</v>
      </c>
      <c r="J40" s="61">
        <v>8396</v>
      </c>
      <c r="K40" s="60">
        <v>1168029</v>
      </c>
    </row>
    <row r="41" spans="1:11" x14ac:dyDescent="0.15">
      <c r="A41" s="568"/>
      <c r="B41" s="62">
        <v>15</v>
      </c>
      <c r="C41" s="63">
        <v>20320</v>
      </c>
      <c r="D41" s="64">
        <v>86</v>
      </c>
      <c r="E41" s="63">
        <v>24161</v>
      </c>
      <c r="F41" s="65">
        <v>66392</v>
      </c>
      <c r="G41" s="64">
        <v>291</v>
      </c>
      <c r="H41" s="68">
        <v>80174</v>
      </c>
      <c r="I41" s="63">
        <v>948281</v>
      </c>
      <c r="J41" s="67">
        <v>7768</v>
      </c>
      <c r="K41" s="66">
        <v>1181681</v>
      </c>
    </row>
    <row r="42" spans="1:11" x14ac:dyDescent="0.15">
      <c r="A42" s="568"/>
      <c r="B42" s="49">
        <v>16</v>
      </c>
      <c r="C42" s="50">
        <v>20488</v>
      </c>
      <c r="D42" s="51">
        <v>91</v>
      </c>
      <c r="E42" s="50">
        <v>24183</v>
      </c>
      <c r="F42" s="52">
        <v>67593</v>
      </c>
      <c r="G42" s="51">
        <v>313</v>
      </c>
      <c r="H42" s="73">
        <v>81392</v>
      </c>
      <c r="I42" s="50">
        <v>952709</v>
      </c>
      <c r="J42" s="54">
        <v>7425</v>
      </c>
      <c r="K42" s="53">
        <v>1183616</v>
      </c>
    </row>
    <row r="43" spans="1:11" x14ac:dyDescent="0.15">
      <c r="A43" s="547"/>
      <c r="B43" s="74">
        <v>17</v>
      </c>
      <c r="C43" s="75">
        <v>19882</v>
      </c>
      <c r="D43" s="51">
        <v>80</v>
      </c>
      <c r="E43" s="76">
        <v>23353</v>
      </c>
      <c r="F43" s="77">
        <v>66105</v>
      </c>
      <c r="G43" s="78">
        <v>268</v>
      </c>
      <c r="H43" s="73">
        <v>79502</v>
      </c>
      <c r="I43" s="79">
        <v>934339</v>
      </c>
      <c r="J43" s="54">
        <v>6927</v>
      </c>
      <c r="K43" s="80">
        <v>1157115</v>
      </c>
    </row>
    <row r="44" spans="1:11" s="3" customFormat="1" x14ac:dyDescent="0.15">
      <c r="A44" s="567" t="s">
        <v>175</v>
      </c>
      <c r="B44" s="74">
        <v>18</v>
      </c>
      <c r="C44" s="75">
        <v>18753</v>
      </c>
      <c r="D44" s="81">
        <v>75</v>
      </c>
      <c r="E44" s="80">
        <v>22100</v>
      </c>
      <c r="F44" s="82">
        <v>62834</v>
      </c>
      <c r="G44" s="83">
        <v>255</v>
      </c>
      <c r="H44" s="73">
        <v>75485</v>
      </c>
      <c r="I44" s="75">
        <v>887257</v>
      </c>
      <c r="J44" s="50">
        <v>6403</v>
      </c>
      <c r="K44" s="80">
        <v>1098566</v>
      </c>
    </row>
    <row r="45" spans="1:11" s="3" customFormat="1" x14ac:dyDescent="0.15">
      <c r="A45" s="568"/>
      <c r="B45" s="84">
        <v>19</v>
      </c>
      <c r="C45" s="85">
        <v>17402</v>
      </c>
      <c r="D45" s="86">
        <v>73</v>
      </c>
      <c r="E45" s="72">
        <v>20318</v>
      </c>
      <c r="F45" s="87">
        <v>59062</v>
      </c>
      <c r="G45" s="86">
        <v>248</v>
      </c>
      <c r="H45" s="88">
        <v>70916</v>
      </c>
      <c r="I45" s="85">
        <v>832691</v>
      </c>
      <c r="J45" s="89">
        <v>5782</v>
      </c>
      <c r="K45" s="72">
        <v>1034653</v>
      </c>
    </row>
    <row r="46" spans="1:11" s="3" customFormat="1" x14ac:dyDescent="0.15">
      <c r="A46" s="568"/>
      <c r="B46" s="90">
        <v>20</v>
      </c>
      <c r="C46" s="91">
        <v>15990</v>
      </c>
      <c r="D46" s="92">
        <v>61</v>
      </c>
      <c r="E46" s="93">
        <v>18741</v>
      </c>
      <c r="F46" s="94">
        <v>53769</v>
      </c>
      <c r="G46" s="92">
        <v>198</v>
      </c>
      <c r="H46" s="95">
        <v>64290</v>
      </c>
      <c r="I46" s="91">
        <v>766382</v>
      </c>
      <c r="J46" s="96">
        <v>5197</v>
      </c>
      <c r="K46" s="93">
        <v>945703</v>
      </c>
    </row>
    <row r="47" spans="1:11" s="3" customFormat="1" x14ac:dyDescent="0.15">
      <c r="A47" s="568"/>
      <c r="B47" s="97">
        <v>21</v>
      </c>
      <c r="C47" s="98">
        <v>15575</v>
      </c>
      <c r="D47" s="99">
        <v>64</v>
      </c>
      <c r="E47" s="100">
        <v>18280</v>
      </c>
      <c r="F47" s="101">
        <v>51696</v>
      </c>
      <c r="G47" s="99">
        <v>205</v>
      </c>
      <c r="H47" s="102">
        <v>61842</v>
      </c>
      <c r="I47" s="98">
        <v>737628</v>
      </c>
      <c r="J47" s="103">
        <v>4968</v>
      </c>
      <c r="K47" s="100">
        <v>911215</v>
      </c>
    </row>
    <row r="48" spans="1:11" s="3" customFormat="1" x14ac:dyDescent="0.15">
      <c r="A48" s="568"/>
      <c r="B48" s="84">
        <v>22</v>
      </c>
      <c r="C48" s="85">
        <v>15403</v>
      </c>
      <c r="D48" s="86">
        <v>62</v>
      </c>
      <c r="E48" s="72">
        <v>18024</v>
      </c>
      <c r="F48" s="87">
        <v>51292</v>
      </c>
      <c r="G48" s="86">
        <v>201</v>
      </c>
      <c r="H48" s="88">
        <v>61469</v>
      </c>
      <c r="I48" s="85">
        <v>725903</v>
      </c>
      <c r="J48" s="89">
        <v>4922</v>
      </c>
      <c r="K48" s="72">
        <v>896294</v>
      </c>
    </row>
    <row r="49" spans="1:11" s="3" customFormat="1" x14ac:dyDescent="0.15">
      <c r="A49" s="570" t="s">
        <v>125</v>
      </c>
      <c r="B49" s="84">
        <v>23</v>
      </c>
      <c r="C49" s="104">
        <v>14747</v>
      </c>
      <c r="D49" s="89">
        <v>65</v>
      </c>
      <c r="E49" s="68">
        <v>17282</v>
      </c>
      <c r="F49" s="104">
        <v>49644</v>
      </c>
      <c r="G49" s="86">
        <v>197</v>
      </c>
      <c r="H49" s="105">
        <v>59489</v>
      </c>
      <c r="I49" s="106">
        <v>692056</v>
      </c>
      <c r="J49" s="86">
        <v>4663</v>
      </c>
      <c r="K49" s="105">
        <v>854610</v>
      </c>
    </row>
    <row r="50" spans="1:11" s="3" customFormat="1" x14ac:dyDescent="0.15">
      <c r="A50" s="547"/>
      <c r="B50" s="84">
        <v>24</v>
      </c>
      <c r="C50" s="104">
        <v>14500</v>
      </c>
      <c r="D50" s="89">
        <v>51</v>
      </c>
      <c r="E50" s="68">
        <v>16900</v>
      </c>
      <c r="F50" s="104">
        <v>48212</v>
      </c>
      <c r="G50" s="86">
        <v>182</v>
      </c>
      <c r="H50" s="105">
        <v>57804</v>
      </c>
      <c r="I50" s="106">
        <v>665138</v>
      </c>
      <c r="J50" s="86">
        <v>4411</v>
      </c>
      <c r="K50" s="105">
        <v>825396</v>
      </c>
    </row>
    <row r="51" spans="1:11" s="3" customFormat="1" x14ac:dyDescent="0.15">
      <c r="A51" s="547"/>
      <c r="B51" s="84">
        <v>25</v>
      </c>
      <c r="C51" s="104">
        <v>13973</v>
      </c>
      <c r="D51" s="89">
        <v>49</v>
      </c>
      <c r="E51" s="68">
        <v>16418</v>
      </c>
      <c r="F51" s="104">
        <v>46110</v>
      </c>
      <c r="G51" s="86">
        <v>179</v>
      </c>
      <c r="H51" s="105">
        <v>55363</v>
      </c>
      <c r="I51" s="106">
        <v>629021</v>
      </c>
      <c r="J51" s="86">
        <v>4373</v>
      </c>
      <c r="K51" s="105">
        <v>781494</v>
      </c>
    </row>
    <row r="52" spans="1:11" s="3" customFormat="1" x14ac:dyDescent="0.15">
      <c r="A52" s="547"/>
      <c r="B52" s="97">
        <v>26</v>
      </c>
      <c r="C52" s="402">
        <v>12946</v>
      </c>
      <c r="D52" s="103">
        <v>51</v>
      </c>
      <c r="E52" s="71">
        <v>15221</v>
      </c>
      <c r="F52" s="402">
        <v>42729</v>
      </c>
      <c r="G52" s="99">
        <v>143</v>
      </c>
      <c r="H52" s="403">
        <v>51501</v>
      </c>
      <c r="I52" s="404">
        <v>573842</v>
      </c>
      <c r="J52" s="99">
        <v>4113</v>
      </c>
      <c r="K52" s="403">
        <v>711374</v>
      </c>
    </row>
    <row r="53" spans="1:11" s="3" customFormat="1" x14ac:dyDescent="0.15">
      <c r="A53" s="547"/>
      <c r="B53" s="84">
        <v>27</v>
      </c>
      <c r="C53" s="104">
        <v>12769</v>
      </c>
      <c r="D53" s="89">
        <v>51</v>
      </c>
      <c r="E53" s="68">
        <v>14867</v>
      </c>
      <c r="F53" s="104">
        <v>40607</v>
      </c>
      <c r="G53" s="86">
        <v>196</v>
      </c>
      <c r="H53" s="105">
        <v>48481</v>
      </c>
      <c r="I53" s="106">
        <v>536899</v>
      </c>
      <c r="J53" s="86">
        <v>4117</v>
      </c>
      <c r="K53" s="105">
        <v>666023</v>
      </c>
    </row>
    <row r="54" spans="1:11" s="3" customFormat="1" x14ac:dyDescent="0.15">
      <c r="A54" s="570" t="s">
        <v>273</v>
      </c>
      <c r="B54" s="429">
        <v>28</v>
      </c>
      <c r="C54" s="430">
        <v>12173</v>
      </c>
      <c r="D54" s="431">
        <v>49</v>
      </c>
      <c r="E54" s="70">
        <v>14231</v>
      </c>
      <c r="F54" s="430">
        <v>37920</v>
      </c>
      <c r="G54" s="78">
        <v>161</v>
      </c>
      <c r="H54" s="432">
        <v>45460</v>
      </c>
      <c r="I54" s="433">
        <v>499201</v>
      </c>
      <c r="J54" s="78">
        <v>3904</v>
      </c>
      <c r="K54" s="432">
        <v>618853</v>
      </c>
    </row>
    <row r="55" spans="1:11" s="3" customFormat="1" x14ac:dyDescent="0.15">
      <c r="A55" s="547"/>
      <c r="B55" s="429">
        <v>29</v>
      </c>
      <c r="C55" s="430">
        <v>11332</v>
      </c>
      <c r="D55" s="431">
        <v>44</v>
      </c>
      <c r="E55" s="70">
        <v>13398</v>
      </c>
      <c r="F55" s="430">
        <v>35997</v>
      </c>
      <c r="G55" s="78">
        <v>150</v>
      </c>
      <c r="H55" s="432">
        <v>43585</v>
      </c>
      <c r="I55" s="433">
        <v>472165</v>
      </c>
      <c r="J55" s="78">
        <v>3694</v>
      </c>
      <c r="K55" s="432">
        <v>580850</v>
      </c>
    </row>
    <row r="56" spans="1:11" ht="14.25" thickBot="1" x14ac:dyDescent="0.2">
      <c r="A56" s="548"/>
      <c r="B56" s="405">
        <v>30</v>
      </c>
      <c r="C56" s="458">
        <v>10885</v>
      </c>
      <c r="D56" s="459">
        <v>44</v>
      </c>
      <c r="E56" s="460">
        <v>12723</v>
      </c>
      <c r="F56" s="458">
        <v>34382</v>
      </c>
      <c r="G56" s="461">
        <v>147</v>
      </c>
      <c r="H56" s="462">
        <v>40933</v>
      </c>
      <c r="I56" s="463">
        <v>430601</v>
      </c>
      <c r="J56" s="461">
        <v>3532</v>
      </c>
      <c r="K56" s="462">
        <v>525846</v>
      </c>
    </row>
    <row r="57" spans="1:11" x14ac:dyDescent="0.15">
      <c r="A57" s="3" t="s">
        <v>154</v>
      </c>
    </row>
  </sheetData>
  <mergeCells count="14">
    <mergeCell ref="H4:K4"/>
    <mergeCell ref="C5:E6"/>
    <mergeCell ref="F5:H6"/>
    <mergeCell ref="I5:K6"/>
    <mergeCell ref="A9:A13"/>
    <mergeCell ref="A44:A48"/>
    <mergeCell ref="A14:A18"/>
    <mergeCell ref="A19:A23"/>
    <mergeCell ref="A24:A28"/>
    <mergeCell ref="A54:A56"/>
    <mergeCell ref="A29:A33"/>
    <mergeCell ref="A34:A38"/>
    <mergeCell ref="A39:A43"/>
    <mergeCell ref="A49:A53"/>
  </mergeCells>
  <phoneticPr fontId="37"/>
  <printOptions horizontalCentered="1" verticalCentered="1"/>
  <pageMargins left="0.59055118110236227" right="0.59055118110236227" top="0.78740157480314965" bottom="0.78740157480314965" header="0.51181102362204722" footer="0.51181102362204722"/>
  <pageSetup paperSize="9" firstPageNumber="0" orientation="portrait" r:id="rId1"/>
  <headerFooter alignWithMargins="0">
    <oddFooter xml:space="preserve">&amp;C-2-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view="pageBreakPreview" zoomScaleNormal="100" zoomScaleSheetLayoutView="100" workbookViewId="0">
      <selection activeCell="N15" sqref="N15"/>
    </sheetView>
  </sheetViews>
  <sheetFormatPr defaultRowHeight="13.5" x14ac:dyDescent="0.15"/>
  <cols>
    <col min="1" max="1" width="11.125" customWidth="1"/>
    <col min="7" max="7" width="3.625" customWidth="1"/>
    <col min="8" max="8" width="11.625" bestFit="1" customWidth="1"/>
    <col min="9" max="9" width="3.625" customWidth="1"/>
    <col min="10" max="10" width="10.5" bestFit="1" customWidth="1"/>
  </cols>
  <sheetData>
    <row r="1" spans="1:11" x14ac:dyDescent="0.15">
      <c r="A1" s="3" t="s">
        <v>47</v>
      </c>
      <c r="B1" s="3"/>
      <c r="C1" s="3"/>
      <c r="D1" s="3"/>
      <c r="E1" s="3"/>
      <c r="F1" s="559" t="s">
        <v>179</v>
      </c>
      <c r="G1" s="559"/>
      <c r="H1" s="559"/>
      <c r="I1" s="559"/>
      <c r="J1" s="559"/>
    </row>
    <row r="2" spans="1:11" x14ac:dyDescent="0.15">
      <c r="A2" s="107"/>
      <c r="B2" s="16" t="s">
        <v>236</v>
      </c>
      <c r="C2" s="588" t="s">
        <v>278</v>
      </c>
      <c r="D2" s="589"/>
      <c r="E2" s="590" t="s">
        <v>211</v>
      </c>
      <c r="F2" s="589"/>
      <c r="G2" s="591" t="s">
        <v>56</v>
      </c>
      <c r="H2" s="592"/>
      <c r="I2" s="592"/>
      <c r="J2" s="593"/>
    </row>
    <row r="3" spans="1:11" x14ac:dyDescent="0.15">
      <c r="A3" s="7" t="s">
        <v>26</v>
      </c>
      <c r="B3" s="9"/>
      <c r="C3" s="594" t="s">
        <v>279</v>
      </c>
      <c r="D3" s="595"/>
      <c r="E3" s="596" t="s">
        <v>45</v>
      </c>
      <c r="F3" s="595"/>
      <c r="G3" s="597" t="s">
        <v>28</v>
      </c>
      <c r="H3" s="598"/>
      <c r="I3" s="597" t="s">
        <v>13</v>
      </c>
      <c r="J3" s="599"/>
    </row>
    <row r="4" spans="1:11" ht="27" customHeight="1" x14ac:dyDescent="0.15">
      <c r="A4" s="5"/>
      <c r="B4" s="108" t="s">
        <v>245</v>
      </c>
      <c r="C4" s="584">
        <f>'2ページ（年次推移）'!C56</f>
        <v>10885</v>
      </c>
      <c r="D4" s="585"/>
      <c r="E4" s="586">
        <v>25242</v>
      </c>
      <c r="F4" s="587"/>
      <c r="G4" s="109"/>
      <c r="H4" s="110">
        <f t="shared" ref="H4:H12" si="0">C4-E4</f>
        <v>-14357</v>
      </c>
      <c r="I4" s="109"/>
      <c r="J4" s="20">
        <f t="shared" ref="J4:J12" si="1">(C4/E4-1)*100</f>
        <v>-56.877426511369933</v>
      </c>
    </row>
    <row r="5" spans="1:11" ht="24.75" customHeight="1" x14ac:dyDescent="0.15">
      <c r="A5" s="111" t="s">
        <v>42</v>
      </c>
      <c r="B5" s="112" t="s">
        <v>19</v>
      </c>
      <c r="C5" s="576">
        <f>'2ページ（年次推移）'!D56</f>
        <v>44</v>
      </c>
      <c r="D5" s="577"/>
      <c r="E5" s="578">
        <v>280</v>
      </c>
      <c r="F5" s="579"/>
      <c r="G5" s="113"/>
      <c r="H5" s="114">
        <f t="shared" si="0"/>
        <v>-236</v>
      </c>
      <c r="I5" s="113"/>
      <c r="J5" s="27">
        <f t="shared" si="1"/>
        <v>-84.285714285714292</v>
      </c>
    </row>
    <row r="6" spans="1:11" ht="27" customHeight="1" x14ac:dyDescent="0.15">
      <c r="A6" s="115"/>
      <c r="B6" s="116" t="s">
        <v>121</v>
      </c>
      <c r="C6" s="576">
        <f>'2ページ（年次推移）'!E56</f>
        <v>12723</v>
      </c>
      <c r="D6" s="577"/>
      <c r="E6" s="578">
        <v>34642</v>
      </c>
      <c r="F6" s="579"/>
      <c r="G6" s="113"/>
      <c r="H6" s="114">
        <f t="shared" si="0"/>
        <v>-21919</v>
      </c>
      <c r="I6" s="113"/>
      <c r="J6" s="27">
        <f t="shared" si="1"/>
        <v>-63.27290572137867</v>
      </c>
    </row>
    <row r="7" spans="1:11" ht="27.75" customHeight="1" x14ac:dyDescent="0.15">
      <c r="A7" s="117"/>
      <c r="B7" s="118" t="s">
        <v>245</v>
      </c>
      <c r="C7" s="576">
        <f>'2ページ（年次推移）'!F56</f>
        <v>34382</v>
      </c>
      <c r="D7" s="577"/>
      <c r="E7" s="578">
        <v>52968</v>
      </c>
      <c r="F7" s="579"/>
      <c r="G7" s="113"/>
      <c r="H7" s="114">
        <f t="shared" si="0"/>
        <v>-18586</v>
      </c>
      <c r="I7" s="113"/>
      <c r="J7" s="27">
        <f t="shared" si="1"/>
        <v>-35.089110406283041</v>
      </c>
    </row>
    <row r="8" spans="1:11" ht="26.25" customHeight="1" x14ac:dyDescent="0.15">
      <c r="A8" s="119" t="s">
        <v>82</v>
      </c>
      <c r="B8" s="112" t="s">
        <v>22</v>
      </c>
      <c r="C8" s="576">
        <f>'2ページ（年次推移）'!G56</f>
        <v>147</v>
      </c>
      <c r="D8" s="577"/>
      <c r="E8" s="578">
        <v>848</v>
      </c>
      <c r="F8" s="579"/>
      <c r="G8" s="113"/>
      <c r="H8" s="114">
        <f t="shared" si="0"/>
        <v>-701</v>
      </c>
      <c r="I8" s="113"/>
      <c r="J8" s="27">
        <f t="shared" si="1"/>
        <v>-82.665094339622641</v>
      </c>
    </row>
    <row r="9" spans="1:11" ht="26.25" customHeight="1" x14ac:dyDescent="0.15">
      <c r="A9" s="119"/>
      <c r="B9" s="116" t="s">
        <v>218</v>
      </c>
      <c r="C9" s="576">
        <f>'2ページ（年次推移）'!H56</f>
        <v>40933</v>
      </c>
      <c r="D9" s="577"/>
      <c r="E9" s="578">
        <v>74649</v>
      </c>
      <c r="F9" s="579"/>
      <c r="G9" s="113"/>
      <c r="H9" s="114">
        <f t="shared" si="0"/>
        <v>-33716</v>
      </c>
      <c r="I9" s="113"/>
      <c r="J9" s="27">
        <f t="shared" si="1"/>
        <v>-45.166043751423324</v>
      </c>
    </row>
    <row r="10" spans="1:11" ht="27" customHeight="1" x14ac:dyDescent="0.15">
      <c r="A10" s="48"/>
      <c r="B10" s="118" t="s">
        <v>245</v>
      </c>
      <c r="C10" s="576">
        <f>'2ページ（年次推移）'!I56</f>
        <v>430601</v>
      </c>
      <c r="D10" s="577"/>
      <c r="E10" s="578">
        <v>718080</v>
      </c>
      <c r="F10" s="579"/>
      <c r="G10" s="113"/>
      <c r="H10" s="114">
        <f t="shared" si="0"/>
        <v>-287479</v>
      </c>
      <c r="I10" s="113"/>
      <c r="J10" s="27">
        <f t="shared" si="1"/>
        <v>-40.034397281639933</v>
      </c>
    </row>
    <row r="11" spans="1:11" ht="25.5" customHeight="1" x14ac:dyDescent="0.15">
      <c r="A11" s="55" t="s">
        <v>198</v>
      </c>
      <c r="B11" s="112" t="s">
        <v>22</v>
      </c>
      <c r="C11" s="576">
        <f>'2ページ（年次推移）'!J56</f>
        <v>3532</v>
      </c>
      <c r="D11" s="577"/>
      <c r="E11" s="578">
        <v>16765</v>
      </c>
      <c r="F11" s="579"/>
      <c r="G11" s="113"/>
      <c r="H11" s="114">
        <f t="shared" si="0"/>
        <v>-13233</v>
      </c>
      <c r="I11" s="113"/>
      <c r="J11" s="27">
        <f t="shared" si="1"/>
        <v>-78.932299433343275</v>
      </c>
    </row>
    <row r="12" spans="1:11" ht="27.75" customHeight="1" x14ac:dyDescent="0.15">
      <c r="A12" s="35"/>
      <c r="B12" s="120" t="s">
        <v>218</v>
      </c>
      <c r="C12" s="580">
        <f>'2ページ（年次推移）'!K56</f>
        <v>525846</v>
      </c>
      <c r="D12" s="581"/>
      <c r="E12" s="582">
        <v>981096</v>
      </c>
      <c r="F12" s="583"/>
      <c r="G12" s="121"/>
      <c r="H12" s="122">
        <f t="shared" si="0"/>
        <v>-455250</v>
      </c>
      <c r="I12" s="121"/>
      <c r="J12" s="123">
        <f t="shared" si="1"/>
        <v>-46.402186941950632</v>
      </c>
    </row>
    <row r="13" spans="1:1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1" x14ac:dyDescent="0.1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</row>
    <row r="17" spans="1:11" x14ac:dyDescent="0.1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</row>
    <row r="18" spans="1:11" x14ac:dyDescent="0.1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</row>
    <row r="19" spans="1:11" x14ac:dyDescent="0.1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</row>
    <row r="20" spans="1:11" x14ac:dyDescent="0.15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</row>
    <row r="21" spans="1:11" x14ac:dyDescent="0.15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</row>
    <row r="22" spans="1:11" x14ac:dyDescent="0.15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</row>
    <row r="23" spans="1:11" x14ac:dyDescent="0.15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</row>
    <row r="24" spans="1:11" x14ac:dyDescent="0.15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</row>
    <row r="25" spans="1:11" x14ac:dyDescent="0.15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</row>
    <row r="26" spans="1:11" x14ac:dyDescent="0.15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</row>
    <row r="27" spans="1:11" x14ac:dyDescent="0.15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</row>
    <row r="28" spans="1:11" x14ac:dyDescent="0.15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</row>
    <row r="29" spans="1:11" x14ac:dyDescent="0.15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</row>
    <row r="30" spans="1:11" x14ac:dyDescent="0.15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</row>
    <row r="31" spans="1:11" x14ac:dyDescent="0.15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</row>
    <row r="32" spans="1:11" x14ac:dyDescent="0.15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</row>
    <row r="33" spans="1:11" x14ac:dyDescent="0.15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</row>
    <row r="34" spans="1:11" x14ac:dyDescent="0.15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</row>
    <row r="35" spans="1:11" x14ac:dyDescent="0.15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</row>
    <row r="36" spans="1:11" x14ac:dyDescent="0.15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</row>
    <row r="37" spans="1:11" x14ac:dyDescent="0.15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</row>
  </sheetData>
  <mergeCells count="26">
    <mergeCell ref="F1:J1"/>
    <mergeCell ref="C2:D2"/>
    <mergeCell ref="E2:F2"/>
    <mergeCell ref="G2:J2"/>
    <mergeCell ref="C3:D3"/>
    <mergeCell ref="E3:F3"/>
    <mergeCell ref="G3:H3"/>
    <mergeCell ref="I3:J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</mergeCells>
  <phoneticPr fontId="37"/>
  <pageMargins left="0.98425196850393704" right="0.39370078740157483" top="0.98425196850393704" bottom="0.98425196850393704" header="0.51181102362204722" footer="0.51181102362204722"/>
  <pageSetup paperSize="9" firstPageNumber="0" orientation="portrait" r:id="rId1"/>
  <headerFooter alignWithMargins="0">
    <oddFooter xml:space="preserve">&amp;C-3-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56"/>
  <sheetViews>
    <sheetView tabSelected="1" view="pageBreakPreview" topLeftCell="A28" zoomScale="115" zoomScaleNormal="100" zoomScaleSheetLayoutView="115" workbookViewId="0">
      <selection activeCell="N15" sqref="N15"/>
    </sheetView>
  </sheetViews>
  <sheetFormatPr defaultRowHeight="13.5" x14ac:dyDescent="0.15"/>
  <cols>
    <col min="1" max="1" width="7.5" customWidth="1"/>
    <col min="2" max="2" width="10.25" customWidth="1"/>
    <col min="3" max="4" width="7.25" customWidth="1"/>
    <col min="5" max="5" width="8" customWidth="1"/>
    <col min="6" max="6" width="10.5" bestFit="1" customWidth="1"/>
    <col min="7" max="7" width="7.25" customWidth="1"/>
    <col min="8" max="8" width="6" customWidth="1"/>
    <col min="9" max="11" width="7.5" customWidth="1"/>
    <col min="12" max="12" width="6.25" customWidth="1"/>
    <col min="13" max="13" width="7.5" customWidth="1"/>
    <col min="14" max="14" width="4.375" customWidth="1"/>
  </cols>
  <sheetData>
    <row r="1" spans="1:13" ht="15" x14ac:dyDescent="0.15">
      <c r="A1" s="126" t="s">
        <v>221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  <c r="L1" s="125"/>
      <c r="M1" s="125"/>
    </row>
    <row r="3" spans="1:13" s="125" customFormat="1" ht="15.75" thickBot="1" x14ac:dyDescent="0.2">
      <c r="A3" s="190" t="s">
        <v>97</v>
      </c>
    </row>
    <row r="4" spans="1:13" x14ac:dyDescent="0.15">
      <c r="A4" s="130" t="s">
        <v>26</v>
      </c>
      <c r="B4" s="588" t="s">
        <v>58</v>
      </c>
      <c r="C4" s="589"/>
      <c r="D4" s="591" t="s">
        <v>161</v>
      </c>
      <c r="E4" s="593"/>
      <c r="F4" s="603" t="s">
        <v>96</v>
      </c>
      <c r="G4" s="589"/>
      <c r="H4" s="591" t="s">
        <v>222</v>
      </c>
      <c r="I4" s="593"/>
      <c r="J4" s="603" t="s">
        <v>163</v>
      </c>
      <c r="K4" s="589"/>
      <c r="L4" s="591" t="s">
        <v>104</v>
      </c>
      <c r="M4" s="593"/>
    </row>
    <row r="5" spans="1:13" ht="14.25" thickBot="1" x14ac:dyDescent="0.2">
      <c r="A5" s="132" t="s">
        <v>236</v>
      </c>
      <c r="B5" s="4" t="s">
        <v>166</v>
      </c>
      <c r="C5" s="38" t="s">
        <v>225</v>
      </c>
      <c r="D5" s="38" t="s">
        <v>24</v>
      </c>
      <c r="E5" s="40" t="s">
        <v>121</v>
      </c>
      <c r="F5" s="133" t="s">
        <v>241</v>
      </c>
      <c r="G5" s="38" t="s">
        <v>225</v>
      </c>
      <c r="H5" s="38" t="s">
        <v>22</v>
      </c>
      <c r="I5" s="40" t="s">
        <v>218</v>
      </c>
      <c r="J5" s="133" t="s">
        <v>98</v>
      </c>
      <c r="K5" s="38" t="s">
        <v>225</v>
      </c>
      <c r="L5" s="38" t="s">
        <v>22</v>
      </c>
      <c r="M5" s="40" t="s">
        <v>218</v>
      </c>
    </row>
    <row r="6" spans="1:13" x14ac:dyDescent="0.15">
      <c r="A6" s="134">
        <v>45</v>
      </c>
      <c r="B6" s="135">
        <v>2980487</v>
      </c>
      <c r="C6" s="136">
        <v>100</v>
      </c>
      <c r="D6" s="137">
        <f>100000*280/B6</f>
        <v>9.3944378888416562</v>
      </c>
      <c r="E6" s="138">
        <f>100000*34642/B6</f>
        <v>1162.2932762330452</v>
      </c>
      <c r="F6" s="139">
        <v>532653</v>
      </c>
      <c r="G6" s="136">
        <v>100</v>
      </c>
      <c r="H6" s="137">
        <f>10000*280/F6</f>
        <v>5.2567055850619449</v>
      </c>
      <c r="I6" s="138">
        <f>10000*34642/F6</f>
        <v>650.36712456327098</v>
      </c>
      <c r="J6" s="139">
        <v>3555</v>
      </c>
      <c r="K6" s="136">
        <v>100</v>
      </c>
      <c r="L6" s="137">
        <f>100*280/J6</f>
        <v>7.876230661040788</v>
      </c>
      <c r="M6" s="138">
        <f>100*34642/J6</f>
        <v>974.45850914205346</v>
      </c>
    </row>
    <row r="7" spans="1:13" x14ac:dyDescent="0.15">
      <c r="A7" s="140">
        <v>46</v>
      </c>
      <c r="B7" s="141">
        <v>2942404</v>
      </c>
      <c r="C7" s="142">
        <f>B7*100/B6</f>
        <v>98.722255792425869</v>
      </c>
      <c r="D7" s="142">
        <f>100000*222/B7</f>
        <v>7.5448510809528537</v>
      </c>
      <c r="E7" s="143">
        <f>100000*31519/B7</f>
        <v>1071.1989244169054</v>
      </c>
      <c r="F7" s="144">
        <v>566500</v>
      </c>
      <c r="G7" s="142">
        <f>F7*100/F6</f>
        <v>106.35441835491399</v>
      </c>
      <c r="H7" s="142">
        <f>10000*222/F7</f>
        <v>3.9187996469549868</v>
      </c>
      <c r="I7" s="143">
        <f>10000*31519/F7</f>
        <v>556.38128861429834</v>
      </c>
      <c r="J7" s="144">
        <v>3603</v>
      </c>
      <c r="K7" s="142">
        <f>J7*100/J6</f>
        <v>101.35021097046413</v>
      </c>
      <c r="L7" s="142">
        <f>100*222/J7</f>
        <v>6.1615320566194836</v>
      </c>
      <c r="M7" s="143">
        <f>100*31519/J7</f>
        <v>874.79877879544824</v>
      </c>
    </row>
    <row r="8" spans="1:13" x14ac:dyDescent="0.15">
      <c r="A8" s="134">
        <v>47</v>
      </c>
      <c r="B8" s="135">
        <v>2894509</v>
      </c>
      <c r="C8" s="142">
        <f>B8*100/B6</f>
        <v>97.115303639975622</v>
      </c>
      <c r="D8" s="142">
        <f>100000*228/B8</f>
        <v>7.876983626583991</v>
      </c>
      <c r="E8" s="145">
        <f>100000*27240/B8</f>
        <v>941.09225433398205</v>
      </c>
      <c r="F8" s="139">
        <v>603547</v>
      </c>
      <c r="G8" s="142">
        <f>F8*100/F6</f>
        <v>113.30960306240648</v>
      </c>
      <c r="H8" s="142">
        <f>10000*228/F8</f>
        <v>3.7776676878519817</v>
      </c>
      <c r="I8" s="143">
        <f>10000*27240/F8</f>
        <v>451.33187639073674</v>
      </c>
      <c r="J8" s="139">
        <v>3697</v>
      </c>
      <c r="K8" s="142">
        <f>J8*100/J6</f>
        <v>103.99437412095639</v>
      </c>
      <c r="L8" s="142">
        <f>100*228/J8</f>
        <v>6.1671625642412771</v>
      </c>
      <c r="M8" s="143">
        <f>100*27240/J8</f>
        <v>736.813632675142</v>
      </c>
    </row>
    <row r="9" spans="1:13" x14ac:dyDescent="0.15">
      <c r="A9" s="140">
        <v>48</v>
      </c>
      <c r="B9" s="141">
        <v>2849102</v>
      </c>
      <c r="C9" s="142">
        <f>B9*100/B6</f>
        <v>95.591827778480493</v>
      </c>
      <c r="D9" s="142">
        <f>100000*244/B9</f>
        <v>8.5641019521238615</v>
      </c>
      <c r="E9" s="145">
        <f>100000*21997/B9</f>
        <v>772.06783049536307</v>
      </c>
      <c r="F9" s="144">
        <v>602059</v>
      </c>
      <c r="G9" s="142">
        <f>F9*100/F6</f>
        <v>113.03024670845748</v>
      </c>
      <c r="H9" s="142">
        <f>10000*244/F9</f>
        <v>4.0527589488737812</v>
      </c>
      <c r="I9" s="145">
        <f>10000*21997/F9</f>
        <v>365.36286310810073</v>
      </c>
      <c r="J9" s="144">
        <v>3652</v>
      </c>
      <c r="K9" s="142">
        <f>J9*100/J6</f>
        <v>102.72855133614627</v>
      </c>
      <c r="L9" s="142">
        <f>100*244/J9</f>
        <v>6.6812705366922236</v>
      </c>
      <c r="M9" s="143">
        <f>100*21997/J9</f>
        <v>602.3274917853231</v>
      </c>
    </row>
    <row r="10" spans="1:13" x14ac:dyDescent="0.15">
      <c r="A10" s="134">
        <v>49</v>
      </c>
      <c r="B10" s="135">
        <v>2810322</v>
      </c>
      <c r="C10" s="142">
        <f>B10*100/B6</f>
        <v>94.290698130875924</v>
      </c>
      <c r="D10" s="142">
        <f>100000*147/B10</f>
        <v>5.2307173341702482</v>
      </c>
      <c r="E10" s="145">
        <f>100000*17500/B10</f>
        <v>622.70444454407721</v>
      </c>
      <c r="F10" s="139">
        <v>620878</v>
      </c>
      <c r="G10" s="142">
        <f>F10*100/F6</f>
        <v>116.56331608007464</v>
      </c>
      <c r="H10" s="142">
        <f>10000*147/F10</f>
        <v>2.3676148937472417</v>
      </c>
      <c r="I10" s="145">
        <f>10000*17500/F10</f>
        <v>281.85891592229069</v>
      </c>
      <c r="J10" s="139">
        <v>3673</v>
      </c>
      <c r="K10" s="142">
        <f>J10*100/J6</f>
        <v>103.31926863572433</v>
      </c>
      <c r="L10" s="142">
        <f>100*147/J10</f>
        <v>4.0021780560849445</v>
      </c>
      <c r="M10" s="143">
        <f>100*17500/J10</f>
        <v>476.44976858154098</v>
      </c>
    </row>
    <row r="11" spans="1:13" x14ac:dyDescent="0.15">
      <c r="A11" s="140">
        <v>50</v>
      </c>
      <c r="B11" s="141">
        <v>2778987</v>
      </c>
      <c r="C11" s="142">
        <f>B11*100/B6</f>
        <v>93.239359876422881</v>
      </c>
      <c r="D11" s="137">
        <f>100000*130/B11</f>
        <v>4.677963588890484</v>
      </c>
      <c r="E11" s="146">
        <f>100000*16029/B11</f>
        <v>576.79291051019675</v>
      </c>
      <c r="F11" s="144">
        <v>653189</v>
      </c>
      <c r="G11" s="142">
        <f>F11*100/F6</f>
        <v>122.62936658575094</v>
      </c>
      <c r="H11" s="137">
        <f>10000*130/F11</f>
        <v>1.9902355979662854</v>
      </c>
      <c r="I11" s="146">
        <f>10000*16029/F11</f>
        <v>245.396049229243</v>
      </c>
      <c r="J11" s="144">
        <v>3726</v>
      </c>
      <c r="K11" s="142">
        <f>J11*100/J6</f>
        <v>104.81012658227849</v>
      </c>
      <c r="L11" s="137">
        <f>100*130/J11</f>
        <v>3.488996242619431</v>
      </c>
      <c r="M11" s="138">
        <f>100*16029/J11</f>
        <v>430.19323671497585</v>
      </c>
    </row>
    <row r="12" spans="1:13" x14ac:dyDescent="0.15">
      <c r="A12" s="134">
        <v>51</v>
      </c>
      <c r="B12" s="135">
        <v>2748781</v>
      </c>
      <c r="C12" s="142">
        <f>B12*100/B6</f>
        <v>92.225901337600192</v>
      </c>
      <c r="D12" s="142">
        <f>100000*110/B12</f>
        <v>4.0017738772204847</v>
      </c>
      <c r="E12" s="145">
        <f>100000*16367/B12</f>
        <v>595.42757316788789</v>
      </c>
      <c r="F12" s="139">
        <v>675897</v>
      </c>
      <c r="G12" s="142">
        <f>F12*100/F6</f>
        <v>126.89255481523618</v>
      </c>
      <c r="H12" s="142">
        <f>10000*110/F12</f>
        <v>1.6274669069399628</v>
      </c>
      <c r="I12" s="145">
        <f>10000*16367/F12</f>
        <v>242.152280598967</v>
      </c>
      <c r="J12" s="139">
        <v>3746</v>
      </c>
      <c r="K12" s="142">
        <f>J12*100/J6</f>
        <v>105.37271448663854</v>
      </c>
      <c r="L12" s="142">
        <f>100*110/J12</f>
        <v>2.9364655632674852</v>
      </c>
      <c r="M12" s="143">
        <f>100*16367/J12</f>
        <v>436.91938067271758</v>
      </c>
    </row>
    <row r="13" spans="1:13" x14ac:dyDescent="0.15">
      <c r="A13" s="140">
        <v>52</v>
      </c>
      <c r="B13" s="141">
        <v>2720651</v>
      </c>
      <c r="C13" s="142">
        <f>B13*100/B6</f>
        <v>91.282095845410495</v>
      </c>
      <c r="D13" s="142">
        <f>100000*98/B13</f>
        <v>3.6020790612246847</v>
      </c>
      <c r="E13" s="145">
        <f>100000*16017/B13</f>
        <v>588.71939105750789</v>
      </c>
      <c r="F13" s="144">
        <v>687259</v>
      </c>
      <c r="G13" s="142">
        <f>F13*100/F6</f>
        <v>129.02565084586024</v>
      </c>
      <c r="H13" s="142">
        <f>10000*98/F13</f>
        <v>1.4259544072904102</v>
      </c>
      <c r="I13" s="145">
        <f>10000*16017/F13</f>
        <v>233.05624226092345</v>
      </c>
      <c r="J13" s="144">
        <v>3747</v>
      </c>
      <c r="K13" s="142">
        <f>J13*100/J6</f>
        <v>105.40084388185655</v>
      </c>
      <c r="L13" s="142">
        <f>100*98/J13</f>
        <v>2.6154256738724313</v>
      </c>
      <c r="M13" s="143">
        <f>100*16017/J13</f>
        <v>427.46196957566053</v>
      </c>
    </row>
    <row r="14" spans="1:13" x14ac:dyDescent="0.15">
      <c r="A14" s="134">
        <v>53</v>
      </c>
      <c r="B14" s="135">
        <v>2694091</v>
      </c>
      <c r="C14" s="142">
        <f>B14*100/B6</f>
        <v>90.390966308526089</v>
      </c>
      <c r="D14" s="142">
        <f>100000*118/B14</f>
        <v>4.3799559851541767</v>
      </c>
      <c r="E14" s="145">
        <f>100000*15854/B14</f>
        <v>588.47306939520604</v>
      </c>
      <c r="F14" s="139">
        <v>706814</v>
      </c>
      <c r="G14" s="142">
        <f>F14*100/F6</f>
        <v>132.69689647857047</v>
      </c>
      <c r="H14" s="142">
        <f>10000*118/F14</f>
        <v>1.669463253416033</v>
      </c>
      <c r="I14" s="145">
        <f>10000*15854/F14</f>
        <v>224.30229169201516</v>
      </c>
      <c r="J14" s="139">
        <v>3751</v>
      </c>
      <c r="K14" s="142">
        <f>J14*100/J6</f>
        <v>105.51336146272855</v>
      </c>
      <c r="L14" s="142">
        <f>100*118/J14</f>
        <v>3.1458277792588643</v>
      </c>
      <c r="M14" s="143">
        <f>100*15854/J14</f>
        <v>422.66062383364437</v>
      </c>
    </row>
    <row r="15" spans="1:13" x14ac:dyDescent="0.15">
      <c r="A15" s="140">
        <v>54</v>
      </c>
      <c r="B15" s="141">
        <v>2671163</v>
      </c>
      <c r="C15" s="142">
        <f>B15*100/B6</f>
        <v>89.621696051685518</v>
      </c>
      <c r="D15" s="142">
        <f>100000*99/B15</f>
        <v>3.7062507978734356</v>
      </c>
      <c r="E15" s="145">
        <f>100000*15423/B15</f>
        <v>577.38895005658583</v>
      </c>
      <c r="F15" s="144">
        <v>691266</v>
      </c>
      <c r="G15" s="142">
        <f>F15*100/F6</f>
        <v>129.77792296297966</v>
      </c>
      <c r="H15" s="142">
        <f>10000*99/F15</f>
        <v>1.4321549157632518</v>
      </c>
      <c r="I15" s="145">
        <f>10000*15423/F15</f>
        <v>223.11237642239021</v>
      </c>
      <c r="J15" s="144">
        <v>3763</v>
      </c>
      <c r="K15" s="142">
        <f>J15*100/J6</f>
        <v>105.85091420534458</v>
      </c>
      <c r="L15" s="142">
        <f>100*99/J15</f>
        <v>2.6308796173266011</v>
      </c>
      <c r="M15" s="143">
        <f>100*15423/J15</f>
        <v>409.85915492957747</v>
      </c>
    </row>
    <row r="16" spans="1:13" x14ac:dyDescent="0.15">
      <c r="A16" s="134">
        <v>55</v>
      </c>
      <c r="B16" s="135">
        <v>2648180</v>
      </c>
      <c r="C16" s="142">
        <f>B16*100/B6</f>
        <v>88.850580458831061</v>
      </c>
      <c r="D16" s="137">
        <f>100000*104/B16</f>
        <v>3.9272254907143775</v>
      </c>
      <c r="E16" s="146">
        <f>100000*16163/B16</f>
        <v>610.34370775400464</v>
      </c>
      <c r="F16" s="139">
        <v>703328</v>
      </c>
      <c r="G16" s="142">
        <f>F16*100/F6</f>
        <v>132.04243663323027</v>
      </c>
      <c r="H16" s="137">
        <f>10000*104/F16</f>
        <v>1.4786841985531645</v>
      </c>
      <c r="I16" s="146">
        <f>10000*16163/F16</f>
        <v>229.80742981937303</v>
      </c>
      <c r="J16" s="139">
        <v>3765</v>
      </c>
      <c r="K16" s="142">
        <f>J16*100/J6</f>
        <v>105.90717299578058</v>
      </c>
      <c r="L16" s="137">
        <f>100*104/J16</f>
        <v>2.762284196547145</v>
      </c>
      <c r="M16" s="138">
        <f>100*16163/J16</f>
        <v>429.29614873837983</v>
      </c>
    </row>
    <row r="17" spans="1:22" x14ac:dyDescent="0.15">
      <c r="A17" s="140">
        <v>56</v>
      </c>
      <c r="B17" s="141">
        <v>2635211</v>
      </c>
      <c r="C17" s="142">
        <f>B17*100/B6</f>
        <v>88.415450226758239</v>
      </c>
      <c r="D17" s="142">
        <f>100000*128/B17</f>
        <v>4.8572960571278729</v>
      </c>
      <c r="E17" s="145">
        <f>100000*17476/B17</f>
        <v>663.17270229973997</v>
      </c>
      <c r="F17" s="144">
        <v>724713</v>
      </c>
      <c r="G17" s="142">
        <f>F17*100/F6</f>
        <v>136.05724552382134</v>
      </c>
      <c r="H17" s="142">
        <f>10000*128/F17</f>
        <v>1.7662164194653607</v>
      </c>
      <c r="I17" s="145">
        <f>10000*17476/F17</f>
        <v>241.14373552013004</v>
      </c>
      <c r="J17" s="144">
        <v>3788</v>
      </c>
      <c r="K17" s="142">
        <f>J17*100/J6</f>
        <v>106.55414908579465</v>
      </c>
      <c r="L17" s="142">
        <f>100*128/J17</f>
        <v>3.3790918690601899</v>
      </c>
      <c r="M17" s="143">
        <f>100*17476/J17</f>
        <v>461.35163674762407</v>
      </c>
    </row>
    <row r="18" spans="1:22" x14ac:dyDescent="0.15">
      <c r="A18" s="134">
        <v>57</v>
      </c>
      <c r="B18" s="135">
        <v>2623124</v>
      </c>
      <c r="C18" s="142">
        <f>B18*100/B6</f>
        <v>88.009912474035289</v>
      </c>
      <c r="D18" s="142">
        <f>100000*131/B18</f>
        <v>4.9940452681611696</v>
      </c>
      <c r="E18" s="145">
        <f>100000*18448/B18</f>
        <v>703.28356570257449</v>
      </c>
      <c r="F18" s="139">
        <v>733134</v>
      </c>
      <c r="G18" s="142">
        <f>F18*100/F6</f>
        <v>137.63819972852872</v>
      </c>
      <c r="H18" s="142">
        <f>10000*131/F18</f>
        <v>1.7868493345009235</v>
      </c>
      <c r="I18" s="145">
        <f>10000*18448/F18</f>
        <v>251.63203452574837</v>
      </c>
      <c r="J18" s="139">
        <v>3805</v>
      </c>
      <c r="K18" s="142">
        <f>J18*100/J6</f>
        <v>107.0323488045007</v>
      </c>
      <c r="L18" s="142">
        <f>100*131/J18</f>
        <v>3.4428383705650458</v>
      </c>
      <c r="M18" s="143">
        <f>100*18448/J18</f>
        <v>484.83574244415246</v>
      </c>
    </row>
    <row r="19" spans="1:22" x14ac:dyDescent="0.15">
      <c r="A19" s="140">
        <v>58</v>
      </c>
      <c r="B19" s="141">
        <v>2624911</v>
      </c>
      <c r="C19" s="142">
        <f>B19*100/B6</f>
        <v>88.069869118704432</v>
      </c>
      <c r="D19" s="142">
        <v>4.5</v>
      </c>
      <c r="E19" s="145">
        <f>100000*19220/B19</f>
        <v>732.21530177594593</v>
      </c>
      <c r="F19" s="144">
        <v>750722</v>
      </c>
      <c r="G19" s="142">
        <f>F19*100/F6</f>
        <v>140.94016179388834</v>
      </c>
      <c r="H19" s="142">
        <v>1.6</v>
      </c>
      <c r="I19" s="145">
        <f>10000*19220/F19</f>
        <v>256.02020454975343</v>
      </c>
      <c r="J19" s="144">
        <v>3780</v>
      </c>
      <c r="K19" s="142">
        <f>J19*100/J6</f>
        <v>106.32911392405063</v>
      </c>
      <c r="L19" s="142">
        <v>3.1</v>
      </c>
      <c r="M19" s="143">
        <f>100*19220/J19</f>
        <v>508.46560846560845</v>
      </c>
    </row>
    <row r="20" spans="1:22" x14ac:dyDescent="0.15">
      <c r="A20" s="134">
        <v>59</v>
      </c>
      <c r="B20" s="135">
        <v>2631317</v>
      </c>
      <c r="C20" s="142">
        <f>B20*100/B6</f>
        <v>88.284800436975573</v>
      </c>
      <c r="D20" s="142">
        <f>100000*138/B20</f>
        <v>5.2445220397238339</v>
      </c>
      <c r="E20" s="145">
        <f>100000*18863/B20</f>
        <v>716.86535677761367</v>
      </c>
      <c r="F20" s="139">
        <v>771399</v>
      </c>
      <c r="G20" s="142">
        <f>F20*100/F6</f>
        <v>144.8220511289714</v>
      </c>
      <c r="H20" s="142">
        <f>10000*138/F20</f>
        <v>1.7889574655917366</v>
      </c>
      <c r="I20" s="145">
        <f>10000*18863/F20</f>
        <v>244.52974401055744</v>
      </c>
      <c r="J20" s="139">
        <v>3861</v>
      </c>
      <c r="K20" s="142">
        <f>J20*100/J6</f>
        <v>108.60759493670886</v>
      </c>
      <c r="L20" s="142">
        <f>100*138/J20</f>
        <v>3.5742035742035743</v>
      </c>
      <c r="M20" s="143">
        <f>100*18863/J20</f>
        <v>488.55218855218857</v>
      </c>
    </row>
    <row r="21" spans="1:22" x14ac:dyDescent="0.15">
      <c r="A21" s="140">
        <v>60</v>
      </c>
      <c r="B21" s="141">
        <v>2636249</v>
      </c>
      <c r="C21" s="142">
        <f>B21*100/B6</f>
        <v>88.450276750074735</v>
      </c>
      <c r="D21" s="137">
        <f>100000*121/B21</f>
        <v>4.5898547519600763</v>
      </c>
      <c r="E21" s="146">
        <f>100000*19750/B21</f>
        <v>749.17050703480584</v>
      </c>
      <c r="F21" s="144">
        <v>791519</v>
      </c>
      <c r="G21" s="142">
        <f>F21*100/F6</f>
        <v>148.59936957080876</v>
      </c>
      <c r="H21" s="137">
        <f>10000*121/F21</f>
        <v>1.5287061965663491</v>
      </c>
      <c r="I21" s="146">
        <f>10000*19750/F21</f>
        <v>249.52022629905284</v>
      </c>
      <c r="J21" s="144">
        <v>3866</v>
      </c>
      <c r="K21" s="142">
        <f>J21*100/J6</f>
        <v>108.74824191279887</v>
      </c>
      <c r="L21" s="137">
        <f>100*121/J21</f>
        <v>3.1298499741334713</v>
      </c>
      <c r="M21" s="138">
        <f>100*19750/J21</f>
        <v>510.86394205897568</v>
      </c>
    </row>
    <row r="22" spans="1:22" x14ac:dyDescent="0.15">
      <c r="A22" s="134">
        <v>61</v>
      </c>
      <c r="B22" s="135">
        <v>2643780</v>
      </c>
      <c r="C22" s="142">
        <f>B22*100/B6</f>
        <v>88.702953577720692</v>
      </c>
      <c r="D22" s="142">
        <f>100000*134/B22</f>
        <v>5.0685004047235394</v>
      </c>
      <c r="E22" s="145">
        <f>100000*19970/B22</f>
        <v>755.35785882335142</v>
      </c>
      <c r="F22" s="139">
        <v>811354</v>
      </c>
      <c r="G22" s="142">
        <f>F22*100/F6</f>
        <v>152.32318225936962</v>
      </c>
      <c r="H22" s="142">
        <f>10000*134/F22</f>
        <v>1.6515602314156337</v>
      </c>
      <c r="I22" s="145">
        <f>10000*19970/F22</f>
        <v>246.13177478634481</v>
      </c>
      <c r="J22" s="139">
        <v>3870</v>
      </c>
      <c r="K22" s="142">
        <f>J22*100/J6</f>
        <v>108.86075949367088</v>
      </c>
      <c r="L22" s="142">
        <f>100*134/J22</f>
        <v>3.4625322997416021</v>
      </c>
      <c r="M22" s="143">
        <f>100*19970/J22</f>
        <v>516.02067183462532</v>
      </c>
      <c r="O22" s="147"/>
      <c r="P22" s="147"/>
      <c r="Q22" s="147"/>
      <c r="R22" s="147"/>
      <c r="S22" s="147"/>
      <c r="T22" s="147"/>
      <c r="U22" s="147"/>
      <c r="V22" s="147"/>
    </row>
    <row r="23" spans="1:22" x14ac:dyDescent="0.15">
      <c r="A23" s="140">
        <v>62</v>
      </c>
      <c r="B23" s="141">
        <v>2649758</v>
      </c>
      <c r="C23" s="142">
        <f>B23*100/B6</f>
        <v>88.903524826647455</v>
      </c>
      <c r="D23" s="142">
        <f>100000*139/B23</f>
        <v>5.2457620658188411</v>
      </c>
      <c r="E23" s="145">
        <f>100000*20120/B23</f>
        <v>759.31462420341779</v>
      </c>
      <c r="F23" s="144">
        <v>834194</v>
      </c>
      <c r="G23" s="142">
        <f>F23*100/F6</f>
        <v>156.61115210089872</v>
      </c>
      <c r="H23" s="142">
        <f>10000*139/F23</f>
        <v>1.6662790669796235</v>
      </c>
      <c r="I23" s="145">
        <f>10000*20120/F23</f>
        <v>241.19089804050375</v>
      </c>
      <c r="J23" s="144">
        <v>3872</v>
      </c>
      <c r="K23" s="142">
        <f>J23*100/J6</f>
        <v>108.91701828410689</v>
      </c>
      <c r="L23" s="142">
        <f>100*139/J23</f>
        <v>3.5898760330578514</v>
      </c>
      <c r="M23" s="143">
        <f>100*20120/J23</f>
        <v>519.62809917355366</v>
      </c>
      <c r="O23" s="147"/>
      <c r="P23" s="147"/>
      <c r="Q23" s="147"/>
      <c r="R23" s="147"/>
      <c r="S23" s="147"/>
      <c r="T23" s="147"/>
      <c r="U23" s="147"/>
      <c r="V23" s="147"/>
    </row>
    <row r="24" spans="1:22" x14ac:dyDescent="0.15">
      <c r="A24" s="134">
        <v>63</v>
      </c>
      <c r="B24" s="135">
        <v>2646399</v>
      </c>
      <c r="C24" s="142">
        <f>B24*100/B6</f>
        <v>88.790825123545247</v>
      </c>
      <c r="D24" s="142">
        <f>100000*145/B24</f>
        <v>5.4791435456255844</v>
      </c>
      <c r="E24" s="145">
        <f>100000*19807/B24</f>
        <v>748.45100833245476</v>
      </c>
      <c r="F24" s="139">
        <v>860460</v>
      </c>
      <c r="G24" s="142">
        <f>F24*100/F6</f>
        <v>161.54231741865718</v>
      </c>
      <c r="H24" s="142">
        <f>10000*145/F24</f>
        <v>1.6851451549171375</v>
      </c>
      <c r="I24" s="145">
        <f>10000*19807/F24</f>
        <v>230.19082816168097</v>
      </c>
      <c r="J24" s="139">
        <v>3883</v>
      </c>
      <c r="K24" s="142">
        <f>J24*100/J6</f>
        <v>109.22644163150493</v>
      </c>
      <c r="L24" s="142">
        <f>100*145/J24</f>
        <v>3.7342261138295134</v>
      </c>
      <c r="M24" s="143">
        <f>100*19807/J24</f>
        <v>510.09528714911153</v>
      </c>
      <c r="O24" s="147"/>
      <c r="P24" s="148"/>
      <c r="Q24" s="148"/>
      <c r="R24" s="147"/>
      <c r="S24" s="147"/>
      <c r="T24" s="147"/>
      <c r="U24" s="147"/>
      <c r="V24" s="147"/>
    </row>
    <row r="25" spans="1:22" x14ac:dyDescent="0.15">
      <c r="A25" s="140" t="s">
        <v>106</v>
      </c>
      <c r="B25" s="141">
        <v>2637434</v>
      </c>
      <c r="C25" s="142">
        <f>B25*100/B6</f>
        <v>88.490035353282863</v>
      </c>
      <c r="D25" s="142">
        <f>100000*148/B25</f>
        <v>5.6115148284279339</v>
      </c>
      <c r="E25" s="145">
        <f>100000*20524/B25</f>
        <v>778.18061039631698</v>
      </c>
      <c r="F25" s="144">
        <v>889057</v>
      </c>
      <c r="G25" s="142">
        <f>F25*100/F6</f>
        <v>166.91110347637203</v>
      </c>
      <c r="H25" s="142">
        <f>10000*148/F25</f>
        <v>1.6646851664179012</v>
      </c>
      <c r="I25" s="145">
        <f>10000*20524/F25</f>
        <v>230.85134024027707</v>
      </c>
      <c r="J25" s="144">
        <v>3873</v>
      </c>
      <c r="K25" s="142">
        <f>J25*100/J6</f>
        <v>108.94514767932489</v>
      </c>
      <c r="L25" s="142">
        <f>100*148/J25</f>
        <v>3.8213271365866253</v>
      </c>
      <c r="M25" s="143">
        <f>100*20524/J25</f>
        <v>529.92512264394531</v>
      </c>
      <c r="O25" s="147"/>
      <c r="P25" s="147"/>
      <c r="Q25" s="147"/>
      <c r="R25" s="147"/>
      <c r="S25" s="147"/>
      <c r="T25" s="147"/>
      <c r="U25" s="147"/>
      <c r="V25" s="147"/>
    </row>
    <row r="26" spans="1:22" x14ac:dyDescent="0.15">
      <c r="A26" s="134">
        <v>2</v>
      </c>
      <c r="B26" s="135">
        <v>2623801</v>
      </c>
      <c r="C26" s="142">
        <f>B26*100/B6</f>
        <v>88.032626882787952</v>
      </c>
      <c r="D26" s="137">
        <f>100000*164/B26</f>
        <v>6.2504740260408465</v>
      </c>
      <c r="E26" s="146">
        <f>100000*19896/B26</f>
        <v>758.28921476895539</v>
      </c>
      <c r="F26" s="139">
        <v>924602</v>
      </c>
      <c r="G26" s="142">
        <f>F26*100/F6</f>
        <v>173.584303477123</v>
      </c>
      <c r="H26" s="137">
        <f>10000*164/F26</f>
        <v>1.7737361589094551</v>
      </c>
      <c r="I26" s="146">
        <f>10000*19896/F26</f>
        <v>215.18447937599097</v>
      </c>
      <c r="J26" s="139">
        <v>3875</v>
      </c>
      <c r="K26" s="142">
        <f>J26*100/J6</f>
        <v>109.00140646976089</v>
      </c>
      <c r="L26" s="137">
        <f>100*164/J26</f>
        <v>4.2322580645161292</v>
      </c>
      <c r="M26" s="138">
        <f>100*19896/J26</f>
        <v>513.44516129032263</v>
      </c>
      <c r="O26" s="147"/>
      <c r="P26" s="147"/>
      <c r="Q26" s="147"/>
      <c r="R26" s="147"/>
      <c r="S26" s="147"/>
      <c r="T26" s="147"/>
      <c r="U26" s="147"/>
      <c r="V26" s="147"/>
    </row>
    <row r="27" spans="1:22" x14ac:dyDescent="0.15">
      <c r="A27" s="140">
        <v>3</v>
      </c>
      <c r="B27" s="141">
        <v>2613199</v>
      </c>
      <c r="C27" s="142">
        <f>B27*100/B6</f>
        <v>87.676913202439735</v>
      </c>
      <c r="D27" s="142">
        <f>100000*147/B27</f>
        <v>5.6252891570829471</v>
      </c>
      <c r="E27" s="145">
        <f>100000*19590/B27</f>
        <v>749.65588154595196</v>
      </c>
      <c r="F27" s="144">
        <v>947553</v>
      </c>
      <c r="G27" s="142">
        <f>F27*100/F6</f>
        <v>177.89311240150718</v>
      </c>
      <c r="H27" s="142">
        <f>10000*147/F27</f>
        <v>1.5513644091676138</v>
      </c>
      <c r="I27" s="145">
        <f>10000*19590/F27</f>
        <v>206.74305289519424</v>
      </c>
      <c r="J27" s="144">
        <v>3886</v>
      </c>
      <c r="K27" s="142">
        <f>J27*100/J6</f>
        <v>109.31082981715893</v>
      </c>
      <c r="L27" s="142">
        <f>100*147/J27</f>
        <v>3.7828100874935666</v>
      </c>
      <c r="M27" s="143">
        <f>100*19590/J27</f>
        <v>504.11734431291819</v>
      </c>
      <c r="O27" s="147"/>
      <c r="P27" s="147"/>
      <c r="Q27" s="147"/>
      <c r="R27" s="147"/>
      <c r="S27" s="147"/>
      <c r="T27" s="147"/>
      <c r="U27" s="147"/>
      <c r="V27" s="147"/>
    </row>
    <row r="28" spans="1:22" x14ac:dyDescent="0.15">
      <c r="A28" s="134">
        <v>4</v>
      </c>
      <c r="B28" s="135">
        <v>2603272</v>
      </c>
      <c r="C28" s="142">
        <f>B28*100/B6</f>
        <v>87.343846827716405</v>
      </c>
      <c r="D28" s="142">
        <f>100000*157/B28</f>
        <v>6.0308719181092103</v>
      </c>
      <c r="E28" s="145">
        <f>100000*20232/B28</f>
        <v>777.17580030054489</v>
      </c>
      <c r="F28" s="139">
        <v>943513</v>
      </c>
      <c r="G28" s="142">
        <f>F28*100/F6</f>
        <v>177.1346448813768</v>
      </c>
      <c r="H28" s="142">
        <f>10000*157/F28</f>
        <v>1.6639940308188652</v>
      </c>
      <c r="I28" s="145">
        <f>10000*20232/F28</f>
        <v>214.43265752565148</v>
      </c>
      <c r="J28" s="139">
        <v>3895</v>
      </c>
      <c r="K28" s="142">
        <f>J28*100/J6</f>
        <v>109.56399437412095</v>
      </c>
      <c r="L28" s="142">
        <f>100*157/J28</f>
        <v>4.0308087291399231</v>
      </c>
      <c r="M28" s="143">
        <f>100*20232/J28</f>
        <v>519.43517329910139</v>
      </c>
      <c r="O28" s="147"/>
      <c r="P28" s="147"/>
      <c r="Q28" s="147"/>
      <c r="R28" s="147"/>
      <c r="S28" s="147"/>
      <c r="T28" s="147"/>
      <c r="U28" s="147"/>
      <c r="V28" s="147"/>
    </row>
    <row r="29" spans="1:22" x14ac:dyDescent="0.15">
      <c r="A29" s="140">
        <v>5</v>
      </c>
      <c r="B29" s="141">
        <v>2595584</v>
      </c>
      <c r="C29" s="142">
        <f>B29*100/B6</f>
        <v>87.085902404539922</v>
      </c>
      <c r="D29" s="142">
        <f>100000*167/B29</f>
        <v>6.4340048328237502</v>
      </c>
      <c r="E29" s="145">
        <f>100000*19840/B29</f>
        <v>764.37518492948027</v>
      </c>
      <c r="F29" s="144">
        <v>933366</v>
      </c>
      <c r="G29" s="142">
        <f>F29*100/F6</f>
        <v>175.2296523252474</v>
      </c>
      <c r="H29" s="142">
        <f>10000*167/F29</f>
        <v>1.7892230914775127</v>
      </c>
      <c r="I29" s="145">
        <f>10000*19840/F29</f>
        <v>212.56398883181944</v>
      </c>
      <c r="J29" s="144">
        <v>3899</v>
      </c>
      <c r="K29" s="142">
        <f>J29*100/J6</f>
        <v>109.67651195499296</v>
      </c>
      <c r="L29" s="142">
        <f>100*167/J29</f>
        <v>4.2831495255193639</v>
      </c>
      <c r="M29" s="143">
        <f>100*19840/J29</f>
        <v>508.84842267248013</v>
      </c>
      <c r="O29" s="147"/>
      <c r="P29" s="147"/>
      <c r="Q29" s="147"/>
      <c r="R29" s="147"/>
      <c r="S29" s="147"/>
      <c r="T29" s="147"/>
      <c r="U29" s="147"/>
      <c r="V29" s="147"/>
    </row>
    <row r="30" spans="1:22" x14ac:dyDescent="0.15">
      <c r="A30" s="134">
        <v>6</v>
      </c>
      <c r="B30" s="135">
        <v>2590270</v>
      </c>
      <c r="C30" s="142">
        <f>B30*100/B6</f>
        <v>86.907609394035276</v>
      </c>
      <c r="D30" s="142">
        <f>100000*156/B30</f>
        <v>6.022538190999394</v>
      </c>
      <c r="E30" s="145">
        <f>100000*19748/B30</f>
        <v>762.39156535805148</v>
      </c>
      <c r="F30" s="139">
        <v>929150</v>
      </c>
      <c r="G30" s="142">
        <f>F30*100/F6</f>
        <v>174.43814265572522</v>
      </c>
      <c r="H30" s="142">
        <f>10000*156/F30</f>
        <v>1.6789538825808534</v>
      </c>
      <c r="I30" s="145">
        <f>10000*19748/F30</f>
        <v>212.5383414949147</v>
      </c>
      <c r="J30" s="144">
        <v>3899</v>
      </c>
      <c r="K30" s="142">
        <f>J30*100/J6</f>
        <v>109.67651195499296</v>
      </c>
      <c r="L30" s="142">
        <f>100*156/J30</f>
        <v>4.0010259040779683</v>
      </c>
      <c r="M30" s="143">
        <f>100*19748/J30</f>
        <v>506.48884329315212</v>
      </c>
      <c r="O30" s="147"/>
      <c r="P30" s="147"/>
      <c r="Q30" s="147"/>
      <c r="R30" s="147"/>
      <c r="S30" s="147"/>
      <c r="T30" s="147"/>
      <c r="U30" s="147"/>
      <c r="V30" s="147"/>
    </row>
    <row r="31" spans="1:22" x14ac:dyDescent="0.15">
      <c r="A31" s="140">
        <v>7</v>
      </c>
      <c r="B31" s="141">
        <v>2602421</v>
      </c>
      <c r="C31" s="142">
        <f>B31*100/B6</f>
        <v>87.315294446847105</v>
      </c>
      <c r="D31" s="142">
        <f>100000*159/B31</f>
        <v>6.1096955488754512</v>
      </c>
      <c r="E31" s="145">
        <f>100000*20621/B31</f>
        <v>792.37755920352629</v>
      </c>
      <c r="F31" s="144">
        <v>929279</v>
      </c>
      <c r="G31" s="142">
        <f>F31*100/F6</f>
        <v>174.46236104931353</v>
      </c>
      <c r="H31" s="142">
        <f>10000*159/F31</f>
        <v>1.7110039073303067</v>
      </c>
      <c r="I31" s="145">
        <f>10000*20621/F31</f>
        <v>221.90321744061794</v>
      </c>
      <c r="J31" s="139">
        <v>3904</v>
      </c>
      <c r="K31" s="142">
        <f>J31*100/J6</f>
        <v>109.81715893108299</v>
      </c>
      <c r="L31" s="142">
        <f>100*159/J31</f>
        <v>4.0727459016393439</v>
      </c>
      <c r="M31" s="143">
        <f>100*20621/J31</f>
        <v>528.20184426229503</v>
      </c>
      <c r="O31" s="147"/>
      <c r="P31" s="147"/>
      <c r="Q31" s="147"/>
      <c r="R31" s="147"/>
      <c r="S31" s="147"/>
      <c r="T31" s="147"/>
      <c r="U31" s="147"/>
      <c r="V31" s="147"/>
    </row>
    <row r="32" spans="1:22" x14ac:dyDescent="0.15">
      <c r="A32" s="134">
        <v>8</v>
      </c>
      <c r="B32" s="135">
        <v>2600058</v>
      </c>
      <c r="C32" s="142">
        <f>B32*100/B6</f>
        <v>87.236012101378066</v>
      </c>
      <c r="D32" s="142">
        <f>100000*122/B32</f>
        <v>4.6922030200864748</v>
      </c>
      <c r="E32" s="145">
        <f>100000*20667/B32</f>
        <v>794.86688373874733</v>
      </c>
      <c r="F32" s="139">
        <v>929147</v>
      </c>
      <c r="G32" s="142">
        <f>F32*100/F6</f>
        <v>174.43757943726968</v>
      </c>
      <c r="H32" s="142">
        <f>10000*122/F32</f>
        <v>1.3130322758400985</v>
      </c>
      <c r="I32" s="145">
        <f>10000*20667/F32</f>
        <v>222.4298200392403</v>
      </c>
      <c r="J32" s="149">
        <v>3904</v>
      </c>
      <c r="K32" s="142">
        <f>J32*100/J6</f>
        <v>109.81715893108299</v>
      </c>
      <c r="L32" s="142">
        <f>100*122/J32</f>
        <v>3.125</v>
      </c>
      <c r="M32" s="143">
        <f>100*20667/J32</f>
        <v>529.38012295081967</v>
      </c>
      <c r="O32" s="147"/>
      <c r="P32" s="148"/>
      <c r="Q32" s="148"/>
      <c r="R32" s="147"/>
      <c r="S32" s="147"/>
      <c r="T32" s="147"/>
      <c r="U32" s="147"/>
      <c r="V32" s="147"/>
    </row>
    <row r="33" spans="1:22" x14ac:dyDescent="0.15">
      <c r="A33" s="140">
        <v>9</v>
      </c>
      <c r="B33" s="141">
        <v>2596502</v>
      </c>
      <c r="C33" s="142">
        <f>B33*100/B6</f>
        <v>87.11670274018978</v>
      </c>
      <c r="D33" s="142">
        <f>100000*132/B33</f>
        <v>5.0837626930385573</v>
      </c>
      <c r="E33" s="145">
        <f>100000*19764/B33</f>
        <v>761.17792322131857</v>
      </c>
      <c r="F33" s="144">
        <v>940603</v>
      </c>
      <c r="G33" s="142">
        <f>F33*100/F6</f>
        <v>176.58832297950073</v>
      </c>
      <c r="H33" s="142">
        <f>10000*132/F33</f>
        <v>1.4033550817932752</v>
      </c>
      <c r="I33" s="145">
        <f>10000*19764/F33</f>
        <v>210.12052906486585</v>
      </c>
      <c r="J33" s="144">
        <v>3913</v>
      </c>
      <c r="K33" s="142">
        <f>J33*100/J6</f>
        <v>110.07032348804501</v>
      </c>
      <c r="L33" s="142">
        <f>100*132/J33</f>
        <v>3.3733708152312802</v>
      </c>
      <c r="M33" s="143">
        <f>100*19764/J33</f>
        <v>505.08561206235623</v>
      </c>
      <c r="O33" s="147"/>
      <c r="P33" s="147"/>
      <c r="Q33" s="147"/>
      <c r="R33" s="147"/>
      <c r="S33" s="147"/>
      <c r="T33" s="147"/>
      <c r="U33" s="147"/>
      <c r="V33" s="147"/>
    </row>
    <row r="34" spans="1:22" x14ac:dyDescent="0.15">
      <c r="A34" s="134">
        <v>10</v>
      </c>
      <c r="B34" s="135">
        <v>2596276</v>
      </c>
      <c r="C34" s="142">
        <f>B34*100/B6</f>
        <v>87.10912008675092</v>
      </c>
      <c r="D34" s="142">
        <f>100000*129/B34</f>
        <v>4.9686551044650109</v>
      </c>
      <c r="E34" s="145">
        <f>100000*20434/B34</f>
        <v>787.05037522975215</v>
      </c>
      <c r="F34" s="139">
        <v>945839</v>
      </c>
      <c r="G34" s="142">
        <f>F34*100/F6</f>
        <v>177.57132692390732</v>
      </c>
      <c r="H34" s="142">
        <f>10000*129/F34</f>
        <v>1.3638684807879564</v>
      </c>
      <c r="I34" s="145">
        <f>10000*20434/F34</f>
        <v>216.04099640636514</v>
      </c>
      <c r="J34" s="139">
        <v>3918</v>
      </c>
      <c r="K34" s="142">
        <f>J34*100/J6</f>
        <v>110.21097046413502</v>
      </c>
      <c r="L34" s="142">
        <f>100*129/J34</f>
        <v>3.2924961715160794</v>
      </c>
      <c r="M34" s="143">
        <f>100*20434/J34</f>
        <v>521.54160285860132</v>
      </c>
      <c r="O34" s="147"/>
      <c r="P34" s="147"/>
      <c r="Q34" s="147"/>
      <c r="R34" s="147"/>
      <c r="S34" s="147"/>
      <c r="T34" s="147"/>
      <c r="U34" s="147"/>
      <c r="V34" s="147"/>
    </row>
    <row r="35" spans="1:22" x14ac:dyDescent="0.15">
      <c r="A35" s="140">
        <v>11</v>
      </c>
      <c r="B35" s="141">
        <v>2595155</v>
      </c>
      <c r="C35" s="142">
        <f>B35*100/B6</f>
        <v>87.071508783631671</v>
      </c>
      <c r="D35" s="142">
        <f>100000*117/B35</f>
        <v>4.5084012322963369</v>
      </c>
      <c r="E35" s="145">
        <f>100000*21146/B35</f>
        <v>814.82608938579779</v>
      </c>
      <c r="F35" s="144">
        <v>931917</v>
      </c>
      <c r="G35" s="142">
        <f>F35*100/F6</f>
        <v>174.95761781122044</v>
      </c>
      <c r="H35" s="142">
        <f>10000*117/F35</f>
        <v>1.25547661433368</v>
      </c>
      <c r="I35" s="145">
        <f>10000*21146/F35</f>
        <v>226.90861954444441</v>
      </c>
      <c r="J35" s="144">
        <v>3920</v>
      </c>
      <c r="K35" s="142">
        <f>J35*100/J6</f>
        <v>110.26722925457102</v>
      </c>
      <c r="L35" s="142">
        <f>100*117/J35</f>
        <v>2.9846938775510203</v>
      </c>
      <c r="M35" s="143">
        <f>100*21146/J35</f>
        <v>539.4387755102041</v>
      </c>
      <c r="O35" s="147"/>
      <c r="P35" s="147"/>
      <c r="Q35" s="147"/>
      <c r="R35" s="147"/>
      <c r="S35" s="147"/>
      <c r="T35" s="147"/>
      <c r="U35" s="147"/>
      <c r="V35" s="147"/>
    </row>
    <row r="36" spans="1:22" x14ac:dyDescent="0.15">
      <c r="A36" s="134">
        <v>12</v>
      </c>
      <c r="B36" s="135">
        <v>2598774</v>
      </c>
      <c r="C36" s="142">
        <f>B36*100/B6</f>
        <v>87.192931893344948</v>
      </c>
      <c r="D36" s="137">
        <f>100000*100/B36</f>
        <v>3.8479683112113636</v>
      </c>
      <c r="E36" s="146">
        <f>100000*23167/B36</f>
        <v>891.45881865833655</v>
      </c>
      <c r="F36" s="139">
        <v>921544</v>
      </c>
      <c r="G36" s="142">
        <f>F36*100/F6</f>
        <v>173.01019613144018</v>
      </c>
      <c r="H36" s="137">
        <f>10000*100/F36</f>
        <v>1.0851353814901947</v>
      </c>
      <c r="I36" s="146">
        <f>10000*23167/F36</f>
        <v>251.3933138298334</v>
      </c>
      <c r="J36" s="139">
        <v>3922</v>
      </c>
      <c r="K36" s="142">
        <f>J36*100/J6</f>
        <v>110.32348804500704</v>
      </c>
      <c r="L36" s="137">
        <f>100*100/J36</f>
        <v>2.5497195308516063</v>
      </c>
      <c r="M36" s="138">
        <f>100*23167/J36</f>
        <v>590.69352371239165</v>
      </c>
      <c r="O36" s="147"/>
      <c r="P36" s="147"/>
      <c r="Q36" s="147"/>
      <c r="R36" s="147"/>
      <c r="S36" s="147"/>
      <c r="T36" s="147"/>
      <c r="U36" s="147"/>
      <c r="V36" s="147"/>
    </row>
    <row r="37" spans="1:22" x14ac:dyDescent="0.15">
      <c r="A37" s="140">
        <v>13</v>
      </c>
      <c r="B37" s="141">
        <v>2607059</v>
      </c>
      <c r="C37" s="142">
        <f>B37*100/B6</f>
        <v>87.470906600162991</v>
      </c>
      <c r="D37" s="142">
        <f>100000*101/B37</f>
        <v>3.8740972106883658</v>
      </c>
      <c r="E37" s="145">
        <f>100000*23349/B37</f>
        <v>895.60688883527382</v>
      </c>
      <c r="F37" s="144">
        <v>917210</v>
      </c>
      <c r="G37" s="142">
        <f>F37*100/F6</f>
        <v>172.19653320266664</v>
      </c>
      <c r="H37" s="142">
        <f>10000*101/F37</f>
        <v>1.10116549099988</v>
      </c>
      <c r="I37" s="145">
        <f>10000*23349/F37</f>
        <v>254.5654757362</v>
      </c>
      <c r="J37" s="144">
        <v>3934</v>
      </c>
      <c r="K37" s="142">
        <f>J37*100/J6</f>
        <v>110.66104078762307</v>
      </c>
      <c r="L37" s="142">
        <f>100*101/J37</f>
        <v>2.5673614641586173</v>
      </c>
      <c r="M37" s="143">
        <f>100*23349/J37</f>
        <v>593.51804778851044</v>
      </c>
      <c r="O37" s="147"/>
      <c r="P37" s="147"/>
      <c r="Q37" s="147"/>
      <c r="R37" s="147"/>
      <c r="S37" s="147"/>
      <c r="T37" s="147"/>
      <c r="U37" s="147"/>
      <c r="V37" s="147"/>
    </row>
    <row r="38" spans="1:22" x14ac:dyDescent="0.15">
      <c r="A38" s="134">
        <v>14</v>
      </c>
      <c r="B38" s="135">
        <v>2614875</v>
      </c>
      <c r="C38" s="142">
        <f>B38*100/B6</f>
        <v>87.733145623517231</v>
      </c>
      <c r="D38" s="142">
        <f>100000*107/B38</f>
        <v>4.0919738037191067</v>
      </c>
      <c r="E38" s="145">
        <f>100000*23424/B38</f>
        <v>895.79807830202208</v>
      </c>
      <c r="F38" s="139">
        <v>913052</v>
      </c>
      <c r="G38" s="142">
        <f>F38*100/F6</f>
        <v>171.41591242328496</v>
      </c>
      <c r="H38" s="142">
        <f>10000*107/F38</f>
        <v>1.1718938242290691</v>
      </c>
      <c r="I38" s="145">
        <f>10000*23424/F38</f>
        <v>256.54617699758614</v>
      </c>
      <c r="J38" s="139">
        <v>3951</v>
      </c>
      <c r="K38" s="142">
        <f>J38*100/J6</f>
        <v>111.13924050632912</v>
      </c>
      <c r="L38" s="142">
        <f>100*107/J38</f>
        <v>2.7081751455327767</v>
      </c>
      <c r="M38" s="143">
        <f>100*23424/J38</f>
        <v>592.86256643887623</v>
      </c>
      <c r="O38" s="147"/>
      <c r="P38" s="147"/>
      <c r="Q38" s="147"/>
      <c r="R38" s="147"/>
      <c r="S38" s="147"/>
      <c r="T38" s="147"/>
      <c r="U38" s="147"/>
      <c r="V38" s="147"/>
    </row>
    <row r="39" spans="1:22" x14ac:dyDescent="0.15">
      <c r="A39" s="140">
        <v>15</v>
      </c>
      <c r="B39" s="141">
        <v>2619955</v>
      </c>
      <c r="C39" s="142">
        <f>B39*100/B6</f>
        <v>87.903587568071927</v>
      </c>
      <c r="D39" s="142">
        <f>100000*86/B39</f>
        <v>3.2824991268934007</v>
      </c>
      <c r="E39" s="145">
        <f>100000*24161/B39</f>
        <v>922.19141168455178</v>
      </c>
      <c r="F39" s="144">
        <v>905738</v>
      </c>
      <c r="G39" s="142">
        <f>F39*100/F6</f>
        <v>170.04278582867269</v>
      </c>
      <c r="H39" s="142">
        <f>10000*86/F39</f>
        <v>0.9495019531034361</v>
      </c>
      <c r="I39" s="145">
        <f>10000*24161/F39</f>
        <v>266.75484522014091</v>
      </c>
      <c r="J39" s="144">
        <v>3955</v>
      </c>
      <c r="K39" s="142">
        <f>J39*100/J6</f>
        <v>111.25175808720113</v>
      </c>
      <c r="L39" s="142">
        <f>100*86/J39</f>
        <v>2.1744627054361567</v>
      </c>
      <c r="M39" s="143">
        <f>100*24161/J39</f>
        <v>610.897597977244</v>
      </c>
      <c r="O39" s="147"/>
      <c r="P39" s="148"/>
      <c r="Q39" s="148"/>
      <c r="R39" s="147"/>
      <c r="S39" s="147"/>
      <c r="T39" s="147"/>
      <c r="U39" s="147"/>
      <c r="V39" s="147"/>
    </row>
    <row r="40" spans="1:22" x14ac:dyDescent="0.15">
      <c r="A40" s="134">
        <v>16</v>
      </c>
      <c r="B40" s="150">
        <v>2624775</v>
      </c>
      <c r="C40" s="151">
        <f>B40*100/B6</f>
        <v>88.065306106015555</v>
      </c>
      <c r="D40" s="142">
        <f>100000*91/B40</f>
        <v>3.4669638349953806</v>
      </c>
      <c r="E40" s="145">
        <f>100000*24183/B40</f>
        <v>921.33611452410207</v>
      </c>
      <c r="F40" s="152">
        <v>900212</v>
      </c>
      <c r="G40" s="151">
        <f>F40*100/F6</f>
        <v>169.00533743356368</v>
      </c>
      <c r="H40" s="142">
        <f>10000*91/F40</f>
        <v>1.0108729943613282</v>
      </c>
      <c r="I40" s="145">
        <f>10000*24183/F40</f>
        <v>268.6367211279121</v>
      </c>
      <c r="J40" s="152">
        <v>3961</v>
      </c>
      <c r="K40" s="151">
        <f>J40*100/J6</f>
        <v>111.42053445850914</v>
      </c>
      <c r="L40" s="142">
        <f>100*91/J40</f>
        <v>2.2973996465539006</v>
      </c>
      <c r="M40" s="143">
        <f>100*24183/J40</f>
        <v>610.52764453420855</v>
      </c>
      <c r="O40" s="147"/>
      <c r="P40" s="147"/>
      <c r="Q40" s="147"/>
      <c r="R40" s="147"/>
      <c r="S40" s="147"/>
      <c r="T40" s="147"/>
      <c r="U40" s="147"/>
      <c r="V40" s="147"/>
    </row>
    <row r="41" spans="1:22" x14ac:dyDescent="0.15">
      <c r="A41" s="140">
        <v>17</v>
      </c>
      <c r="B41" s="150">
        <v>2628811</v>
      </c>
      <c r="C41" s="142">
        <f>B41*100/B6</f>
        <v>88.20072021787044</v>
      </c>
      <c r="D41" s="142">
        <f>100000*80/B41</f>
        <v>3.043200899570186</v>
      </c>
      <c r="E41" s="153">
        <f>100000*23353/B41</f>
        <v>888.34838259578191</v>
      </c>
      <c r="F41" s="152">
        <v>899539</v>
      </c>
      <c r="G41" s="142">
        <f>F41*100/F6</f>
        <v>168.87898876003703</v>
      </c>
      <c r="H41" s="142">
        <f>10000*80/F41</f>
        <v>0.88934443086958992</v>
      </c>
      <c r="I41" s="153">
        <f>10000*23353/F41</f>
        <v>259.61075617621913</v>
      </c>
      <c r="J41" s="152">
        <v>3969</v>
      </c>
      <c r="K41" s="142">
        <f>J41*100/J6</f>
        <v>111.64556962025317</v>
      </c>
      <c r="L41" s="142">
        <f>100*80/J41</f>
        <v>2.0156210632401108</v>
      </c>
      <c r="M41" s="154">
        <f>100*23353/J41</f>
        <v>588.38498362307882</v>
      </c>
      <c r="O41" s="147"/>
      <c r="P41" s="147"/>
      <c r="Q41" s="147"/>
      <c r="R41" s="147"/>
      <c r="S41" s="147"/>
      <c r="T41" s="147"/>
      <c r="U41" s="147"/>
      <c r="V41" s="147"/>
    </row>
    <row r="42" spans="1:22" x14ac:dyDescent="0.15">
      <c r="A42" s="155">
        <v>18</v>
      </c>
      <c r="B42" s="150">
        <v>2634944</v>
      </c>
      <c r="C42" s="142">
        <f>B42*100/B6</f>
        <v>88.406491959199954</v>
      </c>
      <c r="D42" s="142">
        <f>100000*75/B42</f>
        <v>2.8463603021544293</v>
      </c>
      <c r="E42" s="153">
        <f>100000*22100/B42</f>
        <v>838.72750236817183</v>
      </c>
      <c r="F42" s="152">
        <v>897431</v>
      </c>
      <c r="G42" s="142">
        <f>F42*100/F6</f>
        <v>168.48323392527593</v>
      </c>
      <c r="H42" s="142">
        <f>10000*75/F42</f>
        <v>0.83571884635141869</v>
      </c>
      <c r="I42" s="153">
        <f>10000*22100/F42</f>
        <v>246.2584867248847</v>
      </c>
      <c r="J42" s="152">
        <v>3974</v>
      </c>
      <c r="K42" s="142">
        <f>J42*100/J6</f>
        <v>111.78621659634318</v>
      </c>
      <c r="L42" s="142">
        <f>100*75/J42</f>
        <v>1.887267237040765</v>
      </c>
      <c r="M42" s="154">
        <f>100*22100/J42</f>
        <v>556.11474584801203</v>
      </c>
      <c r="O42" s="147"/>
      <c r="P42" s="147"/>
      <c r="Q42" s="147"/>
      <c r="R42" s="147"/>
      <c r="S42" s="147"/>
      <c r="T42" s="147"/>
      <c r="U42" s="147"/>
      <c r="V42" s="147"/>
    </row>
    <row r="43" spans="1:22" x14ac:dyDescent="0.15">
      <c r="A43" s="155">
        <v>19</v>
      </c>
      <c r="B43" s="150">
        <v>2642854</v>
      </c>
      <c r="C43" s="142">
        <f>B43*100/B6</f>
        <v>88.67188482955973</v>
      </c>
      <c r="D43" s="142">
        <f>100000*73/B43</f>
        <v>2.7621654468994503</v>
      </c>
      <c r="E43" s="153">
        <f>100000*20318/B43</f>
        <v>768.79010342606898</v>
      </c>
      <c r="F43" s="152">
        <v>890261</v>
      </c>
      <c r="G43" s="142">
        <f>F43*100/F6</f>
        <v>167.13714181652972</v>
      </c>
      <c r="H43" s="142">
        <f>10000*73/F43</f>
        <v>0.8199842518093009</v>
      </c>
      <c r="I43" s="153">
        <f>10000*20318/F43</f>
        <v>228.22520586659417</v>
      </c>
      <c r="J43" s="152">
        <v>3979</v>
      </c>
      <c r="K43" s="142">
        <f>J43*100/J6</f>
        <v>111.92686357243319</v>
      </c>
      <c r="L43" s="142">
        <f>100*73/J43</f>
        <v>1.8346318170394571</v>
      </c>
      <c r="M43" s="154">
        <f>100*20318/J43</f>
        <v>510.63081176174916</v>
      </c>
      <c r="O43" s="147"/>
      <c r="P43" s="147"/>
      <c r="Q43" s="147"/>
      <c r="R43" s="147"/>
      <c r="S43" s="147"/>
      <c r="T43" s="147"/>
      <c r="U43" s="147"/>
      <c r="V43" s="147"/>
    </row>
    <row r="44" spans="1:22" x14ac:dyDescent="0.15">
      <c r="A44" s="155">
        <v>20</v>
      </c>
      <c r="B44" s="150">
        <v>2650670</v>
      </c>
      <c r="C44" s="142">
        <f>B44*100/B6</f>
        <v>88.93412385291397</v>
      </c>
      <c r="D44" s="142">
        <f>100000*61/B44</f>
        <v>2.3013049530873326</v>
      </c>
      <c r="E44" s="153">
        <f>100000*18741/B44</f>
        <v>707.02878894770004</v>
      </c>
      <c r="F44" s="152">
        <v>878268</v>
      </c>
      <c r="G44" s="142">
        <v>155</v>
      </c>
      <c r="H44" s="142">
        <f>10000*61/F44</f>
        <v>0.69454881653436085</v>
      </c>
      <c r="I44" s="153">
        <f>10000*18741/F44</f>
        <v>213.38589132246648</v>
      </c>
      <c r="J44" s="152">
        <v>3977</v>
      </c>
      <c r="K44" s="142">
        <f>J44*100/J6</f>
        <v>111.87060478199719</v>
      </c>
      <c r="L44" s="142">
        <v>1.5</v>
      </c>
      <c r="M44" s="154">
        <v>471.2</v>
      </c>
      <c r="O44" s="147"/>
      <c r="P44" s="147"/>
      <c r="Q44" s="147"/>
      <c r="R44" s="147"/>
      <c r="S44" s="147"/>
      <c r="T44" s="147"/>
      <c r="U44" s="147"/>
      <c r="V44" s="147"/>
    </row>
    <row r="45" spans="1:22" x14ac:dyDescent="0.15">
      <c r="A45" s="155">
        <v>21</v>
      </c>
      <c r="B45" s="150">
        <v>2659796</v>
      </c>
      <c r="C45" s="142">
        <f>B45*100/B6</f>
        <v>89.240315424962432</v>
      </c>
      <c r="D45" s="142">
        <f>100000*64/B45</f>
        <v>2.4061995732003507</v>
      </c>
      <c r="E45" s="153">
        <f>100000*18280/B45</f>
        <v>687.27075309535019</v>
      </c>
      <c r="F45" s="152">
        <v>863396</v>
      </c>
      <c r="G45" s="142">
        <v>162.19999999999999</v>
      </c>
      <c r="H45" s="142">
        <f>10000*64/F45</f>
        <v>0.74125893564482581</v>
      </c>
      <c r="I45" s="153">
        <f>10000*18280/F45</f>
        <v>211.72208349355336</v>
      </c>
      <c r="J45" s="152">
        <v>3977</v>
      </c>
      <c r="K45" s="142">
        <f>J45*100/J6</f>
        <v>111.87060478199719</v>
      </c>
      <c r="L45" s="142">
        <v>1.6</v>
      </c>
      <c r="M45" s="154">
        <v>459.6</v>
      </c>
    </row>
    <row r="46" spans="1:22" x14ac:dyDescent="0.15">
      <c r="A46" s="155">
        <v>22</v>
      </c>
      <c r="B46" s="150">
        <v>2665314</v>
      </c>
      <c r="C46" s="142">
        <f>B46*100/B6</f>
        <v>89.425452954500386</v>
      </c>
      <c r="D46" s="142">
        <f>100000*62/B46</f>
        <v>2.3261799547820634</v>
      </c>
      <c r="E46" s="153">
        <v>675.53360745965404</v>
      </c>
      <c r="F46" s="152">
        <v>848705</v>
      </c>
      <c r="G46" s="142">
        <v>163.30000000000001</v>
      </c>
      <c r="H46" s="142">
        <v>0.7</v>
      </c>
      <c r="I46" s="153">
        <v>207.2</v>
      </c>
      <c r="J46" s="152">
        <v>3985</v>
      </c>
      <c r="K46" s="142">
        <f>J46*100/J6</f>
        <v>112.0956399437412</v>
      </c>
      <c r="L46" s="142">
        <v>1.6</v>
      </c>
      <c r="M46" s="154">
        <v>452.3</v>
      </c>
    </row>
    <row r="47" spans="1:22" x14ac:dyDescent="0.15">
      <c r="A47" s="156">
        <v>23</v>
      </c>
      <c r="B47" s="150">
        <v>2670579</v>
      </c>
      <c r="C47" s="142">
        <f>B47*100/B6</f>
        <v>89.602101938374503</v>
      </c>
      <c r="D47" s="142">
        <f>100000*65/B47</f>
        <v>2.4339291217372714</v>
      </c>
      <c r="E47" s="153">
        <v>647.1</v>
      </c>
      <c r="F47" s="152">
        <v>839638</v>
      </c>
      <c r="G47" s="142">
        <v>161.6</v>
      </c>
      <c r="H47" s="142">
        <v>0.8</v>
      </c>
      <c r="I47" s="153">
        <v>200.8</v>
      </c>
      <c r="J47" s="152">
        <v>3986</v>
      </c>
      <c r="K47" s="142">
        <f>J47*100/J6</f>
        <v>112.12376933895921</v>
      </c>
      <c r="L47" s="142">
        <v>1.6</v>
      </c>
      <c r="M47" s="154">
        <v>433.6</v>
      </c>
    </row>
    <row r="48" spans="1:22" x14ac:dyDescent="0.15">
      <c r="A48" s="156">
        <v>24</v>
      </c>
      <c r="B48" s="150">
        <v>2677375</v>
      </c>
      <c r="C48" s="142">
        <f t="shared" ref="C48:C54" si="0">B48*100/$B$6</f>
        <v>89.830118366562246</v>
      </c>
      <c r="D48" s="142">
        <f>100000*51/B48</f>
        <v>1.9048508333722396</v>
      </c>
      <c r="E48" s="153">
        <v>631.20000000000005</v>
      </c>
      <c r="F48" s="152">
        <v>834729</v>
      </c>
      <c r="G48" s="142">
        <v>156.69999999999999</v>
      </c>
      <c r="H48" s="142">
        <v>0.6</v>
      </c>
      <c r="I48" s="153">
        <v>202.5</v>
      </c>
      <c r="J48" s="152">
        <v>3986</v>
      </c>
      <c r="K48" s="142">
        <f>J48*100/J6</f>
        <v>112.12376933895921</v>
      </c>
      <c r="L48" s="142">
        <v>1.3</v>
      </c>
      <c r="M48" s="154">
        <v>424</v>
      </c>
    </row>
    <row r="49" spans="1:13" x14ac:dyDescent="0.15">
      <c r="A49" s="156">
        <v>25</v>
      </c>
      <c r="B49" s="152">
        <v>2683487</v>
      </c>
      <c r="C49" s="142">
        <f t="shared" si="0"/>
        <v>90.035185525050096</v>
      </c>
      <c r="D49" s="142">
        <f>100000*49/B49</f>
        <v>1.8259823878408952</v>
      </c>
      <c r="E49" s="153">
        <v>611.79999999999995</v>
      </c>
      <c r="F49" s="152">
        <v>835576</v>
      </c>
      <c r="G49" s="151">
        <f t="shared" ref="G49:G54" si="1">F49*100/$F$6</f>
        <v>156.87060806941855</v>
      </c>
      <c r="H49" s="142">
        <f>10000*49/F49</f>
        <v>0.58642182159372691</v>
      </c>
      <c r="I49" s="153">
        <v>185.1</v>
      </c>
      <c r="J49" s="152">
        <v>3813</v>
      </c>
      <c r="K49" s="142">
        <f>J49*100/J6</f>
        <v>107.25738396624473</v>
      </c>
      <c r="L49" s="142">
        <f>100*49/J49</f>
        <v>1.2850773669027014</v>
      </c>
      <c r="M49" s="154">
        <f>100*16418/J49</f>
        <v>430.57959611854182</v>
      </c>
    </row>
    <row r="50" spans="1:13" x14ac:dyDescent="0.15">
      <c r="A50" s="156">
        <v>26</v>
      </c>
      <c r="B50" s="152">
        <v>2686246</v>
      </c>
      <c r="C50" s="142">
        <f t="shared" si="0"/>
        <v>90.12775428981908</v>
      </c>
      <c r="D50" s="142">
        <f>100000*51/B50</f>
        <v>1.8985602956691234</v>
      </c>
      <c r="E50" s="153">
        <f>100000*15221/B50</f>
        <v>566.6271815760731</v>
      </c>
      <c r="F50" s="152">
        <v>838591</v>
      </c>
      <c r="G50" s="151">
        <f t="shared" si="1"/>
        <v>157.43664261723862</v>
      </c>
      <c r="H50" s="142">
        <f>10000*51/F50</f>
        <v>0.60816297813832965</v>
      </c>
      <c r="I50" s="153">
        <f>10000*15221/F50</f>
        <v>181.50683706359834</v>
      </c>
      <c r="J50" s="152">
        <v>3818</v>
      </c>
      <c r="K50" s="142">
        <f>J50*100/J6</f>
        <v>107.39803094233474</v>
      </c>
      <c r="L50" s="142">
        <f>100*51/J50</f>
        <v>1.3357778941854375</v>
      </c>
      <c r="M50" s="154">
        <f>100*15221/J50</f>
        <v>398.66422210581459</v>
      </c>
    </row>
    <row r="51" spans="1:13" x14ac:dyDescent="0.15">
      <c r="A51" s="156">
        <v>27</v>
      </c>
      <c r="B51" s="149">
        <v>2691185</v>
      </c>
      <c r="C51" s="142">
        <f t="shared" si="0"/>
        <v>90.293465463865473</v>
      </c>
      <c r="D51" s="142">
        <f>100000*51/B51</f>
        <v>1.8950759609614352</v>
      </c>
      <c r="E51" s="153">
        <f>100000*14867/B51</f>
        <v>552.43322179634617</v>
      </c>
      <c r="F51" s="149">
        <v>842716</v>
      </c>
      <c r="G51" s="151">
        <f t="shared" si="1"/>
        <v>158.21106799360936</v>
      </c>
      <c r="H51" s="142">
        <f>10000*51/F51</f>
        <v>0.60518608878910574</v>
      </c>
      <c r="I51" s="153">
        <f>10000*14867/F51</f>
        <v>176.41767807897321</v>
      </c>
      <c r="J51" s="149">
        <v>3817</v>
      </c>
      <c r="K51" s="142">
        <f>J51*100/J6</f>
        <v>107.36990154711674</v>
      </c>
      <c r="L51" s="142">
        <f>100*51/J51</f>
        <v>1.3361278490961488</v>
      </c>
      <c r="M51" s="154">
        <f>100*14867/J51</f>
        <v>389.49436730416556</v>
      </c>
    </row>
    <row r="52" spans="1:13" x14ac:dyDescent="0.15">
      <c r="A52" s="156">
        <v>28</v>
      </c>
      <c r="B52" s="149">
        <v>2705961</v>
      </c>
      <c r="C52" s="142">
        <f t="shared" si="0"/>
        <v>90.7892233718852</v>
      </c>
      <c r="D52" s="142">
        <f>100000*49/B52</f>
        <v>1.8108169334295654</v>
      </c>
      <c r="E52" s="153">
        <f>100000*14231/B52</f>
        <v>525.91297509461515</v>
      </c>
      <c r="F52" s="149">
        <v>841066</v>
      </c>
      <c r="G52" s="151">
        <f t="shared" si="1"/>
        <v>157.90129784306106</v>
      </c>
      <c r="H52" s="142">
        <f>10000*49/F52</f>
        <v>0.58259399381261401</v>
      </c>
      <c r="I52" s="153">
        <f>10000*14231/F52</f>
        <v>169.20194134586347</v>
      </c>
      <c r="J52" s="149">
        <v>3816</v>
      </c>
      <c r="K52" s="142">
        <f>J52*100/$J$6</f>
        <v>107.34177215189874</v>
      </c>
      <c r="L52" s="142">
        <f>100*49/J52</f>
        <v>1.2840670859538783</v>
      </c>
      <c r="M52" s="154">
        <f>100*14231/J52</f>
        <v>372.92976939203356</v>
      </c>
    </row>
    <row r="53" spans="1:13" x14ac:dyDescent="0.15">
      <c r="A53" s="156">
        <v>29</v>
      </c>
      <c r="B53" s="149">
        <v>2713157</v>
      </c>
      <c r="C53" s="142">
        <f>B53*100/$B$6</f>
        <v>91.030660425628426</v>
      </c>
      <c r="D53" s="142">
        <f>100000*44/B53</f>
        <v>1.6217270139545923</v>
      </c>
      <c r="E53" s="153">
        <f>100000*13398/B53</f>
        <v>493.81587574917336</v>
      </c>
      <c r="F53" s="149">
        <v>845427</v>
      </c>
      <c r="G53" s="142">
        <f t="shared" si="1"/>
        <v>158.72002973793445</v>
      </c>
      <c r="H53" s="142">
        <f>10000*44/F53</f>
        <v>0.52044706402800001</v>
      </c>
      <c r="I53" s="153">
        <f>10000*13398/F53</f>
        <v>158.47613099652602</v>
      </c>
      <c r="J53" s="149">
        <v>3816</v>
      </c>
      <c r="K53" s="142">
        <f>J53*100/$J$6</f>
        <v>107.34177215189874</v>
      </c>
      <c r="L53" s="142">
        <f>100*44/J53</f>
        <v>1.1530398322851152</v>
      </c>
      <c r="M53" s="154">
        <f>100*13398/J53</f>
        <v>351.10062893081761</v>
      </c>
    </row>
    <row r="54" spans="1:13" x14ac:dyDescent="0.15">
      <c r="A54" s="156">
        <v>30</v>
      </c>
      <c r="B54" s="149">
        <v>2725006</v>
      </c>
      <c r="C54" s="142">
        <f t="shared" si="0"/>
        <v>91.428212906145873</v>
      </c>
      <c r="D54" s="142">
        <f>100000*44/B54</f>
        <v>1.6146753438341053</v>
      </c>
      <c r="E54" s="153">
        <f>100000*12723/B54</f>
        <v>466.89805453639366</v>
      </c>
      <c r="F54" s="149">
        <v>848863</v>
      </c>
      <c r="G54" s="142">
        <f t="shared" si="1"/>
        <v>159.36510260901562</v>
      </c>
      <c r="H54" s="142">
        <f>10000*44/F54</f>
        <v>0.51834041535559916</v>
      </c>
      <c r="I54" s="153">
        <f>10000*12723/F54</f>
        <v>149.88284328566564</v>
      </c>
      <c r="J54" s="149">
        <v>3814</v>
      </c>
      <c r="K54" s="142">
        <f>J54*100/$J$6</f>
        <v>107.28551336146273</v>
      </c>
      <c r="L54" s="142">
        <f>100*44/J54</f>
        <v>1.1536444677503932</v>
      </c>
      <c r="M54" s="154">
        <f>100*12723/J54</f>
        <v>333.58678552700576</v>
      </c>
    </row>
    <row r="55" spans="1:13" ht="19.5" customHeight="1" thickBot="1" x14ac:dyDescent="0.2">
      <c r="A55" s="157"/>
      <c r="B55" s="600" t="s">
        <v>267</v>
      </c>
      <c r="C55" s="604"/>
      <c r="D55" s="604"/>
      <c r="E55" s="605"/>
      <c r="F55" s="600" t="s">
        <v>109</v>
      </c>
      <c r="G55" s="601"/>
      <c r="H55" s="601"/>
      <c r="I55" s="602"/>
      <c r="J55" s="600" t="s">
        <v>214</v>
      </c>
      <c r="K55" s="601"/>
      <c r="L55" s="601"/>
      <c r="M55" s="602"/>
    </row>
    <row r="56" spans="1:13" x14ac:dyDescent="0.15">
      <c r="C56" s="158"/>
    </row>
  </sheetData>
  <mergeCells count="9">
    <mergeCell ref="L4:M4"/>
    <mergeCell ref="F55:I55"/>
    <mergeCell ref="J55:M55"/>
    <mergeCell ref="B4:C4"/>
    <mergeCell ref="D4:E4"/>
    <mergeCell ref="F4:G4"/>
    <mergeCell ref="H4:I4"/>
    <mergeCell ref="J4:K4"/>
    <mergeCell ref="B55:E55"/>
  </mergeCells>
  <phoneticPr fontId="37"/>
  <pageMargins left="0.59055118110236227" right="0.78740157480314965" top="0.98425196850393704" bottom="0.98425196850393704" header="0.51181102362204722" footer="0.51181102362204722"/>
  <pageSetup paperSize="9" scale="88" firstPageNumber="0" orientation="portrait" r:id="rId1"/>
  <headerFooter alignWithMargins="0">
    <oddFooter xml:space="preserve">&amp;C-4-
</oddFooter>
  </headerFooter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view="pageBreakPreview" topLeftCell="A22" zoomScaleNormal="100" zoomScaleSheetLayoutView="100" workbookViewId="0">
      <selection activeCell="N15" sqref="N15"/>
    </sheetView>
  </sheetViews>
  <sheetFormatPr defaultRowHeight="13.5" x14ac:dyDescent="0.15"/>
  <cols>
    <col min="1" max="1" width="2.875" customWidth="1"/>
    <col min="2" max="2" width="1.5" customWidth="1"/>
    <col min="4" max="15" width="6.625" customWidth="1"/>
    <col min="16" max="16" width="7.625" customWidth="1"/>
  </cols>
  <sheetData>
    <row r="1" spans="1:32" s="159" customFormat="1" ht="21.75" customHeight="1" x14ac:dyDescent="0.2">
      <c r="A1" s="31" t="s">
        <v>280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32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32" ht="14.25" x14ac:dyDescent="0.15">
      <c r="A3" s="126" t="s">
        <v>185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32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1"/>
      <c r="AE4" s="161"/>
      <c r="AF4" s="161"/>
    </row>
    <row r="5" spans="1:32" x14ac:dyDescent="0.15">
      <c r="A5" s="3" t="s">
        <v>89</v>
      </c>
      <c r="B5" s="3"/>
      <c r="C5" s="3"/>
      <c r="D5" s="3"/>
      <c r="E5" s="3"/>
      <c r="F5" s="3"/>
      <c r="G5" s="3"/>
      <c r="H5" s="3"/>
      <c r="I5" s="3"/>
      <c r="J5" s="3"/>
      <c r="K5" s="559" t="s">
        <v>179</v>
      </c>
      <c r="L5" s="559"/>
      <c r="M5" s="559"/>
      <c r="N5" s="559"/>
      <c r="O5" s="559"/>
      <c r="P5" s="559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1"/>
      <c r="AE5" s="161"/>
      <c r="AF5" s="161"/>
    </row>
    <row r="6" spans="1:32" x14ac:dyDescent="0.15">
      <c r="A6" s="162"/>
      <c r="B6" s="163"/>
      <c r="C6" s="164" t="s">
        <v>156</v>
      </c>
      <c r="D6" s="612">
        <v>1</v>
      </c>
      <c r="E6" s="613">
        <v>2</v>
      </c>
      <c r="F6" s="613">
        <v>3</v>
      </c>
      <c r="G6" s="613">
        <v>4</v>
      </c>
      <c r="H6" s="613">
        <v>5</v>
      </c>
      <c r="I6" s="613">
        <v>6</v>
      </c>
      <c r="J6" s="613">
        <v>7</v>
      </c>
      <c r="K6" s="613">
        <v>8</v>
      </c>
      <c r="L6" s="613">
        <v>9</v>
      </c>
      <c r="M6" s="613">
        <v>10</v>
      </c>
      <c r="N6" s="613">
        <v>11</v>
      </c>
      <c r="O6" s="563">
        <v>12</v>
      </c>
      <c r="P6" s="616" t="s">
        <v>196</v>
      </c>
    </row>
    <row r="7" spans="1:32" x14ac:dyDescent="0.15">
      <c r="A7" s="165" t="s">
        <v>26</v>
      </c>
      <c r="B7" s="166"/>
      <c r="C7" s="166"/>
      <c r="D7" s="548"/>
      <c r="E7" s="614"/>
      <c r="F7" s="614"/>
      <c r="G7" s="614"/>
      <c r="H7" s="614"/>
      <c r="I7" s="614"/>
      <c r="J7" s="614"/>
      <c r="K7" s="614"/>
      <c r="L7" s="614"/>
      <c r="M7" s="614"/>
      <c r="N7" s="614"/>
      <c r="O7" s="615"/>
      <c r="P7" s="617"/>
    </row>
    <row r="8" spans="1:32" ht="24" customHeight="1" x14ac:dyDescent="0.15">
      <c r="A8" s="167"/>
      <c r="B8" s="606" t="s">
        <v>73</v>
      </c>
      <c r="C8" s="607"/>
      <c r="D8" s="464">
        <v>777</v>
      </c>
      <c r="E8" s="465">
        <v>830</v>
      </c>
      <c r="F8" s="465">
        <v>922</v>
      </c>
      <c r="G8" s="465">
        <v>924</v>
      </c>
      <c r="H8" s="465">
        <v>925</v>
      </c>
      <c r="I8" s="465">
        <v>945</v>
      </c>
      <c r="J8" s="465">
        <v>979</v>
      </c>
      <c r="K8" s="465">
        <v>871</v>
      </c>
      <c r="L8" s="465">
        <v>843</v>
      </c>
      <c r="M8" s="465">
        <v>987</v>
      </c>
      <c r="N8" s="465">
        <v>910</v>
      </c>
      <c r="O8" s="466">
        <v>972</v>
      </c>
      <c r="P8" s="435">
        <f t="shared" ref="P8:P17" si="0">SUM(D8:O8)</f>
        <v>10885</v>
      </c>
      <c r="R8" s="168"/>
    </row>
    <row r="9" spans="1:32" ht="24" customHeight="1" x14ac:dyDescent="0.15">
      <c r="A9" s="169" t="s">
        <v>103</v>
      </c>
      <c r="B9" s="608" t="s">
        <v>24</v>
      </c>
      <c r="C9" s="609"/>
      <c r="D9" s="467">
        <v>1</v>
      </c>
      <c r="E9" s="443">
        <v>2</v>
      </c>
      <c r="F9" s="443">
        <v>3</v>
      </c>
      <c r="G9" s="443">
        <v>5</v>
      </c>
      <c r="H9" s="443">
        <v>4</v>
      </c>
      <c r="I9" s="443">
        <v>1</v>
      </c>
      <c r="J9" s="443">
        <v>4</v>
      </c>
      <c r="K9" s="443">
        <v>2</v>
      </c>
      <c r="L9" s="443">
        <v>4</v>
      </c>
      <c r="M9" s="443">
        <v>6</v>
      </c>
      <c r="N9" s="443">
        <v>5</v>
      </c>
      <c r="O9" s="468">
        <v>7</v>
      </c>
      <c r="P9" s="436">
        <f t="shared" si="0"/>
        <v>44</v>
      </c>
      <c r="R9" s="168"/>
    </row>
    <row r="10" spans="1:32" ht="24" customHeight="1" x14ac:dyDescent="0.15">
      <c r="A10" s="169" t="s">
        <v>32</v>
      </c>
      <c r="B10" s="171"/>
      <c r="C10" s="14" t="s">
        <v>207</v>
      </c>
      <c r="D10" s="442">
        <v>0</v>
      </c>
      <c r="E10" s="443">
        <v>1</v>
      </c>
      <c r="F10" s="443">
        <v>0</v>
      </c>
      <c r="G10" s="443">
        <v>0</v>
      </c>
      <c r="H10" s="443">
        <v>1</v>
      </c>
      <c r="I10" s="443">
        <v>0</v>
      </c>
      <c r="J10" s="443">
        <v>0</v>
      </c>
      <c r="K10" s="443">
        <v>0</v>
      </c>
      <c r="L10" s="443">
        <v>0</v>
      </c>
      <c r="M10" s="443">
        <v>0</v>
      </c>
      <c r="N10" s="443">
        <v>0</v>
      </c>
      <c r="O10" s="444">
        <v>1</v>
      </c>
      <c r="P10" s="437">
        <f t="shared" si="0"/>
        <v>3</v>
      </c>
      <c r="R10" s="168"/>
    </row>
    <row r="11" spans="1:32" ht="24" customHeight="1" x14ac:dyDescent="0.15">
      <c r="A11" s="169" t="s">
        <v>70</v>
      </c>
      <c r="B11" s="172"/>
      <c r="C11" s="14" t="s">
        <v>168</v>
      </c>
      <c r="D11" s="442">
        <v>1</v>
      </c>
      <c r="E11" s="443">
        <v>0</v>
      </c>
      <c r="F11" s="443">
        <v>1</v>
      </c>
      <c r="G11" s="443">
        <v>1</v>
      </c>
      <c r="H11" s="443">
        <v>1</v>
      </c>
      <c r="I11" s="443">
        <v>1</v>
      </c>
      <c r="J11" s="443">
        <v>1</v>
      </c>
      <c r="K11" s="443">
        <v>0</v>
      </c>
      <c r="L11" s="443">
        <v>3</v>
      </c>
      <c r="M11" s="443">
        <v>2</v>
      </c>
      <c r="N11" s="443">
        <v>1</v>
      </c>
      <c r="O11" s="444">
        <v>3</v>
      </c>
      <c r="P11" s="436">
        <f t="shared" si="0"/>
        <v>15</v>
      </c>
    </row>
    <row r="12" spans="1:32" ht="24" customHeight="1" x14ac:dyDescent="0.15">
      <c r="A12" s="169" t="s">
        <v>75</v>
      </c>
      <c r="B12" s="608" t="s">
        <v>7</v>
      </c>
      <c r="C12" s="609"/>
      <c r="D12" s="467">
        <v>922</v>
      </c>
      <c r="E12" s="443">
        <v>958</v>
      </c>
      <c r="F12" s="443">
        <v>1097</v>
      </c>
      <c r="G12" s="443">
        <v>1081</v>
      </c>
      <c r="H12" s="443">
        <v>1084</v>
      </c>
      <c r="I12" s="443">
        <v>1076</v>
      </c>
      <c r="J12" s="443">
        <v>1175</v>
      </c>
      <c r="K12" s="443">
        <v>1021</v>
      </c>
      <c r="L12" s="443">
        <v>982</v>
      </c>
      <c r="M12" s="443">
        <v>1138</v>
      </c>
      <c r="N12" s="443">
        <v>1045</v>
      </c>
      <c r="O12" s="468">
        <v>1144</v>
      </c>
      <c r="P12" s="437">
        <f t="shared" si="0"/>
        <v>12723</v>
      </c>
    </row>
    <row r="13" spans="1:32" ht="24" customHeight="1" x14ac:dyDescent="0.15">
      <c r="A13" s="169" t="s">
        <v>107</v>
      </c>
      <c r="B13" s="171"/>
      <c r="C13" s="14" t="s">
        <v>207</v>
      </c>
      <c r="D13" s="442">
        <v>30</v>
      </c>
      <c r="E13" s="443">
        <v>29</v>
      </c>
      <c r="F13" s="443">
        <v>62</v>
      </c>
      <c r="G13" s="443">
        <v>53</v>
      </c>
      <c r="H13" s="443">
        <v>65</v>
      </c>
      <c r="I13" s="443">
        <v>36</v>
      </c>
      <c r="J13" s="443">
        <v>54</v>
      </c>
      <c r="K13" s="443">
        <v>45</v>
      </c>
      <c r="L13" s="443">
        <v>40</v>
      </c>
      <c r="M13" s="443">
        <v>56</v>
      </c>
      <c r="N13" s="443">
        <v>46</v>
      </c>
      <c r="O13" s="444">
        <v>72</v>
      </c>
      <c r="P13" s="436">
        <f t="shared" si="0"/>
        <v>588</v>
      </c>
    </row>
    <row r="14" spans="1:32" ht="24" customHeight="1" x14ac:dyDescent="0.15">
      <c r="A14" s="169"/>
      <c r="B14" s="171"/>
      <c r="C14" s="170" t="s">
        <v>168</v>
      </c>
      <c r="D14" s="469">
        <v>134</v>
      </c>
      <c r="E14" s="470">
        <v>136</v>
      </c>
      <c r="F14" s="470">
        <v>143</v>
      </c>
      <c r="G14" s="470">
        <v>174</v>
      </c>
      <c r="H14" s="470">
        <v>143</v>
      </c>
      <c r="I14" s="470">
        <v>136</v>
      </c>
      <c r="J14" s="470">
        <v>157</v>
      </c>
      <c r="K14" s="470">
        <v>141</v>
      </c>
      <c r="L14" s="470">
        <v>159</v>
      </c>
      <c r="M14" s="470">
        <v>188</v>
      </c>
      <c r="N14" s="470">
        <v>172</v>
      </c>
      <c r="O14" s="471">
        <v>176</v>
      </c>
      <c r="P14" s="438">
        <f>SUM(D14:O14)</f>
        <v>1859</v>
      </c>
    </row>
    <row r="15" spans="1:32" ht="24" customHeight="1" x14ac:dyDescent="0.15">
      <c r="A15" s="167"/>
      <c r="B15" s="606" t="s">
        <v>73</v>
      </c>
      <c r="C15" s="607"/>
      <c r="D15" s="439">
        <f>D22-D8</f>
        <v>1703</v>
      </c>
      <c r="E15" s="440">
        <f t="shared" ref="E15:O15" si="1">E22-E8</f>
        <v>1825</v>
      </c>
      <c r="F15" s="440">
        <f t="shared" si="1"/>
        <v>2013</v>
      </c>
      <c r="G15" s="440">
        <f t="shared" si="1"/>
        <v>1948</v>
      </c>
      <c r="H15" s="440">
        <f t="shared" si="1"/>
        <v>2002</v>
      </c>
      <c r="I15" s="440">
        <f t="shared" si="1"/>
        <v>1824</v>
      </c>
      <c r="J15" s="440">
        <f t="shared" si="1"/>
        <v>2073</v>
      </c>
      <c r="K15" s="440">
        <f t="shared" si="1"/>
        <v>2002</v>
      </c>
      <c r="L15" s="440">
        <f t="shared" si="1"/>
        <v>1863</v>
      </c>
      <c r="M15" s="440">
        <f t="shared" si="1"/>
        <v>2033</v>
      </c>
      <c r="N15" s="440">
        <f t="shared" si="1"/>
        <v>2061</v>
      </c>
      <c r="O15" s="441">
        <f t="shared" si="1"/>
        <v>2150</v>
      </c>
      <c r="P15" s="435">
        <f t="shared" si="0"/>
        <v>23497</v>
      </c>
    </row>
    <row r="16" spans="1:32" ht="24" customHeight="1" x14ac:dyDescent="0.15">
      <c r="A16" s="169" t="s">
        <v>103</v>
      </c>
      <c r="B16" s="608" t="s">
        <v>24</v>
      </c>
      <c r="C16" s="609"/>
      <c r="D16" s="442">
        <f t="shared" ref="D16:O16" si="2">D23-D9</f>
        <v>14</v>
      </c>
      <c r="E16" s="443">
        <f t="shared" si="2"/>
        <v>11</v>
      </c>
      <c r="F16" s="443">
        <f t="shared" si="2"/>
        <v>7</v>
      </c>
      <c r="G16" s="443">
        <f t="shared" si="2"/>
        <v>4</v>
      </c>
      <c r="H16" s="443">
        <f t="shared" si="2"/>
        <v>6</v>
      </c>
      <c r="I16" s="443">
        <f t="shared" si="2"/>
        <v>9</v>
      </c>
      <c r="J16" s="443">
        <f t="shared" si="2"/>
        <v>3</v>
      </c>
      <c r="K16" s="443">
        <f t="shared" si="2"/>
        <v>7</v>
      </c>
      <c r="L16" s="443">
        <f t="shared" si="2"/>
        <v>7</v>
      </c>
      <c r="M16" s="443">
        <f t="shared" si="2"/>
        <v>12</v>
      </c>
      <c r="N16" s="443">
        <f t="shared" si="2"/>
        <v>8</v>
      </c>
      <c r="O16" s="444">
        <f t="shared" si="2"/>
        <v>15</v>
      </c>
      <c r="P16" s="436">
        <f t="shared" si="0"/>
        <v>103</v>
      </c>
    </row>
    <row r="17" spans="1:16" ht="24" customHeight="1" x14ac:dyDescent="0.15">
      <c r="A17" s="169" t="s">
        <v>32</v>
      </c>
      <c r="B17" s="171"/>
      <c r="C17" s="14" t="s">
        <v>207</v>
      </c>
      <c r="D17" s="442">
        <f t="shared" ref="D17:O17" si="3">D24-D10</f>
        <v>0</v>
      </c>
      <c r="E17" s="443">
        <f t="shared" si="3"/>
        <v>0</v>
      </c>
      <c r="F17" s="443">
        <f t="shared" si="3"/>
        <v>0</v>
      </c>
      <c r="G17" s="443">
        <f t="shared" si="3"/>
        <v>0</v>
      </c>
      <c r="H17" s="443">
        <f t="shared" si="3"/>
        <v>0</v>
      </c>
      <c r="I17" s="443">
        <f t="shared" si="3"/>
        <v>0</v>
      </c>
      <c r="J17" s="443">
        <f t="shared" si="3"/>
        <v>0</v>
      </c>
      <c r="K17" s="443">
        <f t="shared" si="3"/>
        <v>0</v>
      </c>
      <c r="L17" s="443">
        <f t="shared" si="3"/>
        <v>0</v>
      </c>
      <c r="M17" s="443">
        <f t="shared" si="3"/>
        <v>1</v>
      </c>
      <c r="N17" s="443">
        <f t="shared" si="3"/>
        <v>0</v>
      </c>
      <c r="O17" s="444">
        <f t="shared" si="3"/>
        <v>1</v>
      </c>
      <c r="P17" s="437">
        <f t="shared" si="0"/>
        <v>2</v>
      </c>
    </row>
    <row r="18" spans="1:16" ht="24" customHeight="1" x14ac:dyDescent="0.15">
      <c r="A18" s="169" t="s">
        <v>70</v>
      </c>
      <c r="B18" s="172"/>
      <c r="C18" s="14" t="s">
        <v>168</v>
      </c>
      <c r="D18" s="442">
        <f t="shared" ref="D18:O18" si="4">D25-D11</f>
        <v>10</v>
      </c>
      <c r="E18" s="443">
        <f t="shared" si="4"/>
        <v>5</v>
      </c>
      <c r="F18" s="443">
        <f t="shared" si="4"/>
        <v>3</v>
      </c>
      <c r="G18" s="443">
        <f t="shared" si="4"/>
        <v>1</v>
      </c>
      <c r="H18" s="443">
        <f t="shared" si="4"/>
        <v>1</v>
      </c>
      <c r="I18" s="443">
        <f t="shared" si="4"/>
        <v>5</v>
      </c>
      <c r="J18" s="443">
        <f t="shared" si="4"/>
        <v>2</v>
      </c>
      <c r="K18" s="443">
        <f t="shared" si="4"/>
        <v>3</v>
      </c>
      <c r="L18" s="443">
        <f t="shared" si="4"/>
        <v>2</v>
      </c>
      <c r="M18" s="443">
        <f t="shared" si="4"/>
        <v>8</v>
      </c>
      <c r="N18" s="443">
        <f t="shared" si="4"/>
        <v>3</v>
      </c>
      <c r="O18" s="444">
        <f t="shared" si="4"/>
        <v>9</v>
      </c>
      <c r="P18" s="436">
        <f t="shared" ref="P18:P25" si="5">SUM(D18:O18)</f>
        <v>52</v>
      </c>
    </row>
    <row r="19" spans="1:16" ht="24" customHeight="1" x14ac:dyDescent="0.15">
      <c r="A19" s="169" t="s">
        <v>75</v>
      </c>
      <c r="B19" s="608" t="s">
        <v>7</v>
      </c>
      <c r="C19" s="609"/>
      <c r="D19" s="442">
        <f t="shared" ref="D19:O19" si="6">D26-D12</f>
        <v>2046</v>
      </c>
      <c r="E19" s="443">
        <f t="shared" si="6"/>
        <v>2151</v>
      </c>
      <c r="F19" s="443">
        <f t="shared" si="6"/>
        <v>2392</v>
      </c>
      <c r="G19" s="443">
        <f t="shared" si="6"/>
        <v>2306</v>
      </c>
      <c r="H19" s="443">
        <f t="shared" si="6"/>
        <v>2405</v>
      </c>
      <c r="I19" s="443">
        <f t="shared" si="6"/>
        <v>2160</v>
      </c>
      <c r="J19" s="443">
        <f t="shared" si="6"/>
        <v>2533</v>
      </c>
      <c r="K19" s="443">
        <f t="shared" si="6"/>
        <v>2484</v>
      </c>
      <c r="L19" s="443">
        <f t="shared" si="6"/>
        <v>2283</v>
      </c>
      <c r="M19" s="443">
        <f t="shared" si="6"/>
        <v>2427</v>
      </c>
      <c r="N19" s="443">
        <f t="shared" si="6"/>
        <v>2499</v>
      </c>
      <c r="O19" s="445">
        <f t="shared" si="6"/>
        <v>2524</v>
      </c>
      <c r="P19" s="437">
        <f t="shared" si="5"/>
        <v>28210</v>
      </c>
    </row>
    <row r="20" spans="1:16" ht="24" customHeight="1" x14ac:dyDescent="0.15">
      <c r="A20" s="169" t="s">
        <v>76</v>
      </c>
      <c r="B20" s="171"/>
      <c r="C20" s="14" t="s">
        <v>207</v>
      </c>
      <c r="D20" s="442">
        <f t="shared" ref="D20:O20" si="7">D27-D13</f>
        <v>119</v>
      </c>
      <c r="E20" s="443">
        <f t="shared" si="7"/>
        <v>118</v>
      </c>
      <c r="F20" s="443">
        <f t="shared" si="7"/>
        <v>134</v>
      </c>
      <c r="G20" s="443">
        <f t="shared" si="7"/>
        <v>146</v>
      </c>
      <c r="H20" s="443">
        <f t="shared" si="7"/>
        <v>174</v>
      </c>
      <c r="I20" s="443">
        <f t="shared" si="7"/>
        <v>137</v>
      </c>
      <c r="J20" s="443">
        <f t="shared" si="7"/>
        <v>177</v>
      </c>
      <c r="K20" s="443">
        <f t="shared" si="7"/>
        <v>150</v>
      </c>
      <c r="L20" s="443">
        <f t="shared" si="7"/>
        <v>141</v>
      </c>
      <c r="M20" s="443">
        <f t="shared" si="7"/>
        <v>155</v>
      </c>
      <c r="N20" s="443">
        <f t="shared" si="7"/>
        <v>148</v>
      </c>
      <c r="O20" s="445">
        <f t="shared" si="7"/>
        <v>124</v>
      </c>
      <c r="P20" s="436">
        <f t="shared" si="5"/>
        <v>1723</v>
      </c>
    </row>
    <row r="21" spans="1:16" ht="24" customHeight="1" thickBot="1" x14ac:dyDescent="0.2">
      <c r="A21" s="173"/>
      <c r="B21" s="174"/>
      <c r="C21" s="15" t="s">
        <v>168</v>
      </c>
      <c r="D21" s="446">
        <f t="shared" ref="D21:O21" si="8">D28-D14</f>
        <v>318</v>
      </c>
      <c r="E21" s="447">
        <f t="shared" si="8"/>
        <v>345</v>
      </c>
      <c r="F21" s="447">
        <f t="shared" si="8"/>
        <v>366</v>
      </c>
      <c r="G21" s="447">
        <f t="shared" si="8"/>
        <v>365</v>
      </c>
      <c r="H21" s="447">
        <f t="shared" si="8"/>
        <v>330</v>
      </c>
      <c r="I21" s="447">
        <f t="shared" si="8"/>
        <v>319</v>
      </c>
      <c r="J21" s="447">
        <f t="shared" si="8"/>
        <v>362</v>
      </c>
      <c r="K21" s="447">
        <f t="shared" si="8"/>
        <v>364</v>
      </c>
      <c r="L21" s="447">
        <f t="shared" si="8"/>
        <v>334</v>
      </c>
      <c r="M21" s="447">
        <f t="shared" si="8"/>
        <v>387</v>
      </c>
      <c r="N21" s="447">
        <f t="shared" si="8"/>
        <v>362</v>
      </c>
      <c r="O21" s="448">
        <f t="shared" si="8"/>
        <v>426</v>
      </c>
      <c r="P21" s="438">
        <f t="shared" si="5"/>
        <v>4278</v>
      </c>
    </row>
    <row r="22" spans="1:16" ht="24" customHeight="1" x14ac:dyDescent="0.15">
      <c r="A22" s="169"/>
      <c r="B22" s="606" t="s">
        <v>73</v>
      </c>
      <c r="C22" s="607"/>
      <c r="D22" s="439">
        <v>2480</v>
      </c>
      <c r="E22" s="440">
        <v>2655</v>
      </c>
      <c r="F22" s="440">
        <v>2935</v>
      </c>
      <c r="G22" s="440">
        <v>2872</v>
      </c>
      <c r="H22" s="440">
        <v>2927</v>
      </c>
      <c r="I22" s="440">
        <v>2769</v>
      </c>
      <c r="J22" s="440">
        <v>3052</v>
      </c>
      <c r="K22" s="440">
        <v>2873</v>
      </c>
      <c r="L22" s="440">
        <v>2706</v>
      </c>
      <c r="M22" s="440">
        <v>3020</v>
      </c>
      <c r="N22" s="440">
        <v>2971</v>
      </c>
      <c r="O22" s="472">
        <v>3122</v>
      </c>
      <c r="P22" s="435">
        <f t="shared" si="5"/>
        <v>34382</v>
      </c>
    </row>
    <row r="23" spans="1:16" ht="24" customHeight="1" x14ac:dyDescent="0.15">
      <c r="A23" s="169" t="s">
        <v>103</v>
      </c>
      <c r="B23" s="608" t="s">
        <v>24</v>
      </c>
      <c r="C23" s="609"/>
      <c r="D23" s="442">
        <v>15</v>
      </c>
      <c r="E23" s="443">
        <v>13</v>
      </c>
      <c r="F23" s="443">
        <v>10</v>
      </c>
      <c r="G23" s="443">
        <v>9</v>
      </c>
      <c r="H23" s="443">
        <v>10</v>
      </c>
      <c r="I23" s="443">
        <v>10</v>
      </c>
      <c r="J23" s="443">
        <v>7</v>
      </c>
      <c r="K23" s="443">
        <v>9</v>
      </c>
      <c r="L23" s="443">
        <v>11</v>
      </c>
      <c r="M23" s="443">
        <v>18</v>
      </c>
      <c r="N23" s="443">
        <v>13</v>
      </c>
      <c r="O23" s="444">
        <v>22</v>
      </c>
      <c r="P23" s="436">
        <f t="shared" si="5"/>
        <v>147</v>
      </c>
    </row>
    <row r="24" spans="1:16" ht="24" customHeight="1" x14ac:dyDescent="0.15">
      <c r="A24" s="169" t="s">
        <v>32</v>
      </c>
      <c r="B24" s="171"/>
      <c r="C24" s="14" t="s">
        <v>207</v>
      </c>
      <c r="D24" s="442">
        <v>0</v>
      </c>
      <c r="E24" s="443">
        <v>1</v>
      </c>
      <c r="F24" s="443">
        <v>0</v>
      </c>
      <c r="G24" s="443">
        <v>0</v>
      </c>
      <c r="H24" s="443">
        <v>1</v>
      </c>
      <c r="I24" s="443">
        <v>0</v>
      </c>
      <c r="J24" s="443">
        <v>0</v>
      </c>
      <c r="K24" s="443">
        <v>0</v>
      </c>
      <c r="L24" s="443">
        <v>0</v>
      </c>
      <c r="M24" s="443">
        <v>1</v>
      </c>
      <c r="N24" s="443">
        <v>0</v>
      </c>
      <c r="O24" s="444">
        <v>2</v>
      </c>
      <c r="P24" s="437">
        <f t="shared" si="5"/>
        <v>5</v>
      </c>
    </row>
    <row r="25" spans="1:16" ht="24" customHeight="1" x14ac:dyDescent="0.15">
      <c r="A25" s="169" t="s">
        <v>2</v>
      </c>
      <c r="B25" s="172"/>
      <c r="C25" s="14" t="s">
        <v>168</v>
      </c>
      <c r="D25" s="442">
        <v>11</v>
      </c>
      <c r="E25" s="443">
        <v>5</v>
      </c>
      <c r="F25" s="443">
        <v>4</v>
      </c>
      <c r="G25" s="443">
        <v>2</v>
      </c>
      <c r="H25" s="443">
        <v>2</v>
      </c>
      <c r="I25" s="443">
        <v>6</v>
      </c>
      <c r="J25" s="443">
        <v>3</v>
      </c>
      <c r="K25" s="443">
        <v>3</v>
      </c>
      <c r="L25" s="443">
        <v>5</v>
      </c>
      <c r="M25" s="443">
        <v>10</v>
      </c>
      <c r="N25" s="443">
        <v>4</v>
      </c>
      <c r="O25" s="444">
        <v>12</v>
      </c>
      <c r="P25" s="436">
        <f t="shared" si="5"/>
        <v>67</v>
      </c>
    </row>
    <row r="26" spans="1:16" ht="24" customHeight="1" x14ac:dyDescent="0.15">
      <c r="A26" s="169" t="s">
        <v>35</v>
      </c>
      <c r="B26" s="608" t="s">
        <v>7</v>
      </c>
      <c r="C26" s="609"/>
      <c r="D26" s="442">
        <v>2968</v>
      </c>
      <c r="E26" s="443">
        <v>3109</v>
      </c>
      <c r="F26" s="443">
        <v>3489</v>
      </c>
      <c r="G26" s="443">
        <v>3387</v>
      </c>
      <c r="H26" s="443">
        <v>3489</v>
      </c>
      <c r="I26" s="443">
        <v>3236</v>
      </c>
      <c r="J26" s="443">
        <v>3708</v>
      </c>
      <c r="K26" s="443">
        <v>3505</v>
      </c>
      <c r="L26" s="443">
        <v>3265</v>
      </c>
      <c r="M26" s="443">
        <v>3565</v>
      </c>
      <c r="N26" s="443">
        <v>3544</v>
      </c>
      <c r="O26" s="444">
        <v>3668</v>
      </c>
      <c r="P26" s="437">
        <f>SUM(D26:O26)</f>
        <v>40933</v>
      </c>
    </row>
    <row r="27" spans="1:16" ht="24" customHeight="1" x14ac:dyDescent="0.15">
      <c r="A27" s="169" t="s">
        <v>75</v>
      </c>
      <c r="B27" s="171"/>
      <c r="C27" s="14" t="s">
        <v>207</v>
      </c>
      <c r="D27" s="442">
        <v>149</v>
      </c>
      <c r="E27" s="443">
        <v>147</v>
      </c>
      <c r="F27" s="443">
        <v>196</v>
      </c>
      <c r="G27" s="443">
        <v>199</v>
      </c>
      <c r="H27" s="443">
        <v>239</v>
      </c>
      <c r="I27" s="443">
        <v>173</v>
      </c>
      <c r="J27" s="443">
        <v>231</v>
      </c>
      <c r="K27" s="443">
        <v>195</v>
      </c>
      <c r="L27" s="443">
        <v>181</v>
      </c>
      <c r="M27" s="443">
        <v>211</v>
      </c>
      <c r="N27" s="443">
        <v>194</v>
      </c>
      <c r="O27" s="444">
        <v>196</v>
      </c>
      <c r="P27" s="436">
        <f>SUM(D27:O27)</f>
        <v>2311</v>
      </c>
    </row>
    <row r="28" spans="1:16" ht="24" customHeight="1" x14ac:dyDescent="0.15">
      <c r="A28" s="173"/>
      <c r="B28" s="174"/>
      <c r="C28" s="15" t="s">
        <v>168</v>
      </c>
      <c r="D28" s="446">
        <v>452</v>
      </c>
      <c r="E28" s="447">
        <v>481</v>
      </c>
      <c r="F28" s="447">
        <v>509</v>
      </c>
      <c r="G28" s="447">
        <v>539</v>
      </c>
      <c r="H28" s="447">
        <v>473</v>
      </c>
      <c r="I28" s="447">
        <v>455</v>
      </c>
      <c r="J28" s="447">
        <v>519</v>
      </c>
      <c r="K28" s="447">
        <v>505</v>
      </c>
      <c r="L28" s="447">
        <v>493</v>
      </c>
      <c r="M28" s="447">
        <v>575</v>
      </c>
      <c r="N28" s="447">
        <v>534</v>
      </c>
      <c r="O28" s="473">
        <v>602</v>
      </c>
      <c r="P28" s="449">
        <f>SUM(D28:O28)</f>
        <v>6137</v>
      </c>
    </row>
    <row r="29" spans="1:16" x14ac:dyDescent="0.15">
      <c r="A29" s="610" t="s">
        <v>188</v>
      </c>
      <c r="B29" s="610"/>
      <c r="C29" s="175" t="s">
        <v>268</v>
      </c>
      <c r="D29" s="161"/>
      <c r="E29" s="161"/>
      <c r="F29" s="161"/>
      <c r="G29" s="161"/>
      <c r="H29" s="161"/>
      <c r="I29" s="3"/>
      <c r="J29" s="3"/>
      <c r="K29" s="3"/>
      <c r="L29" s="3"/>
      <c r="M29" s="3"/>
      <c r="N29" s="3"/>
      <c r="O29" s="3"/>
      <c r="P29" s="3"/>
    </row>
    <row r="30" spans="1:16" x14ac:dyDescent="0.15">
      <c r="A30" s="2"/>
      <c r="B30" s="2"/>
      <c r="C30" s="611" t="s">
        <v>269</v>
      </c>
      <c r="D30" s="611"/>
      <c r="E30" s="611"/>
      <c r="F30" s="611"/>
      <c r="G30" s="611"/>
      <c r="H30" s="611"/>
    </row>
  </sheetData>
  <mergeCells count="25">
    <mergeCell ref="K5:P5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B8:C8"/>
    <mergeCell ref="B26:C26"/>
    <mergeCell ref="A29:B29"/>
    <mergeCell ref="C30:H30"/>
    <mergeCell ref="B9:C9"/>
    <mergeCell ref="B12:C12"/>
    <mergeCell ref="B15:C15"/>
    <mergeCell ref="B16:C16"/>
    <mergeCell ref="B19:C19"/>
    <mergeCell ref="B22:C22"/>
    <mergeCell ref="B23:C23"/>
  </mergeCells>
  <phoneticPr fontId="37"/>
  <pageMargins left="0.78740157480314965" right="0.19685039370078741" top="0.98425196850393704" bottom="0.98425196850393704" header="0.51181102362204722" footer="0.51181102362204722"/>
  <pageSetup paperSize="9" scale="94" firstPageNumber="0" orientation="portrait" r:id="rId1"/>
  <headerFooter alignWithMargins="0">
    <oddFooter xml:space="preserve">&amp;C-5-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T43"/>
  <sheetViews>
    <sheetView tabSelected="1" view="pageBreakPreview" topLeftCell="A28" zoomScaleNormal="100" zoomScaleSheetLayoutView="100" workbookViewId="0">
      <selection activeCell="N15" sqref="N15"/>
    </sheetView>
  </sheetViews>
  <sheetFormatPr defaultRowHeight="13.5" x14ac:dyDescent="0.15"/>
  <cols>
    <col min="1" max="1" width="9.125" customWidth="1"/>
    <col min="2" max="14" width="6.375" customWidth="1"/>
    <col min="17" max="17" width="9.5" customWidth="1"/>
  </cols>
  <sheetData>
    <row r="1" spans="1:20" ht="18.75" customHeight="1" x14ac:dyDescent="0.15">
      <c r="A1" s="176" t="s">
        <v>150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0" ht="13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0" x14ac:dyDescent="0.15">
      <c r="A3" s="3" t="s">
        <v>134</v>
      </c>
      <c r="B3" s="3"/>
      <c r="C3" s="3"/>
      <c r="D3" s="3"/>
      <c r="E3" s="3"/>
      <c r="F3" s="3"/>
      <c r="G3" s="3"/>
      <c r="H3" s="3"/>
      <c r="I3" s="3"/>
      <c r="J3" s="559" t="s">
        <v>179</v>
      </c>
      <c r="K3" s="559"/>
      <c r="L3" s="559"/>
      <c r="M3" s="559"/>
      <c r="N3" s="559"/>
      <c r="O3" s="3"/>
    </row>
    <row r="4" spans="1:20" x14ac:dyDescent="0.15">
      <c r="A4" s="130" t="s">
        <v>149</v>
      </c>
      <c r="B4" s="640" t="s">
        <v>243</v>
      </c>
      <c r="C4" s="638" t="s">
        <v>238</v>
      </c>
      <c r="D4" s="638" t="s">
        <v>162</v>
      </c>
      <c r="E4" s="638" t="s">
        <v>142</v>
      </c>
      <c r="F4" s="638" t="s">
        <v>208</v>
      </c>
      <c r="G4" s="638" t="s">
        <v>164</v>
      </c>
      <c r="H4" s="638" t="s">
        <v>92</v>
      </c>
      <c r="I4" s="638" t="s">
        <v>85</v>
      </c>
      <c r="J4" s="636" t="s">
        <v>14</v>
      </c>
      <c r="K4" s="638" t="s">
        <v>18</v>
      </c>
      <c r="L4" s="636" t="s">
        <v>230</v>
      </c>
      <c r="M4" s="638" t="s">
        <v>186</v>
      </c>
      <c r="N4" s="630" t="s">
        <v>123</v>
      </c>
      <c r="O4" s="3"/>
    </row>
    <row r="5" spans="1:20" ht="20.100000000000001" customHeight="1" x14ac:dyDescent="0.15">
      <c r="A5" s="132" t="s">
        <v>26</v>
      </c>
      <c r="B5" s="641"/>
      <c r="C5" s="639"/>
      <c r="D5" s="639"/>
      <c r="E5" s="639"/>
      <c r="F5" s="639"/>
      <c r="G5" s="639"/>
      <c r="H5" s="639"/>
      <c r="I5" s="639"/>
      <c r="J5" s="637"/>
      <c r="K5" s="639"/>
      <c r="L5" s="637"/>
      <c r="M5" s="639"/>
      <c r="N5" s="631"/>
      <c r="O5" s="3"/>
      <c r="P5" s="131"/>
      <c r="Q5" s="177" t="s">
        <v>119</v>
      </c>
      <c r="R5" s="177" t="s">
        <v>73</v>
      </c>
      <c r="S5" s="177" t="s">
        <v>191</v>
      </c>
      <c r="T5" s="177" t="s">
        <v>38</v>
      </c>
    </row>
    <row r="6" spans="1:20" ht="24" customHeight="1" x14ac:dyDescent="0.15">
      <c r="A6" s="178" t="s">
        <v>73</v>
      </c>
      <c r="B6" s="474">
        <v>1125</v>
      </c>
      <c r="C6" s="475">
        <v>231</v>
      </c>
      <c r="D6" s="475">
        <v>246</v>
      </c>
      <c r="E6" s="475">
        <v>138</v>
      </c>
      <c r="F6" s="475">
        <v>1040</v>
      </c>
      <c r="G6" s="475">
        <v>490</v>
      </c>
      <c r="H6" s="475">
        <v>261</v>
      </c>
      <c r="I6" s="475">
        <v>189</v>
      </c>
      <c r="J6" s="475">
        <v>396</v>
      </c>
      <c r="K6" s="475">
        <v>369</v>
      </c>
      <c r="L6" s="475">
        <v>244</v>
      </c>
      <c r="M6" s="475">
        <v>737</v>
      </c>
      <c r="N6" s="476">
        <v>409</v>
      </c>
      <c r="O6" s="3"/>
      <c r="P6" s="177" t="s">
        <v>243</v>
      </c>
      <c r="Q6" s="179">
        <f>B9</f>
        <v>133123</v>
      </c>
      <c r="R6" s="179">
        <f>B6</f>
        <v>1125</v>
      </c>
      <c r="S6" s="179">
        <f>B7</f>
        <v>3</v>
      </c>
      <c r="T6" s="179">
        <f>B8</f>
        <v>1317</v>
      </c>
    </row>
    <row r="7" spans="1:20" ht="24" customHeight="1" x14ac:dyDescent="0.15">
      <c r="A7" s="180" t="s">
        <v>102</v>
      </c>
      <c r="B7" s="477">
        <v>3</v>
      </c>
      <c r="C7" s="478">
        <v>1</v>
      </c>
      <c r="D7" s="478">
        <v>1</v>
      </c>
      <c r="E7" s="478">
        <v>1</v>
      </c>
      <c r="F7" s="478">
        <v>1</v>
      </c>
      <c r="G7" s="478">
        <v>2</v>
      </c>
      <c r="H7" s="478">
        <v>4</v>
      </c>
      <c r="I7" s="478">
        <v>2</v>
      </c>
      <c r="J7" s="478">
        <v>2</v>
      </c>
      <c r="K7" s="478">
        <v>1</v>
      </c>
      <c r="L7" s="478">
        <v>3</v>
      </c>
      <c r="M7" s="478">
        <v>3</v>
      </c>
      <c r="N7" s="479">
        <v>3</v>
      </c>
      <c r="O7" s="3"/>
      <c r="P7" s="177" t="s">
        <v>238</v>
      </c>
      <c r="Q7" s="179">
        <f>C9</f>
        <v>106858</v>
      </c>
      <c r="R7" s="179">
        <f>C6</f>
        <v>231</v>
      </c>
      <c r="S7" s="179">
        <f>C7</f>
        <v>1</v>
      </c>
      <c r="T7" s="179">
        <f>C8</f>
        <v>268</v>
      </c>
    </row>
    <row r="8" spans="1:20" ht="24" customHeight="1" x14ac:dyDescent="0.15">
      <c r="A8" s="181" t="s">
        <v>7</v>
      </c>
      <c r="B8" s="480">
        <v>1317</v>
      </c>
      <c r="C8" s="481">
        <v>268</v>
      </c>
      <c r="D8" s="481">
        <v>283</v>
      </c>
      <c r="E8" s="481">
        <v>168</v>
      </c>
      <c r="F8" s="481">
        <v>1197</v>
      </c>
      <c r="G8" s="481">
        <v>570</v>
      </c>
      <c r="H8" s="481">
        <v>309</v>
      </c>
      <c r="I8" s="481">
        <v>230</v>
      </c>
      <c r="J8" s="481">
        <v>488</v>
      </c>
      <c r="K8" s="481">
        <v>432</v>
      </c>
      <c r="L8" s="481">
        <v>265</v>
      </c>
      <c r="M8" s="481">
        <v>849</v>
      </c>
      <c r="N8" s="482">
        <v>453</v>
      </c>
      <c r="O8" s="3"/>
      <c r="P8" s="177" t="s">
        <v>162</v>
      </c>
      <c r="Q8" s="179">
        <f>D9</f>
        <v>75896</v>
      </c>
      <c r="R8" s="179">
        <f>D6</f>
        <v>246</v>
      </c>
      <c r="S8" s="179">
        <f>D7</f>
        <v>1</v>
      </c>
      <c r="T8" s="179">
        <f>D8</f>
        <v>283</v>
      </c>
    </row>
    <row r="9" spans="1:20" ht="24" customHeight="1" x14ac:dyDescent="0.15">
      <c r="A9" s="182" t="s">
        <v>119</v>
      </c>
      <c r="B9" s="408">
        <v>133123</v>
      </c>
      <c r="C9" s="409">
        <v>106858</v>
      </c>
      <c r="D9" s="409">
        <v>75896</v>
      </c>
      <c r="E9" s="409">
        <v>65914</v>
      </c>
      <c r="F9" s="409">
        <v>98094</v>
      </c>
      <c r="G9" s="409">
        <v>100437</v>
      </c>
      <c r="H9" s="409">
        <v>81076</v>
      </c>
      <c r="I9" s="409">
        <v>63741</v>
      </c>
      <c r="J9" s="409">
        <v>79177</v>
      </c>
      <c r="K9" s="409">
        <v>72991</v>
      </c>
      <c r="L9" s="409">
        <v>95749</v>
      </c>
      <c r="M9" s="409">
        <v>180998</v>
      </c>
      <c r="N9" s="410">
        <v>176031</v>
      </c>
      <c r="O9" s="3"/>
      <c r="P9" s="177" t="s">
        <v>142</v>
      </c>
      <c r="Q9" s="179">
        <f>E9</f>
        <v>65914</v>
      </c>
      <c r="R9" s="179">
        <f>E6</f>
        <v>138</v>
      </c>
      <c r="S9" s="179">
        <f>E7</f>
        <v>1</v>
      </c>
      <c r="T9" s="179">
        <f>E8</f>
        <v>168</v>
      </c>
    </row>
    <row r="10" spans="1:20" ht="20.100000000000001" customHeight="1" x14ac:dyDescent="0.15">
      <c r="A10" s="3"/>
      <c r="B10" s="376"/>
      <c r="C10" s="376"/>
      <c r="D10" s="376"/>
      <c r="E10" s="376"/>
      <c r="F10" s="376"/>
      <c r="G10" s="376"/>
      <c r="H10" s="376"/>
      <c r="I10" s="376"/>
      <c r="J10" s="376"/>
      <c r="K10" s="376"/>
      <c r="L10" s="376"/>
      <c r="M10" s="376"/>
      <c r="N10" s="376"/>
      <c r="O10" s="3"/>
      <c r="P10" s="177" t="s">
        <v>208</v>
      </c>
      <c r="Q10" s="179">
        <f>F9</f>
        <v>98094</v>
      </c>
      <c r="R10" s="179">
        <f>F6</f>
        <v>1040</v>
      </c>
      <c r="S10" s="179">
        <f>F7</f>
        <v>1</v>
      </c>
      <c r="T10" s="179">
        <f>F8</f>
        <v>1197</v>
      </c>
    </row>
    <row r="11" spans="1:20" ht="20.100000000000001" customHeight="1" x14ac:dyDescent="0.15">
      <c r="A11" s="107" t="s">
        <v>149</v>
      </c>
      <c r="B11" s="642" t="s">
        <v>68</v>
      </c>
      <c r="C11" s="628" t="s">
        <v>227</v>
      </c>
      <c r="D11" s="628" t="s">
        <v>117</v>
      </c>
      <c r="E11" s="628" t="s">
        <v>217</v>
      </c>
      <c r="F11" s="628" t="s">
        <v>90</v>
      </c>
      <c r="G11" s="626" t="s">
        <v>167</v>
      </c>
      <c r="H11" s="626" t="s">
        <v>15</v>
      </c>
      <c r="I11" s="628" t="s">
        <v>39</v>
      </c>
      <c r="J11" s="626" t="s">
        <v>79</v>
      </c>
      <c r="K11" s="628" t="s">
        <v>189</v>
      </c>
      <c r="L11" s="628" t="s">
        <v>65</v>
      </c>
      <c r="M11" s="632" t="s">
        <v>62</v>
      </c>
      <c r="N11" s="633"/>
      <c r="O11" s="3"/>
      <c r="P11" s="177" t="s">
        <v>164</v>
      </c>
      <c r="Q11" s="179">
        <f>G9</f>
        <v>100437</v>
      </c>
      <c r="R11" s="179">
        <f>G6</f>
        <v>490</v>
      </c>
      <c r="S11" s="179">
        <f>G7</f>
        <v>2</v>
      </c>
      <c r="T11" s="179">
        <f>G8</f>
        <v>570</v>
      </c>
    </row>
    <row r="12" spans="1:20" ht="20.100000000000001" customHeight="1" x14ac:dyDescent="0.15">
      <c r="A12" s="7" t="s">
        <v>26</v>
      </c>
      <c r="B12" s="643"/>
      <c r="C12" s="629"/>
      <c r="D12" s="629"/>
      <c r="E12" s="629"/>
      <c r="F12" s="629"/>
      <c r="G12" s="627"/>
      <c r="H12" s="627"/>
      <c r="I12" s="629"/>
      <c r="J12" s="627"/>
      <c r="K12" s="629"/>
      <c r="L12" s="629"/>
      <c r="M12" s="634"/>
      <c r="N12" s="635"/>
      <c r="O12" s="3"/>
      <c r="P12" s="177" t="s">
        <v>92</v>
      </c>
      <c r="Q12" s="179">
        <f>H9</f>
        <v>81076</v>
      </c>
      <c r="R12" s="179">
        <f>H6</f>
        <v>261</v>
      </c>
      <c r="S12" s="179">
        <f>H7</f>
        <v>4</v>
      </c>
      <c r="T12" s="179">
        <f>H8</f>
        <v>309</v>
      </c>
    </row>
    <row r="13" spans="1:20" ht="24" customHeight="1" x14ac:dyDescent="0.15">
      <c r="A13" s="183" t="s">
        <v>73</v>
      </c>
      <c r="B13" s="474">
        <v>419</v>
      </c>
      <c r="C13" s="475">
        <v>401</v>
      </c>
      <c r="D13" s="475">
        <v>212</v>
      </c>
      <c r="E13" s="475">
        <v>488</v>
      </c>
      <c r="F13" s="475">
        <v>344</v>
      </c>
      <c r="G13" s="475">
        <v>343</v>
      </c>
      <c r="H13" s="475">
        <v>490</v>
      </c>
      <c r="I13" s="475">
        <v>469</v>
      </c>
      <c r="J13" s="475">
        <v>453</v>
      </c>
      <c r="K13" s="475">
        <v>973</v>
      </c>
      <c r="L13" s="475">
        <v>418</v>
      </c>
      <c r="M13" s="618">
        <f>SUM(B6:N6)+SUM(B13:L13)</f>
        <v>10885</v>
      </c>
      <c r="N13" s="619"/>
      <c r="O13" s="3"/>
      <c r="P13" s="184" t="s">
        <v>85</v>
      </c>
      <c r="Q13" s="179">
        <f>I9</f>
        <v>63741</v>
      </c>
      <c r="R13" s="179">
        <f>I6</f>
        <v>189</v>
      </c>
      <c r="S13" s="179">
        <f>I7</f>
        <v>2</v>
      </c>
      <c r="T13" s="179">
        <f>I8</f>
        <v>230</v>
      </c>
    </row>
    <row r="14" spans="1:20" ht="24" customHeight="1" x14ac:dyDescent="0.15">
      <c r="A14" s="185" t="s">
        <v>102</v>
      </c>
      <c r="B14" s="477">
        <v>1</v>
      </c>
      <c r="C14" s="478">
        <v>2</v>
      </c>
      <c r="D14" s="478">
        <v>1</v>
      </c>
      <c r="E14" s="478">
        <v>3</v>
      </c>
      <c r="F14" s="478">
        <v>0</v>
      </c>
      <c r="G14" s="478">
        <v>1</v>
      </c>
      <c r="H14" s="478">
        <v>2</v>
      </c>
      <c r="I14" s="478">
        <v>1</v>
      </c>
      <c r="J14" s="478">
        <v>2</v>
      </c>
      <c r="K14" s="478">
        <v>2</v>
      </c>
      <c r="L14" s="478">
        <v>2</v>
      </c>
      <c r="M14" s="620">
        <f>SUM(B7:N7)+SUM(B14:L14)</f>
        <v>44</v>
      </c>
      <c r="N14" s="621"/>
      <c r="O14" s="186"/>
      <c r="P14" s="177" t="s">
        <v>14</v>
      </c>
      <c r="Q14" s="179">
        <f>J9</f>
        <v>79177</v>
      </c>
      <c r="R14" s="179">
        <f>J6</f>
        <v>396</v>
      </c>
      <c r="S14" s="179">
        <f>J7</f>
        <v>2</v>
      </c>
      <c r="T14" s="179">
        <f>J8</f>
        <v>488</v>
      </c>
    </row>
    <row r="15" spans="1:20" ht="24" customHeight="1" x14ac:dyDescent="0.15">
      <c r="A15" s="187" t="s">
        <v>7</v>
      </c>
      <c r="B15" s="483">
        <v>485</v>
      </c>
      <c r="C15" s="481">
        <v>449</v>
      </c>
      <c r="D15" s="481">
        <v>249</v>
      </c>
      <c r="E15" s="481">
        <v>567</v>
      </c>
      <c r="F15" s="481">
        <v>406</v>
      </c>
      <c r="G15" s="481">
        <v>419</v>
      </c>
      <c r="H15" s="481">
        <v>600</v>
      </c>
      <c r="I15" s="481">
        <v>556</v>
      </c>
      <c r="J15" s="481">
        <v>516</v>
      </c>
      <c r="K15" s="481">
        <v>1141</v>
      </c>
      <c r="L15" s="481">
        <v>506</v>
      </c>
      <c r="M15" s="622">
        <f>SUM(B8:N8)+SUM(B15:L15)</f>
        <v>12723</v>
      </c>
      <c r="N15" s="623"/>
      <c r="O15" s="3"/>
      <c r="P15" s="177" t="s">
        <v>18</v>
      </c>
      <c r="Q15" s="179">
        <f>K9</f>
        <v>72991</v>
      </c>
      <c r="R15" s="179">
        <f>K6</f>
        <v>369</v>
      </c>
      <c r="S15" s="179">
        <f>K7</f>
        <v>1</v>
      </c>
      <c r="T15" s="179">
        <f>K8</f>
        <v>432</v>
      </c>
    </row>
    <row r="16" spans="1:20" ht="24" customHeight="1" x14ac:dyDescent="0.15">
      <c r="A16" s="188" t="s">
        <v>119</v>
      </c>
      <c r="B16" s="411">
        <v>82857</v>
      </c>
      <c r="C16" s="409">
        <v>129379</v>
      </c>
      <c r="D16" s="409">
        <v>91072</v>
      </c>
      <c r="E16" s="409">
        <v>166852</v>
      </c>
      <c r="F16" s="409">
        <v>111268</v>
      </c>
      <c r="G16" s="409">
        <v>109172</v>
      </c>
      <c r="H16" s="409">
        <v>121364</v>
      </c>
      <c r="I16" s="409">
        <v>153361</v>
      </c>
      <c r="J16" s="409">
        <v>125907</v>
      </c>
      <c r="K16" s="409">
        <v>193925</v>
      </c>
      <c r="L16" s="412">
        <v>109764</v>
      </c>
      <c r="M16" s="624">
        <f>SUM(B9:N9)+SUM(B16:L16)</f>
        <v>2725006</v>
      </c>
      <c r="N16" s="625"/>
      <c r="O16" s="3"/>
      <c r="P16" s="177" t="s">
        <v>230</v>
      </c>
      <c r="Q16" s="179">
        <f>L9</f>
        <v>95749</v>
      </c>
      <c r="R16" s="179">
        <f>L6</f>
        <v>244</v>
      </c>
      <c r="S16" s="179">
        <f>L7</f>
        <v>3</v>
      </c>
      <c r="T16" s="179">
        <f>L8</f>
        <v>265</v>
      </c>
    </row>
    <row r="17" spans="1:20" x14ac:dyDescent="0.15">
      <c r="A17" s="3" t="s">
        <v>4</v>
      </c>
      <c r="B17" s="3"/>
      <c r="C17" s="3"/>
      <c r="D17" s="3"/>
      <c r="E17" s="3"/>
      <c r="F17" s="3"/>
      <c r="G17" s="189"/>
      <c r="H17" s="3"/>
      <c r="I17" s="3"/>
      <c r="J17" s="3"/>
      <c r="K17" s="3"/>
      <c r="L17" s="3"/>
      <c r="M17" s="3"/>
      <c r="N17" s="3"/>
      <c r="O17" s="3"/>
      <c r="P17" s="177" t="s">
        <v>186</v>
      </c>
      <c r="Q17" s="179">
        <f>M9</f>
        <v>180998</v>
      </c>
      <c r="R17" s="179">
        <f>M6</f>
        <v>737</v>
      </c>
      <c r="S17" s="179">
        <f>M7</f>
        <v>3</v>
      </c>
      <c r="T17" s="179">
        <f>M8</f>
        <v>849</v>
      </c>
    </row>
    <row r="18" spans="1:20" x14ac:dyDescent="0.15">
      <c r="A18" s="32" t="s">
        <v>281</v>
      </c>
      <c r="B18" s="32"/>
      <c r="C18" s="32"/>
      <c r="D18" s="32"/>
      <c r="E18" s="32"/>
      <c r="F18" s="32"/>
      <c r="G18" s="32"/>
      <c r="H18" s="32"/>
      <c r="I18" s="3"/>
      <c r="J18" s="3"/>
      <c r="K18" s="3"/>
      <c r="L18" s="3"/>
      <c r="M18" s="3"/>
      <c r="N18" s="3"/>
      <c r="O18" s="3"/>
      <c r="P18" s="177" t="s">
        <v>23</v>
      </c>
      <c r="Q18" s="179">
        <f>N9</f>
        <v>176031</v>
      </c>
      <c r="R18" s="179">
        <f>N6</f>
        <v>409</v>
      </c>
      <c r="S18" s="179">
        <f>N7</f>
        <v>3</v>
      </c>
      <c r="T18" s="179">
        <f>N8</f>
        <v>453</v>
      </c>
    </row>
    <row r="19" spans="1:20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177" t="s">
        <v>68</v>
      </c>
      <c r="Q19" s="179">
        <f>B16</f>
        <v>82857</v>
      </c>
      <c r="R19" s="179">
        <f>B13</f>
        <v>419</v>
      </c>
      <c r="S19" s="179">
        <f>B14</f>
        <v>1</v>
      </c>
      <c r="T19" s="179">
        <f>B15</f>
        <v>485</v>
      </c>
    </row>
    <row r="20" spans="1:20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177" t="s">
        <v>227</v>
      </c>
      <c r="Q20" s="179">
        <f>C16</f>
        <v>129379</v>
      </c>
      <c r="R20" s="179">
        <f>C13</f>
        <v>401</v>
      </c>
      <c r="S20" s="179">
        <f>C14</f>
        <v>2</v>
      </c>
      <c r="T20" s="179">
        <f>C15</f>
        <v>449</v>
      </c>
    </row>
    <row r="21" spans="1:20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177" t="s">
        <v>117</v>
      </c>
      <c r="Q21" s="179">
        <f>D16</f>
        <v>91072</v>
      </c>
      <c r="R21" s="179">
        <f>D13</f>
        <v>212</v>
      </c>
      <c r="S21" s="179">
        <f>D14</f>
        <v>1</v>
      </c>
      <c r="T21" s="179">
        <f>D15</f>
        <v>249</v>
      </c>
    </row>
    <row r="22" spans="1:20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177" t="s">
        <v>217</v>
      </c>
      <c r="Q22" s="179">
        <f>E16</f>
        <v>166852</v>
      </c>
      <c r="R22" s="179">
        <f>E13</f>
        <v>488</v>
      </c>
      <c r="S22" s="179">
        <f>E14</f>
        <v>3</v>
      </c>
      <c r="T22" s="179">
        <f>E15</f>
        <v>567</v>
      </c>
    </row>
    <row r="23" spans="1:20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177" t="s">
        <v>90</v>
      </c>
      <c r="Q23" s="179">
        <f>F16</f>
        <v>111268</v>
      </c>
      <c r="R23" s="179">
        <f>F13</f>
        <v>344</v>
      </c>
      <c r="S23" s="179">
        <f>F14</f>
        <v>0</v>
      </c>
      <c r="T23" s="179">
        <f>F15</f>
        <v>406</v>
      </c>
    </row>
    <row r="24" spans="1:20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177" t="s">
        <v>167</v>
      </c>
      <c r="Q24" s="179">
        <f>G16</f>
        <v>109172</v>
      </c>
      <c r="R24" s="179">
        <f>G13</f>
        <v>343</v>
      </c>
      <c r="S24" s="179">
        <f>G14</f>
        <v>1</v>
      </c>
      <c r="T24" s="179">
        <f>G15</f>
        <v>419</v>
      </c>
    </row>
    <row r="25" spans="1:20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177" t="s">
        <v>15</v>
      </c>
      <c r="Q25" s="179">
        <f>H16</f>
        <v>121364</v>
      </c>
      <c r="R25" s="179">
        <f>H13</f>
        <v>490</v>
      </c>
      <c r="S25" s="179">
        <f>H14</f>
        <v>2</v>
      </c>
      <c r="T25" s="179">
        <f>H15</f>
        <v>600</v>
      </c>
    </row>
    <row r="26" spans="1:20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177" t="s">
        <v>39</v>
      </c>
      <c r="Q26" s="179">
        <f>I16</f>
        <v>153361</v>
      </c>
      <c r="R26" s="179">
        <f>I13</f>
        <v>469</v>
      </c>
      <c r="S26" s="179">
        <f>I14</f>
        <v>1</v>
      </c>
      <c r="T26" s="179">
        <f>I15</f>
        <v>556</v>
      </c>
    </row>
    <row r="27" spans="1:20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77" t="s">
        <v>79</v>
      </c>
      <c r="Q27" s="179">
        <f>J16</f>
        <v>125907</v>
      </c>
      <c r="R27" s="179">
        <f>J13</f>
        <v>453</v>
      </c>
      <c r="S27" s="179">
        <f>J14</f>
        <v>2</v>
      </c>
      <c r="T27" s="179">
        <f>J15</f>
        <v>516</v>
      </c>
    </row>
    <row r="28" spans="1:20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77" t="s">
        <v>189</v>
      </c>
      <c r="Q28" s="179">
        <f>K16</f>
        <v>193925</v>
      </c>
      <c r="R28" s="179">
        <f>K13</f>
        <v>973</v>
      </c>
      <c r="S28" s="179">
        <f>K14</f>
        <v>2</v>
      </c>
      <c r="T28" s="179">
        <f>K15</f>
        <v>1141</v>
      </c>
    </row>
    <row r="29" spans="1:20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177" t="s">
        <v>65</v>
      </c>
      <c r="Q29" s="179">
        <f>L16</f>
        <v>109764</v>
      </c>
      <c r="R29" s="179">
        <f>L13</f>
        <v>418</v>
      </c>
      <c r="S29" s="179">
        <f>L14</f>
        <v>2</v>
      </c>
      <c r="T29" s="179">
        <f>L15</f>
        <v>506</v>
      </c>
    </row>
    <row r="30" spans="1:20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177" t="s">
        <v>62</v>
      </c>
      <c r="Q30" s="179">
        <f>SUM(Q6:Q29)</f>
        <v>2725006</v>
      </c>
      <c r="R30" s="179">
        <f>SUM(R6:R29)</f>
        <v>10885</v>
      </c>
      <c r="S30" s="179">
        <f>SUM(S6:S29)</f>
        <v>44</v>
      </c>
      <c r="T30" s="179">
        <f>SUM(T6:T29)</f>
        <v>12723</v>
      </c>
    </row>
    <row r="31" spans="1:20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20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</sheetData>
  <mergeCells count="30">
    <mergeCell ref="E11:E12"/>
    <mergeCell ref="F11:F12"/>
    <mergeCell ref="M4:M5"/>
    <mergeCell ref="E4:E5"/>
    <mergeCell ref="F4:F5"/>
    <mergeCell ref="G4:G5"/>
    <mergeCell ref="H4:H5"/>
    <mergeCell ref="G11:G12"/>
    <mergeCell ref="H11:H12"/>
    <mergeCell ref="I11:I12"/>
    <mergeCell ref="I4:I5"/>
    <mergeCell ref="B4:B5"/>
    <mergeCell ref="C4:C5"/>
    <mergeCell ref="D4:D5"/>
    <mergeCell ref="B11:B12"/>
    <mergeCell ref="C11:C12"/>
    <mergeCell ref="D11:D12"/>
    <mergeCell ref="M13:N13"/>
    <mergeCell ref="M14:N14"/>
    <mergeCell ref="M15:N15"/>
    <mergeCell ref="M16:N16"/>
    <mergeCell ref="J3:N3"/>
    <mergeCell ref="J11:J12"/>
    <mergeCell ref="K11:K12"/>
    <mergeCell ref="N4:N5"/>
    <mergeCell ref="M11:N12"/>
    <mergeCell ref="J4:J5"/>
    <mergeCell ref="K4:K5"/>
    <mergeCell ref="L4:L5"/>
    <mergeCell ref="L11:L12"/>
  </mergeCells>
  <phoneticPr fontId="37"/>
  <pageMargins left="0.59055118110236227" right="0.78740157480314965" top="0.98425196850393704" bottom="0.98425196850393704" header="0.51181102362204722" footer="0.51181102362204722"/>
  <pageSetup paperSize="9" scale="96" firstPageNumber="0" orientation="portrait" r:id="rId1"/>
  <headerFooter alignWithMargins="0">
    <oddFooter>&amp;C－6－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view="pageBreakPreview" topLeftCell="A28" zoomScaleNormal="100" zoomScaleSheetLayoutView="100" workbookViewId="0">
      <selection activeCell="N15" sqref="N15"/>
    </sheetView>
  </sheetViews>
  <sheetFormatPr defaultRowHeight="13.5" x14ac:dyDescent="0.15"/>
  <cols>
    <col min="1" max="1" width="11.75" customWidth="1"/>
    <col min="2" max="2" width="10.375" customWidth="1"/>
    <col min="3" max="3" width="11" customWidth="1"/>
    <col min="4" max="4" width="10.875" customWidth="1"/>
    <col min="5" max="5" width="10.75" customWidth="1"/>
    <col min="6" max="6" width="10.375" customWidth="1"/>
    <col min="7" max="7" width="10.75" customWidth="1"/>
  </cols>
  <sheetData>
    <row r="1" spans="1:19" ht="14.25" x14ac:dyDescent="0.15">
      <c r="A1" s="176" t="s">
        <v>263</v>
      </c>
      <c r="B1" s="176"/>
      <c r="C1" s="3"/>
      <c r="D1" s="3"/>
      <c r="E1" s="3"/>
      <c r="F1" s="3"/>
      <c r="G1" s="3"/>
      <c r="H1" s="30"/>
    </row>
    <row r="2" spans="1:19" x14ac:dyDescent="0.15">
      <c r="A2" s="377" t="s">
        <v>264</v>
      </c>
      <c r="B2" s="377"/>
      <c r="C2" s="377"/>
      <c r="D2" s="377"/>
      <c r="E2" s="377"/>
      <c r="F2" s="377"/>
      <c r="G2" s="377"/>
      <c r="H2" s="191"/>
      <c r="I2" s="147"/>
    </row>
    <row r="3" spans="1:19" x14ac:dyDescent="0.15">
      <c r="A3" s="3"/>
      <c r="B3" s="3"/>
      <c r="C3" s="3"/>
      <c r="D3" s="3"/>
      <c r="E3" s="3"/>
      <c r="F3" s="3"/>
      <c r="G3" s="3"/>
      <c r="H3" s="30"/>
    </row>
    <row r="4" spans="1:19" ht="18" customHeight="1" x14ac:dyDescent="0.15">
      <c r="A4" s="644" t="s">
        <v>258</v>
      </c>
      <c r="B4" s="646" t="s">
        <v>232</v>
      </c>
      <c r="C4" s="566"/>
      <c r="D4" s="646" t="s">
        <v>193</v>
      </c>
      <c r="E4" s="566"/>
      <c r="F4" s="646" t="s">
        <v>11</v>
      </c>
      <c r="G4" s="566"/>
      <c r="H4" s="30"/>
      <c r="I4" s="192"/>
      <c r="J4" s="192"/>
      <c r="K4" s="193"/>
      <c r="L4" s="193"/>
      <c r="M4" s="193"/>
      <c r="N4" s="192"/>
      <c r="O4" s="192"/>
      <c r="P4" s="192"/>
      <c r="Q4" s="192"/>
      <c r="R4" s="192"/>
      <c r="S4" s="192"/>
    </row>
    <row r="5" spans="1:19" ht="18" customHeight="1" x14ac:dyDescent="0.15">
      <c r="A5" s="645"/>
      <c r="B5" s="333" t="s">
        <v>278</v>
      </c>
      <c r="C5" s="378" t="s">
        <v>275</v>
      </c>
      <c r="D5" s="333" t="s">
        <v>278</v>
      </c>
      <c r="E5" s="378" t="s">
        <v>275</v>
      </c>
      <c r="F5" s="333" t="s">
        <v>278</v>
      </c>
      <c r="G5" s="378" t="s">
        <v>275</v>
      </c>
      <c r="H5" s="30"/>
      <c r="I5" s="192"/>
      <c r="J5" s="192"/>
      <c r="K5" s="194"/>
      <c r="L5" s="195"/>
      <c r="M5" s="194"/>
      <c r="N5" s="192"/>
      <c r="O5" s="192"/>
      <c r="P5" s="192"/>
      <c r="Q5" s="192"/>
      <c r="R5" s="192"/>
      <c r="S5" s="192"/>
    </row>
    <row r="6" spans="1:19" ht="18" customHeight="1" x14ac:dyDescent="0.15">
      <c r="A6" s="391" t="s">
        <v>48</v>
      </c>
      <c r="B6" s="484">
        <v>2407</v>
      </c>
      <c r="C6" s="379">
        <v>2479</v>
      </c>
      <c r="D6" s="488">
        <v>10</v>
      </c>
      <c r="E6" s="380">
        <v>8</v>
      </c>
      <c r="F6" s="492">
        <v>2965</v>
      </c>
      <c r="G6" s="381">
        <v>3102</v>
      </c>
      <c r="H6" s="30"/>
      <c r="I6" s="192"/>
      <c r="J6" s="192"/>
      <c r="K6" s="194"/>
      <c r="L6" s="192"/>
      <c r="M6" s="196"/>
      <c r="N6" s="192"/>
      <c r="O6" s="192"/>
      <c r="P6" s="192"/>
      <c r="Q6" s="192"/>
      <c r="R6" s="192"/>
      <c r="S6" s="192"/>
    </row>
    <row r="7" spans="1:19" ht="18" customHeight="1" x14ac:dyDescent="0.15">
      <c r="A7" s="392" t="s">
        <v>169</v>
      </c>
      <c r="B7" s="485">
        <v>2910</v>
      </c>
      <c r="C7" s="382">
        <v>3141</v>
      </c>
      <c r="D7" s="489">
        <v>14</v>
      </c>
      <c r="E7" s="383">
        <v>17</v>
      </c>
      <c r="F7" s="493">
        <v>3525</v>
      </c>
      <c r="G7" s="382">
        <v>3840</v>
      </c>
      <c r="H7" s="30"/>
      <c r="I7" s="192"/>
      <c r="J7" s="192"/>
      <c r="K7" s="194"/>
      <c r="L7" s="192"/>
      <c r="M7" s="196"/>
      <c r="N7" s="192"/>
      <c r="O7" s="192"/>
      <c r="P7" s="192"/>
      <c r="Q7" s="192"/>
      <c r="R7" s="192"/>
      <c r="S7" s="192"/>
    </row>
    <row r="8" spans="1:19" ht="18" customHeight="1" x14ac:dyDescent="0.15">
      <c r="A8" s="393" t="s">
        <v>30</v>
      </c>
      <c r="B8" s="486">
        <v>531</v>
      </c>
      <c r="C8" s="381">
        <v>578</v>
      </c>
      <c r="D8" s="490">
        <v>2</v>
      </c>
      <c r="E8" s="384">
        <v>5</v>
      </c>
      <c r="F8" s="492">
        <v>636</v>
      </c>
      <c r="G8" s="381">
        <v>687</v>
      </c>
      <c r="H8" s="30"/>
      <c r="I8" s="192"/>
      <c r="J8" s="192"/>
      <c r="K8" s="194"/>
      <c r="L8" s="192"/>
      <c r="M8" s="196"/>
      <c r="N8" s="192"/>
      <c r="O8" s="192"/>
      <c r="P8" s="192"/>
      <c r="Q8" s="192"/>
      <c r="R8" s="192"/>
      <c r="S8" s="192"/>
    </row>
    <row r="9" spans="1:19" ht="18" customHeight="1" x14ac:dyDescent="0.15">
      <c r="A9" s="392" t="s">
        <v>49</v>
      </c>
      <c r="B9" s="485">
        <v>458</v>
      </c>
      <c r="C9" s="382">
        <v>525</v>
      </c>
      <c r="D9" s="489">
        <v>3</v>
      </c>
      <c r="E9" s="383">
        <v>3</v>
      </c>
      <c r="F9" s="493">
        <v>537</v>
      </c>
      <c r="G9" s="382">
        <v>637</v>
      </c>
      <c r="H9" s="30"/>
      <c r="I9" s="192"/>
      <c r="J9" s="192"/>
      <c r="K9" s="194"/>
      <c r="L9" s="192"/>
      <c r="M9" s="196"/>
      <c r="N9" s="192"/>
      <c r="O9" s="192"/>
      <c r="P9" s="192"/>
      <c r="Q9" s="192"/>
      <c r="R9" s="192"/>
      <c r="S9" s="192"/>
    </row>
    <row r="10" spans="1:19" ht="18" customHeight="1" x14ac:dyDescent="0.15">
      <c r="A10" s="182" t="s">
        <v>145</v>
      </c>
      <c r="B10" s="487">
        <v>4579</v>
      </c>
      <c r="C10" s="385">
        <v>4609</v>
      </c>
      <c r="D10" s="491">
        <v>15</v>
      </c>
      <c r="E10" s="386">
        <v>11</v>
      </c>
      <c r="F10" s="494">
        <v>5060</v>
      </c>
      <c r="G10" s="385">
        <v>5132</v>
      </c>
      <c r="H10" s="30"/>
      <c r="I10" s="192"/>
      <c r="J10" s="192"/>
      <c r="K10" s="197"/>
      <c r="L10" s="197"/>
      <c r="M10" s="196"/>
      <c r="N10" s="192"/>
      <c r="O10" s="192"/>
      <c r="P10" s="192"/>
      <c r="Q10" s="192"/>
      <c r="R10" s="192"/>
      <c r="S10" s="192"/>
    </row>
    <row r="11" spans="1:19" ht="18" customHeight="1" x14ac:dyDescent="0.15">
      <c r="A11" s="387" t="s">
        <v>62</v>
      </c>
      <c r="B11" s="388">
        <f t="shared" ref="B11:G11" si="0">SUM(B6:B10)</f>
        <v>10885</v>
      </c>
      <c r="C11" s="389">
        <f t="shared" si="0"/>
        <v>11332</v>
      </c>
      <c r="D11" s="388">
        <f t="shared" si="0"/>
        <v>44</v>
      </c>
      <c r="E11" s="389">
        <f t="shared" si="0"/>
        <v>44</v>
      </c>
      <c r="F11" s="390">
        <f t="shared" si="0"/>
        <v>12723</v>
      </c>
      <c r="G11" s="389">
        <f t="shared" si="0"/>
        <v>13398</v>
      </c>
      <c r="H11" s="30"/>
      <c r="I11" s="192"/>
      <c r="J11" s="192"/>
      <c r="K11" s="194"/>
      <c r="L11" s="192"/>
      <c r="M11" s="196"/>
      <c r="N11" s="192"/>
      <c r="O11" s="192"/>
      <c r="P11" s="192"/>
      <c r="Q11" s="192"/>
      <c r="R11" s="192"/>
      <c r="S11" s="192"/>
    </row>
    <row r="12" spans="1:19" x14ac:dyDescent="0.15">
      <c r="I12" s="192"/>
      <c r="J12" s="192"/>
      <c r="K12" s="194"/>
      <c r="L12" s="192"/>
      <c r="M12" s="196"/>
      <c r="N12" s="192"/>
      <c r="O12" s="192"/>
      <c r="P12" s="192"/>
      <c r="Q12" s="192"/>
      <c r="R12" s="192"/>
      <c r="S12" s="192"/>
    </row>
    <row r="13" spans="1:19" x14ac:dyDescent="0.15">
      <c r="C13" t="s">
        <v>52</v>
      </c>
      <c r="I13" s="192"/>
      <c r="J13" s="192"/>
      <c r="K13" s="194"/>
      <c r="L13" s="192"/>
      <c r="M13" s="196"/>
      <c r="N13" s="192"/>
      <c r="O13" s="192"/>
      <c r="P13" s="192"/>
      <c r="Q13" s="192"/>
      <c r="R13" s="192"/>
      <c r="S13" s="192"/>
    </row>
    <row r="14" spans="1:19" x14ac:dyDescent="0.15">
      <c r="I14" s="192"/>
      <c r="J14" s="192"/>
      <c r="K14" s="194"/>
      <c r="L14" s="192"/>
      <c r="M14" s="196"/>
      <c r="N14" s="192"/>
      <c r="O14" s="192"/>
      <c r="P14" s="192"/>
      <c r="Q14" s="192"/>
      <c r="R14" s="192"/>
      <c r="S14" s="192"/>
    </row>
    <row r="15" spans="1:19" x14ac:dyDescent="0.15">
      <c r="I15" s="192"/>
      <c r="J15" s="192"/>
      <c r="K15" s="194"/>
      <c r="L15" s="192"/>
      <c r="M15" s="196"/>
      <c r="N15" s="192"/>
      <c r="O15" s="192"/>
      <c r="P15" s="192"/>
      <c r="Q15" s="192"/>
      <c r="R15" s="192"/>
      <c r="S15" s="192"/>
    </row>
    <row r="16" spans="1:19" x14ac:dyDescent="0.15">
      <c r="I16" s="192"/>
      <c r="J16" s="192"/>
      <c r="K16" s="197"/>
      <c r="L16" s="197"/>
      <c r="M16" s="196"/>
    </row>
  </sheetData>
  <mergeCells count="4">
    <mergeCell ref="A4:A5"/>
    <mergeCell ref="B4:C4"/>
    <mergeCell ref="D4:E4"/>
    <mergeCell ref="F4:G4"/>
  </mergeCells>
  <phoneticPr fontId="37"/>
  <pageMargins left="0.98425196850393704" right="0.39370078740157483" top="0.98425196850393704" bottom="0.98425196850393704" header="0.51181102362204722" footer="0.51181102362204722"/>
  <pageSetup paperSize="9" firstPageNumber="0" orientation="portrait" r:id="rId1"/>
  <headerFooter alignWithMargins="0">
    <oddFooter>&amp;C－7－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6"/>
  <sheetViews>
    <sheetView tabSelected="1" view="pageBreakPreview" topLeftCell="A28" zoomScaleNormal="100" zoomScaleSheetLayoutView="100" workbookViewId="0">
      <selection activeCell="N15" sqref="N15"/>
    </sheetView>
  </sheetViews>
  <sheetFormatPr defaultRowHeight="13.5" x14ac:dyDescent="0.15"/>
  <cols>
    <col min="1" max="1" width="3" customWidth="1"/>
    <col min="2" max="2" width="4.125" customWidth="1"/>
    <col min="3" max="3" width="15.875" customWidth="1"/>
    <col min="4" max="5" width="7.125" customWidth="1"/>
    <col min="6" max="6" width="7.625" customWidth="1"/>
    <col min="7" max="7" width="3" customWidth="1"/>
    <col min="8" max="8" width="3.875" customWidth="1"/>
    <col min="9" max="9" width="15.875" customWidth="1"/>
    <col min="10" max="11" width="7.125" customWidth="1"/>
    <col min="12" max="12" width="7.625" customWidth="1"/>
    <col min="13" max="13" width="4.25" customWidth="1"/>
    <col min="14" max="14" width="13.375" customWidth="1"/>
  </cols>
  <sheetData>
    <row r="1" spans="1:20" ht="16.5" customHeight="1" thickBot="1" x14ac:dyDescent="0.2">
      <c r="A1" t="s">
        <v>53</v>
      </c>
      <c r="B1" s="32"/>
      <c r="C1" s="32"/>
      <c r="D1" s="396"/>
      <c r="E1" s="32"/>
      <c r="F1" s="396"/>
      <c r="G1" s="532" t="s">
        <v>265</v>
      </c>
      <c r="H1" s="532"/>
      <c r="I1" s="532"/>
      <c r="J1" s="532"/>
      <c r="K1" s="532"/>
      <c r="L1" s="532"/>
      <c r="M1" s="198"/>
      <c r="N1" s="201"/>
    </row>
    <row r="2" spans="1:20" ht="15.95" customHeight="1" x14ac:dyDescent="0.15">
      <c r="A2" s="199"/>
      <c r="B2" s="647" t="s">
        <v>60</v>
      </c>
      <c r="C2" s="648"/>
      <c r="D2" s="394" t="s">
        <v>73</v>
      </c>
      <c r="E2" s="394" t="s">
        <v>24</v>
      </c>
      <c r="F2" s="420" t="s">
        <v>121</v>
      </c>
      <c r="G2" s="421"/>
      <c r="H2" s="647" t="s">
        <v>60</v>
      </c>
      <c r="I2" s="648"/>
      <c r="J2" s="394" t="s">
        <v>252</v>
      </c>
      <c r="K2" s="394" t="s">
        <v>22</v>
      </c>
      <c r="L2" s="395" t="s">
        <v>218</v>
      </c>
    </row>
    <row r="3" spans="1:20" ht="15.95" customHeight="1" x14ac:dyDescent="0.15">
      <c r="A3" s="655" t="s">
        <v>209</v>
      </c>
      <c r="B3" s="649" t="s">
        <v>29</v>
      </c>
      <c r="C3" s="422" t="s">
        <v>8</v>
      </c>
      <c r="D3" s="495">
        <v>293</v>
      </c>
      <c r="E3" s="495">
        <v>2</v>
      </c>
      <c r="F3" s="496">
        <v>360</v>
      </c>
      <c r="G3" s="659" t="s">
        <v>209</v>
      </c>
      <c r="H3" s="649" t="s">
        <v>31</v>
      </c>
      <c r="I3" s="200" t="s">
        <v>253</v>
      </c>
      <c r="J3" s="495">
        <v>131</v>
      </c>
      <c r="K3" s="495">
        <v>1</v>
      </c>
      <c r="L3" s="501">
        <v>145</v>
      </c>
      <c r="N3" s="332"/>
      <c r="O3" s="332"/>
      <c r="P3" s="332"/>
    </row>
    <row r="4" spans="1:20" ht="15.95" customHeight="1" x14ac:dyDescent="0.15">
      <c r="A4" s="655"/>
      <c r="B4" s="653"/>
      <c r="C4" s="422" t="s">
        <v>240</v>
      </c>
      <c r="D4" s="495">
        <v>172</v>
      </c>
      <c r="E4" s="495">
        <v>1</v>
      </c>
      <c r="F4" s="496">
        <v>201</v>
      </c>
      <c r="G4" s="659"/>
      <c r="H4" s="649"/>
      <c r="I4" s="202" t="s">
        <v>244</v>
      </c>
      <c r="J4" s="502">
        <v>167</v>
      </c>
      <c r="K4" s="502">
        <v>1</v>
      </c>
      <c r="L4" s="503">
        <v>202</v>
      </c>
      <c r="N4" s="332"/>
      <c r="O4" s="332"/>
      <c r="P4" s="332"/>
    </row>
    <row r="5" spans="1:20" ht="15.95" customHeight="1" x14ac:dyDescent="0.15">
      <c r="A5" s="655"/>
      <c r="B5" s="653"/>
      <c r="C5" s="422" t="s">
        <v>71</v>
      </c>
      <c r="D5" s="495">
        <v>406</v>
      </c>
      <c r="E5" s="495">
        <v>0</v>
      </c>
      <c r="F5" s="496">
        <v>487</v>
      </c>
      <c r="G5" s="659"/>
      <c r="H5" s="649"/>
      <c r="I5" s="203" t="s">
        <v>6</v>
      </c>
      <c r="J5" s="495">
        <v>92</v>
      </c>
      <c r="K5" s="495">
        <v>0</v>
      </c>
      <c r="L5" s="501">
        <v>119</v>
      </c>
      <c r="N5" s="332"/>
      <c r="O5" s="332"/>
      <c r="P5" s="332"/>
    </row>
    <row r="6" spans="1:20" ht="15.95" customHeight="1" x14ac:dyDescent="0.15">
      <c r="A6" s="655"/>
      <c r="B6" s="653"/>
      <c r="C6" s="422" t="s">
        <v>255</v>
      </c>
      <c r="D6" s="495">
        <v>192</v>
      </c>
      <c r="E6" s="495">
        <v>1</v>
      </c>
      <c r="F6" s="496">
        <v>251</v>
      </c>
      <c r="G6" s="659"/>
      <c r="H6" s="649"/>
      <c r="I6" s="203" t="s">
        <v>88</v>
      </c>
      <c r="J6" s="495">
        <v>65</v>
      </c>
      <c r="K6" s="495">
        <v>0</v>
      </c>
      <c r="L6" s="501">
        <v>78</v>
      </c>
      <c r="N6" s="332"/>
      <c r="O6" s="332"/>
      <c r="P6" s="332"/>
    </row>
    <row r="7" spans="1:20" ht="15.95" customHeight="1" x14ac:dyDescent="0.15">
      <c r="A7" s="655"/>
      <c r="B7" s="653"/>
      <c r="C7" s="422" t="s">
        <v>130</v>
      </c>
      <c r="D7" s="495">
        <v>170</v>
      </c>
      <c r="E7" s="495">
        <v>1</v>
      </c>
      <c r="F7" s="496">
        <v>222</v>
      </c>
      <c r="G7" s="659"/>
      <c r="H7" s="649"/>
      <c r="I7" s="203" t="s">
        <v>84</v>
      </c>
      <c r="J7" s="495">
        <v>37</v>
      </c>
      <c r="K7" s="495">
        <v>0</v>
      </c>
      <c r="L7" s="501">
        <v>46</v>
      </c>
      <c r="N7" s="332"/>
      <c r="O7" s="332"/>
      <c r="P7" s="332"/>
    </row>
    <row r="8" spans="1:20" ht="15.95" customHeight="1" x14ac:dyDescent="0.15">
      <c r="A8" s="655"/>
      <c r="B8" s="653"/>
      <c r="C8" s="422" t="s">
        <v>25</v>
      </c>
      <c r="D8" s="495">
        <v>27</v>
      </c>
      <c r="E8" s="495">
        <v>0</v>
      </c>
      <c r="F8" s="496">
        <v>40</v>
      </c>
      <c r="G8" s="659"/>
      <c r="H8" s="649"/>
      <c r="I8" s="203" t="s">
        <v>9</v>
      </c>
      <c r="J8" s="495">
        <v>27</v>
      </c>
      <c r="K8" s="495">
        <v>0</v>
      </c>
      <c r="L8" s="501">
        <v>33</v>
      </c>
      <c r="N8" s="332"/>
      <c r="O8" s="332"/>
      <c r="P8" s="332"/>
    </row>
    <row r="9" spans="1:20" ht="15.95" customHeight="1" x14ac:dyDescent="0.15">
      <c r="A9" s="655"/>
      <c r="B9" s="653"/>
      <c r="C9" s="422" t="s">
        <v>197</v>
      </c>
      <c r="D9" s="495">
        <v>98</v>
      </c>
      <c r="E9" s="495">
        <v>1</v>
      </c>
      <c r="F9" s="496">
        <v>118</v>
      </c>
      <c r="G9" s="659"/>
      <c r="H9" s="649"/>
      <c r="I9" s="203" t="s">
        <v>158</v>
      </c>
      <c r="J9" s="495">
        <v>4</v>
      </c>
      <c r="K9" s="495">
        <v>0</v>
      </c>
      <c r="L9" s="501">
        <v>4</v>
      </c>
      <c r="N9" s="398"/>
      <c r="O9" s="399"/>
      <c r="P9" s="399"/>
      <c r="Q9" s="399"/>
      <c r="R9" s="332"/>
      <c r="S9" s="332"/>
      <c r="T9" s="332"/>
    </row>
    <row r="10" spans="1:20" ht="15.95" customHeight="1" x14ac:dyDescent="0.15">
      <c r="A10" s="655"/>
      <c r="B10" s="653"/>
      <c r="C10" s="422" t="s">
        <v>128</v>
      </c>
      <c r="D10" s="495">
        <v>134</v>
      </c>
      <c r="E10" s="495">
        <v>1</v>
      </c>
      <c r="F10" s="496">
        <v>160</v>
      </c>
      <c r="G10" s="659"/>
      <c r="H10" s="649"/>
      <c r="I10" s="203" t="s">
        <v>270</v>
      </c>
      <c r="J10" s="495">
        <v>5</v>
      </c>
      <c r="K10" s="495">
        <v>0</v>
      </c>
      <c r="L10" s="501">
        <v>5</v>
      </c>
      <c r="N10" s="398"/>
      <c r="O10" s="399"/>
      <c r="P10" s="399"/>
      <c r="Q10" s="399"/>
      <c r="R10" s="332"/>
      <c r="S10" s="332"/>
      <c r="T10" s="332"/>
    </row>
    <row r="11" spans="1:20" ht="15.95" customHeight="1" x14ac:dyDescent="0.15">
      <c r="A11" s="655"/>
      <c r="B11" s="653"/>
      <c r="C11" s="422" t="s">
        <v>138</v>
      </c>
      <c r="D11" s="495">
        <v>200</v>
      </c>
      <c r="E11" s="495">
        <v>1</v>
      </c>
      <c r="F11" s="496">
        <v>225</v>
      </c>
      <c r="G11" s="659"/>
      <c r="H11" s="649"/>
      <c r="I11" s="203" t="s">
        <v>145</v>
      </c>
      <c r="J11" s="495">
        <v>3</v>
      </c>
      <c r="K11" s="495">
        <v>0</v>
      </c>
      <c r="L11" s="501">
        <v>4</v>
      </c>
      <c r="R11" s="332"/>
      <c r="S11" s="332"/>
      <c r="T11" s="332"/>
    </row>
    <row r="12" spans="1:20" ht="15.95" customHeight="1" x14ac:dyDescent="0.15">
      <c r="A12" s="655"/>
      <c r="B12" s="653"/>
      <c r="C12" s="422" t="s">
        <v>246</v>
      </c>
      <c r="D12" s="495">
        <v>30</v>
      </c>
      <c r="E12" s="495">
        <v>0</v>
      </c>
      <c r="F12" s="496">
        <v>35</v>
      </c>
      <c r="G12" s="659"/>
      <c r="H12" s="649" t="s">
        <v>133</v>
      </c>
      <c r="I12" s="200" t="s">
        <v>61</v>
      </c>
      <c r="J12" s="495">
        <v>13</v>
      </c>
      <c r="K12" s="495">
        <v>0</v>
      </c>
      <c r="L12" s="501">
        <v>16</v>
      </c>
      <c r="R12" s="332"/>
      <c r="S12" s="332"/>
      <c r="T12" s="332"/>
    </row>
    <row r="13" spans="1:20" ht="15.95" customHeight="1" x14ac:dyDescent="0.15">
      <c r="A13" s="655"/>
      <c r="B13" s="653"/>
      <c r="C13" s="422" t="s">
        <v>113</v>
      </c>
      <c r="D13" s="495">
        <v>260</v>
      </c>
      <c r="E13" s="495">
        <v>2</v>
      </c>
      <c r="F13" s="496">
        <v>322</v>
      </c>
      <c r="G13" s="659"/>
      <c r="H13" s="649"/>
      <c r="I13" s="200" t="s">
        <v>83</v>
      </c>
      <c r="J13" s="495">
        <v>10</v>
      </c>
      <c r="K13" s="495">
        <v>0</v>
      </c>
      <c r="L13" s="501">
        <v>13</v>
      </c>
      <c r="R13" s="332"/>
      <c r="S13" s="332"/>
      <c r="T13" s="332"/>
    </row>
    <row r="14" spans="1:20" ht="15.95" customHeight="1" x14ac:dyDescent="0.15">
      <c r="A14" s="655"/>
      <c r="B14" s="653"/>
      <c r="C14" s="422" t="s">
        <v>215</v>
      </c>
      <c r="D14" s="495">
        <v>425</v>
      </c>
      <c r="E14" s="495">
        <v>0</v>
      </c>
      <c r="F14" s="496">
        <v>544</v>
      </c>
      <c r="G14" s="659"/>
      <c r="H14" s="649"/>
      <c r="I14" s="200" t="s">
        <v>139</v>
      </c>
      <c r="J14" s="495">
        <v>27</v>
      </c>
      <c r="K14" s="495">
        <v>0</v>
      </c>
      <c r="L14" s="501">
        <v>35</v>
      </c>
      <c r="R14" s="332"/>
      <c r="S14" s="332"/>
      <c r="T14" s="332"/>
    </row>
    <row r="15" spans="1:20" ht="15.95" customHeight="1" x14ac:dyDescent="0.15">
      <c r="A15" s="655"/>
      <c r="B15" s="657" t="s">
        <v>271</v>
      </c>
      <c r="C15" s="203" t="s">
        <v>157</v>
      </c>
      <c r="D15" s="495">
        <v>150</v>
      </c>
      <c r="E15" s="495">
        <v>1</v>
      </c>
      <c r="F15" s="496">
        <v>185</v>
      </c>
      <c r="G15" s="659"/>
      <c r="H15" s="649"/>
      <c r="I15" s="200" t="s">
        <v>124</v>
      </c>
      <c r="J15" s="495">
        <v>42</v>
      </c>
      <c r="K15" s="495">
        <v>1</v>
      </c>
      <c r="L15" s="501">
        <v>57</v>
      </c>
      <c r="R15" s="332"/>
      <c r="S15" s="332"/>
      <c r="T15" s="332"/>
    </row>
    <row r="16" spans="1:20" ht="15.95" customHeight="1" x14ac:dyDescent="0.15">
      <c r="A16" s="655"/>
      <c r="B16" s="657"/>
      <c r="C16" s="203" t="s">
        <v>153</v>
      </c>
      <c r="D16" s="495">
        <v>259</v>
      </c>
      <c r="E16" s="495">
        <v>0</v>
      </c>
      <c r="F16" s="496">
        <v>328</v>
      </c>
      <c r="G16" s="659"/>
      <c r="H16" s="649"/>
      <c r="I16" s="200" t="s">
        <v>87</v>
      </c>
      <c r="J16" s="495">
        <v>39</v>
      </c>
      <c r="K16" s="495">
        <v>0</v>
      </c>
      <c r="L16" s="501">
        <v>49</v>
      </c>
      <c r="R16" s="332"/>
      <c r="S16" s="332"/>
      <c r="T16" s="332"/>
    </row>
    <row r="17" spans="1:22" ht="15.95" customHeight="1" x14ac:dyDescent="0.15">
      <c r="A17" s="655"/>
      <c r="B17" s="657"/>
      <c r="C17" s="203" t="s">
        <v>10</v>
      </c>
      <c r="D17" s="495">
        <v>104</v>
      </c>
      <c r="E17" s="495">
        <v>0</v>
      </c>
      <c r="F17" s="496">
        <v>126</v>
      </c>
      <c r="G17" s="659"/>
      <c r="H17" s="649"/>
      <c r="I17" s="200" t="s">
        <v>1</v>
      </c>
      <c r="J17" s="495">
        <v>23</v>
      </c>
      <c r="K17" s="495">
        <v>0</v>
      </c>
      <c r="L17" s="501">
        <v>25</v>
      </c>
      <c r="N17" s="204"/>
      <c r="R17" s="332"/>
      <c r="S17" s="332"/>
      <c r="T17" s="332"/>
      <c r="V17">
        <v>1157</v>
      </c>
    </row>
    <row r="18" spans="1:22" ht="15.95" customHeight="1" x14ac:dyDescent="0.15">
      <c r="A18" s="655"/>
      <c r="B18" s="657"/>
      <c r="C18" s="203" t="s">
        <v>99</v>
      </c>
      <c r="D18" s="495">
        <v>94</v>
      </c>
      <c r="E18" s="495">
        <v>0</v>
      </c>
      <c r="F18" s="496">
        <v>117</v>
      </c>
      <c r="G18" s="659"/>
      <c r="H18" s="649"/>
      <c r="I18" s="200" t="s">
        <v>172</v>
      </c>
      <c r="J18" s="495">
        <v>21</v>
      </c>
      <c r="K18" s="495">
        <v>0</v>
      </c>
      <c r="L18" s="501">
        <v>23</v>
      </c>
      <c r="R18" s="332"/>
      <c r="S18" s="332"/>
      <c r="T18" s="332"/>
      <c r="V18">
        <v>1056</v>
      </c>
    </row>
    <row r="19" spans="1:22" ht="15.95" customHeight="1" x14ac:dyDescent="0.15">
      <c r="A19" s="655"/>
      <c r="B19" s="657"/>
      <c r="C19" s="203" t="s">
        <v>195</v>
      </c>
      <c r="D19" s="495">
        <v>34</v>
      </c>
      <c r="E19" s="495">
        <v>0</v>
      </c>
      <c r="F19" s="496">
        <v>37</v>
      </c>
      <c r="G19" s="659"/>
      <c r="H19" s="649"/>
      <c r="I19" s="200" t="s">
        <v>176</v>
      </c>
      <c r="J19" s="495">
        <v>25</v>
      </c>
      <c r="K19" s="495">
        <v>0</v>
      </c>
      <c r="L19" s="501">
        <v>29</v>
      </c>
      <c r="R19" s="332"/>
      <c r="S19" s="332"/>
      <c r="T19" s="332"/>
      <c r="V19">
        <v>1345</v>
      </c>
    </row>
    <row r="20" spans="1:22" ht="15.95" customHeight="1" x14ac:dyDescent="0.15">
      <c r="A20" s="655"/>
      <c r="B20" s="657"/>
      <c r="C20" s="203" t="s">
        <v>36</v>
      </c>
      <c r="D20" s="495">
        <v>186</v>
      </c>
      <c r="E20" s="495">
        <v>2</v>
      </c>
      <c r="F20" s="496">
        <v>241</v>
      </c>
      <c r="G20" s="659"/>
      <c r="H20" s="649"/>
      <c r="I20" s="200" t="s">
        <v>114</v>
      </c>
      <c r="J20" s="495">
        <v>30</v>
      </c>
      <c r="K20" s="495">
        <v>0</v>
      </c>
      <c r="L20" s="501">
        <v>33</v>
      </c>
      <c r="R20" s="332"/>
      <c r="S20" s="332"/>
      <c r="T20" s="332"/>
      <c r="V20">
        <v>1311</v>
      </c>
    </row>
    <row r="21" spans="1:22" ht="15.95" customHeight="1" x14ac:dyDescent="0.15">
      <c r="A21" s="655"/>
      <c r="B21" s="657"/>
      <c r="C21" s="203" t="s">
        <v>187</v>
      </c>
      <c r="D21" s="495">
        <v>198</v>
      </c>
      <c r="E21" s="495">
        <v>2</v>
      </c>
      <c r="F21" s="496">
        <v>234</v>
      </c>
      <c r="G21" s="659"/>
      <c r="H21" s="649"/>
      <c r="I21" s="200" t="s">
        <v>233</v>
      </c>
      <c r="J21" s="495">
        <v>10</v>
      </c>
      <c r="K21" s="495">
        <v>0</v>
      </c>
      <c r="L21" s="501">
        <v>11</v>
      </c>
      <c r="R21" s="332"/>
      <c r="S21" s="332"/>
      <c r="T21" s="332"/>
      <c r="V21">
        <v>1183</v>
      </c>
    </row>
    <row r="22" spans="1:22" ht="15.95" customHeight="1" x14ac:dyDescent="0.15">
      <c r="A22" s="655"/>
      <c r="B22" s="657"/>
      <c r="C22" s="203" t="s">
        <v>261</v>
      </c>
      <c r="D22" s="495">
        <v>201</v>
      </c>
      <c r="E22" s="495">
        <v>1</v>
      </c>
      <c r="F22" s="496">
        <v>244</v>
      </c>
      <c r="G22" s="659"/>
      <c r="H22" s="649"/>
      <c r="I22" s="200" t="s">
        <v>20</v>
      </c>
      <c r="J22" s="495">
        <v>20</v>
      </c>
      <c r="K22" s="495">
        <v>0</v>
      </c>
      <c r="L22" s="501">
        <v>21</v>
      </c>
      <c r="R22" s="332"/>
      <c r="S22" s="332"/>
      <c r="T22" s="332"/>
      <c r="V22">
        <v>1253</v>
      </c>
    </row>
    <row r="23" spans="1:22" ht="15.95" customHeight="1" x14ac:dyDescent="0.15">
      <c r="A23" s="655"/>
      <c r="B23" s="657"/>
      <c r="C23" s="203" t="s">
        <v>132</v>
      </c>
      <c r="D23" s="495">
        <v>116</v>
      </c>
      <c r="E23" s="495">
        <v>1</v>
      </c>
      <c r="F23" s="496">
        <v>134</v>
      </c>
      <c r="G23" s="659"/>
      <c r="H23" s="649"/>
      <c r="I23" s="200" t="s">
        <v>228</v>
      </c>
      <c r="J23" s="495">
        <v>1</v>
      </c>
      <c r="K23" s="495">
        <v>0</v>
      </c>
      <c r="L23" s="501">
        <v>1</v>
      </c>
      <c r="R23" s="332"/>
      <c r="S23" s="332"/>
      <c r="T23" s="332"/>
      <c r="V23">
        <v>1315</v>
      </c>
    </row>
    <row r="24" spans="1:22" ht="15.95" customHeight="1" x14ac:dyDescent="0.15">
      <c r="A24" s="655"/>
      <c r="B24" s="657"/>
      <c r="C24" s="203" t="s">
        <v>143</v>
      </c>
      <c r="D24" s="495">
        <v>12</v>
      </c>
      <c r="E24" s="495">
        <v>0</v>
      </c>
      <c r="F24" s="496">
        <v>12</v>
      </c>
      <c r="G24" s="659"/>
      <c r="H24" s="649"/>
      <c r="I24" s="200" t="s">
        <v>174</v>
      </c>
      <c r="J24" s="495">
        <v>8</v>
      </c>
      <c r="K24" s="495">
        <v>0</v>
      </c>
      <c r="L24" s="501">
        <v>9</v>
      </c>
      <c r="R24" s="332"/>
      <c r="S24" s="332"/>
      <c r="T24" s="332"/>
      <c r="V24">
        <v>1235</v>
      </c>
    </row>
    <row r="25" spans="1:22" ht="15.95" customHeight="1" x14ac:dyDescent="0.15">
      <c r="A25" s="655"/>
      <c r="B25" s="657"/>
      <c r="C25" s="203" t="s">
        <v>159</v>
      </c>
      <c r="D25" s="495">
        <v>12</v>
      </c>
      <c r="E25" s="495">
        <v>0</v>
      </c>
      <c r="F25" s="496">
        <v>14</v>
      </c>
      <c r="G25" s="659"/>
      <c r="H25" s="649"/>
      <c r="I25" s="200" t="s">
        <v>17</v>
      </c>
      <c r="J25" s="495">
        <v>26</v>
      </c>
      <c r="K25" s="495">
        <v>0</v>
      </c>
      <c r="L25" s="501">
        <v>29</v>
      </c>
      <c r="R25" s="332"/>
      <c r="S25" s="332"/>
      <c r="T25" s="332"/>
      <c r="V25">
        <v>1243</v>
      </c>
    </row>
    <row r="26" spans="1:22" ht="15.95" customHeight="1" x14ac:dyDescent="0.15">
      <c r="A26" s="655"/>
      <c r="B26" s="657"/>
      <c r="C26" s="203" t="s">
        <v>178</v>
      </c>
      <c r="D26" s="495">
        <v>42</v>
      </c>
      <c r="E26" s="495">
        <v>1</v>
      </c>
      <c r="F26" s="496">
        <v>50</v>
      </c>
      <c r="G26" s="659"/>
      <c r="H26" s="649"/>
      <c r="I26" s="200" t="s">
        <v>94</v>
      </c>
      <c r="J26" s="495">
        <v>1</v>
      </c>
      <c r="K26" s="495">
        <v>0</v>
      </c>
      <c r="L26" s="501">
        <v>1</v>
      </c>
      <c r="R26" s="332"/>
      <c r="S26" s="332"/>
      <c r="T26" s="332"/>
      <c r="V26">
        <v>1324</v>
      </c>
    </row>
    <row r="27" spans="1:22" ht="15.95" customHeight="1" x14ac:dyDescent="0.15">
      <c r="A27" s="655"/>
      <c r="B27" s="657"/>
      <c r="C27" s="203" t="s">
        <v>84</v>
      </c>
      <c r="D27" s="495">
        <v>92</v>
      </c>
      <c r="E27" s="495">
        <v>0</v>
      </c>
      <c r="F27" s="496">
        <v>111</v>
      </c>
      <c r="G27" s="659"/>
      <c r="H27" s="649"/>
      <c r="I27" s="200" t="s">
        <v>256</v>
      </c>
      <c r="J27" s="495">
        <v>5</v>
      </c>
      <c r="K27" s="495">
        <v>0</v>
      </c>
      <c r="L27" s="501">
        <v>6</v>
      </c>
      <c r="R27" s="332"/>
      <c r="S27" s="332"/>
      <c r="T27" s="332"/>
      <c r="V27">
        <v>1235</v>
      </c>
    </row>
    <row r="28" spans="1:22" ht="15.95" customHeight="1" x14ac:dyDescent="0.15">
      <c r="A28" s="655"/>
      <c r="B28" s="657"/>
      <c r="C28" s="203" t="s">
        <v>223</v>
      </c>
      <c r="D28" s="495">
        <v>125</v>
      </c>
      <c r="E28" s="495">
        <v>1</v>
      </c>
      <c r="F28" s="496">
        <v>153</v>
      </c>
      <c r="G28" s="659"/>
      <c r="H28" s="649"/>
      <c r="I28" s="200" t="s">
        <v>21</v>
      </c>
      <c r="J28" s="495">
        <v>14</v>
      </c>
      <c r="K28" s="495">
        <v>1</v>
      </c>
      <c r="L28" s="501">
        <v>16</v>
      </c>
      <c r="R28" s="332"/>
      <c r="S28" s="332"/>
      <c r="T28" s="332"/>
      <c r="V28">
        <v>1564</v>
      </c>
    </row>
    <row r="29" spans="1:22" ht="15.95" customHeight="1" x14ac:dyDescent="0.15">
      <c r="A29" s="655"/>
      <c r="B29" s="657"/>
      <c r="C29" s="203" t="s">
        <v>170</v>
      </c>
      <c r="D29" s="495">
        <v>252</v>
      </c>
      <c r="E29" s="495">
        <v>3</v>
      </c>
      <c r="F29" s="496">
        <v>297</v>
      </c>
      <c r="G29" s="659"/>
      <c r="H29" s="649"/>
      <c r="I29" s="200" t="s">
        <v>226</v>
      </c>
      <c r="J29" s="495">
        <v>12</v>
      </c>
      <c r="K29" s="495">
        <v>0</v>
      </c>
      <c r="L29" s="501">
        <v>14</v>
      </c>
      <c r="R29" s="332"/>
      <c r="S29" s="332"/>
      <c r="T29" s="332"/>
    </row>
    <row r="30" spans="1:22" ht="15.95" customHeight="1" x14ac:dyDescent="0.15">
      <c r="A30" s="655"/>
      <c r="B30" s="657"/>
      <c r="C30" s="203" t="s">
        <v>0</v>
      </c>
      <c r="D30" s="495">
        <v>71</v>
      </c>
      <c r="E30" s="495">
        <v>0</v>
      </c>
      <c r="F30" s="496">
        <v>82</v>
      </c>
      <c r="G30" s="659"/>
      <c r="H30" s="649"/>
      <c r="I30" s="200" t="s">
        <v>260</v>
      </c>
      <c r="J30" s="495">
        <v>0</v>
      </c>
      <c r="K30" s="495">
        <v>0</v>
      </c>
      <c r="L30" s="501">
        <v>0</v>
      </c>
      <c r="R30" s="332"/>
      <c r="S30" s="332"/>
      <c r="T30" s="332"/>
    </row>
    <row r="31" spans="1:22" ht="15.95" customHeight="1" x14ac:dyDescent="0.15">
      <c r="A31" s="655"/>
      <c r="B31" s="657"/>
      <c r="C31" s="203" t="s">
        <v>101</v>
      </c>
      <c r="D31" s="495">
        <v>60</v>
      </c>
      <c r="E31" s="495">
        <v>0</v>
      </c>
      <c r="F31" s="496">
        <v>80</v>
      </c>
      <c r="G31" s="659"/>
      <c r="H31" s="649"/>
      <c r="I31" s="200" t="s">
        <v>63</v>
      </c>
      <c r="J31" s="495">
        <v>13</v>
      </c>
      <c r="K31" s="495">
        <v>0</v>
      </c>
      <c r="L31" s="501">
        <v>14</v>
      </c>
      <c r="R31" s="332"/>
      <c r="S31" s="332"/>
      <c r="T31" s="332"/>
    </row>
    <row r="32" spans="1:22" ht="15.95" customHeight="1" x14ac:dyDescent="0.15">
      <c r="A32" s="655"/>
      <c r="B32" s="657"/>
      <c r="C32" s="203" t="s">
        <v>229</v>
      </c>
      <c r="D32" s="495">
        <v>80</v>
      </c>
      <c r="E32" s="495">
        <v>0</v>
      </c>
      <c r="F32" s="496">
        <v>98</v>
      </c>
      <c r="G32" s="659"/>
      <c r="H32" s="649"/>
      <c r="I32" s="200" t="s">
        <v>151</v>
      </c>
      <c r="J32" s="495">
        <v>19</v>
      </c>
      <c r="K32" s="495">
        <v>0</v>
      </c>
      <c r="L32" s="501">
        <v>22</v>
      </c>
      <c r="R32" s="332"/>
      <c r="S32" s="332"/>
      <c r="T32" s="332"/>
    </row>
    <row r="33" spans="1:20" ht="15.95" customHeight="1" x14ac:dyDescent="0.15">
      <c r="A33" s="655"/>
      <c r="B33" s="657"/>
      <c r="C33" s="203" t="s">
        <v>194</v>
      </c>
      <c r="D33" s="495">
        <v>27</v>
      </c>
      <c r="E33" s="495">
        <v>0</v>
      </c>
      <c r="F33" s="496">
        <v>29</v>
      </c>
      <c r="G33" s="659"/>
      <c r="H33" s="649"/>
      <c r="I33" s="200" t="s">
        <v>180</v>
      </c>
      <c r="J33" s="495">
        <v>39</v>
      </c>
      <c r="K33" s="495">
        <v>0</v>
      </c>
      <c r="L33" s="501">
        <v>47</v>
      </c>
      <c r="R33" s="332"/>
      <c r="S33" s="332"/>
      <c r="T33" s="332"/>
    </row>
    <row r="34" spans="1:20" ht="15.95" customHeight="1" x14ac:dyDescent="0.15">
      <c r="A34" s="655"/>
      <c r="B34" s="657"/>
      <c r="C34" s="203" t="s">
        <v>201</v>
      </c>
      <c r="D34" s="495">
        <v>302</v>
      </c>
      <c r="E34" s="495">
        <v>0</v>
      </c>
      <c r="F34" s="496">
        <v>371</v>
      </c>
      <c r="G34" s="659"/>
      <c r="H34" s="649"/>
      <c r="I34" s="200" t="s">
        <v>220</v>
      </c>
      <c r="J34" s="495">
        <v>2</v>
      </c>
      <c r="K34" s="495">
        <v>0</v>
      </c>
      <c r="L34" s="501">
        <v>2</v>
      </c>
      <c r="R34" s="332"/>
      <c r="S34" s="332"/>
      <c r="T34" s="332"/>
    </row>
    <row r="35" spans="1:20" ht="15.95" customHeight="1" x14ac:dyDescent="0.15">
      <c r="A35" s="655"/>
      <c r="B35" s="657"/>
      <c r="C35" s="203" t="s">
        <v>177</v>
      </c>
      <c r="D35" s="495">
        <v>161</v>
      </c>
      <c r="E35" s="495">
        <v>0</v>
      </c>
      <c r="F35" s="496">
        <v>188</v>
      </c>
      <c r="G35" s="659"/>
      <c r="H35" s="649"/>
      <c r="I35" s="200" t="s">
        <v>171</v>
      </c>
      <c r="J35" s="495">
        <v>14</v>
      </c>
      <c r="K35" s="495">
        <v>0</v>
      </c>
      <c r="L35" s="501">
        <v>17</v>
      </c>
      <c r="R35" s="332"/>
      <c r="S35" s="332"/>
      <c r="T35" s="332"/>
    </row>
    <row r="36" spans="1:20" ht="15.95" customHeight="1" x14ac:dyDescent="0.15">
      <c r="A36" s="655"/>
      <c r="B36" s="657"/>
      <c r="C36" s="203" t="s">
        <v>219</v>
      </c>
      <c r="D36" s="495">
        <v>64</v>
      </c>
      <c r="E36" s="495">
        <v>0</v>
      </c>
      <c r="F36" s="496">
        <v>79</v>
      </c>
      <c r="G36" s="659"/>
      <c r="H36" s="649"/>
      <c r="I36" s="200" t="s">
        <v>12</v>
      </c>
      <c r="J36" s="495">
        <v>2</v>
      </c>
      <c r="K36" s="495">
        <v>1</v>
      </c>
      <c r="L36" s="501">
        <v>1</v>
      </c>
      <c r="R36" s="332"/>
      <c r="S36" s="332"/>
      <c r="T36" s="332"/>
    </row>
    <row r="37" spans="1:20" ht="15.95" customHeight="1" x14ac:dyDescent="0.15">
      <c r="A37" s="655"/>
      <c r="B37" s="657"/>
      <c r="C37" s="203" t="s">
        <v>242</v>
      </c>
      <c r="D37" s="495">
        <v>26</v>
      </c>
      <c r="E37" s="495">
        <v>0</v>
      </c>
      <c r="F37" s="496">
        <v>30</v>
      </c>
      <c r="G37" s="659"/>
      <c r="H37" s="649"/>
      <c r="I37" s="205" t="s">
        <v>205</v>
      </c>
      <c r="J37" s="495">
        <v>5</v>
      </c>
      <c r="K37" s="495">
        <v>0</v>
      </c>
      <c r="L37" s="501">
        <v>6</v>
      </c>
      <c r="R37" s="332"/>
      <c r="S37" s="332"/>
      <c r="T37" s="332"/>
    </row>
    <row r="38" spans="1:20" ht="15.95" customHeight="1" x14ac:dyDescent="0.15">
      <c r="A38" s="655"/>
      <c r="B38" s="657"/>
      <c r="C38" s="203" t="s">
        <v>140</v>
      </c>
      <c r="D38" s="495">
        <v>80</v>
      </c>
      <c r="E38" s="495">
        <v>1</v>
      </c>
      <c r="F38" s="496">
        <v>105</v>
      </c>
      <c r="G38" s="659"/>
      <c r="H38" s="649"/>
      <c r="I38" s="200" t="s">
        <v>213</v>
      </c>
      <c r="J38" s="495">
        <v>31</v>
      </c>
      <c r="K38" s="495">
        <v>0</v>
      </c>
      <c r="L38" s="501">
        <v>34</v>
      </c>
      <c r="R38" s="332"/>
      <c r="S38" s="332"/>
      <c r="T38" s="332"/>
    </row>
    <row r="39" spans="1:20" ht="15.95" customHeight="1" x14ac:dyDescent="0.15">
      <c r="A39" s="655"/>
      <c r="B39" s="657"/>
      <c r="C39" s="203" t="s">
        <v>91</v>
      </c>
      <c r="D39" s="495">
        <v>36</v>
      </c>
      <c r="E39" s="495">
        <v>0</v>
      </c>
      <c r="F39" s="496">
        <v>42</v>
      </c>
      <c r="G39" s="659"/>
      <c r="H39" s="649"/>
      <c r="I39" s="200" t="s">
        <v>127</v>
      </c>
      <c r="J39" s="495">
        <v>0</v>
      </c>
      <c r="K39" s="495">
        <v>0</v>
      </c>
      <c r="L39" s="501">
        <v>0</v>
      </c>
      <c r="R39" s="332"/>
      <c r="S39" s="332"/>
      <c r="T39" s="332"/>
    </row>
    <row r="40" spans="1:20" ht="15.95" customHeight="1" x14ac:dyDescent="0.15">
      <c r="A40" s="655"/>
      <c r="B40" s="657"/>
      <c r="C40" s="203" t="s">
        <v>105</v>
      </c>
      <c r="D40" s="495">
        <v>24</v>
      </c>
      <c r="E40" s="495">
        <v>1</v>
      </c>
      <c r="F40" s="496">
        <v>26</v>
      </c>
      <c r="G40" s="659"/>
      <c r="H40" s="649"/>
      <c r="I40" s="200" t="s">
        <v>155</v>
      </c>
      <c r="J40" s="495">
        <v>0</v>
      </c>
      <c r="K40" s="495">
        <v>0</v>
      </c>
      <c r="L40" s="501">
        <v>0</v>
      </c>
      <c r="R40" s="332"/>
      <c r="S40" s="332"/>
      <c r="T40" s="332"/>
    </row>
    <row r="41" spans="1:20" ht="15.95" customHeight="1" x14ac:dyDescent="0.15">
      <c r="A41" s="655"/>
      <c r="B41" s="657"/>
      <c r="C41" s="203" t="s">
        <v>184</v>
      </c>
      <c r="D41" s="495">
        <v>60</v>
      </c>
      <c r="E41" s="495">
        <v>0</v>
      </c>
      <c r="F41" s="496">
        <v>64</v>
      </c>
      <c r="G41" s="659"/>
      <c r="H41" s="649"/>
      <c r="I41" s="206" t="s">
        <v>144</v>
      </c>
      <c r="J41" s="495">
        <v>5</v>
      </c>
      <c r="K41" s="495">
        <v>0</v>
      </c>
      <c r="L41" s="501">
        <v>5</v>
      </c>
      <c r="R41" s="332"/>
      <c r="S41" s="332"/>
      <c r="T41" s="332"/>
    </row>
    <row r="42" spans="1:20" ht="15.95" customHeight="1" thickBot="1" x14ac:dyDescent="0.2">
      <c r="A42" s="655"/>
      <c r="B42" s="657"/>
      <c r="C42" s="423" t="s">
        <v>57</v>
      </c>
      <c r="D42" s="497">
        <v>42</v>
      </c>
      <c r="E42" s="497">
        <v>0</v>
      </c>
      <c r="F42" s="498">
        <v>48</v>
      </c>
      <c r="G42" s="660"/>
      <c r="H42" s="661"/>
      <c r="I42" s="206" t="s">
        <v>274</v>
      </c>
      <c r="J42" s="504">
        <v>1</v>
      </c>
      <c r="K42" s="504">
        <v>0</v>
      </c>
      <c r="L42" s="505">
        <v>1</v>
      </c>
      <c r="R42" s="332"/>
      <c r="S42" s="332"/>
      <c r="T42" s="332"/>
    </row>
    <row r="43" spans="1:20" ht="15.95" customHeight="1" thickBot="1" x14ac:dyDescent="0.2">
      <c r="A43" s="656"/>
      <c r="B43" s="658"/>
      <c r="C43" s="424" t="s">
        <v>145</v>
      </c>
      <c r="D43" s="499">
        <v>0</v>
      </c>
      <c r="E43" s="499">
        <v>0</v>
      </c>
      <c r="F43" s="500">
        <v>0</v>
      </c>
      <c r="G43" s="650" t="s">
        <v>51</v>
      </c>
      <c r="H43" s="651"/>
      <c r="I43" s="652"/>
      <c r="J43" s="506">
        <v>6306</v>
      </c>
      <c r="K43" s="506">
        <v>29</v>
      </c>
      <c r="L43" s="507">
        <v>7663</v>
      </c>
      <c r="R43" s="332"/>
      <c r="S43" s="332"/>
      <c r="T43" s="332"/>
    </row>
    <row r="44" spans="1:20" ht="15.95" customHeight="1" thickBot="1" x14ac:dyDescent="0.2">
      <c r="A44" s="400"/>
      <c r="B44" s="401"/>
      <c r="C44" s="192"/>
      <c r="D44" s="192"/>
      <c r="E44" s="192"/>
      <c r="F44" s="192"/>
      <c r="G44" s="654" t="s">
        <v>145</v>
      </c>
      <c r="H44" s="652"/>
      <c r="I44" s="652"/>
      <c r="J44" s="506">
        <v>4579</v>
      </c>
      <c r="K44" s="506">
        <v>15</v>
      </c>
      <c r="L44" s="507">
        <v>5060</v>
      </c>
      <c r="N44" s="204"/>
      <c r="R44" s="332"/>
      <c r="S44" s="332"/>
      <c r="T44" s="332"/>
    </row>
    <row r="45" spans="1:20" ht="15.95" customHeight="1" thickBot="1" x14ac:dyDescent="0.2">
      <c r="A45" s="192"/>
      <c r="B45" s="192"/>
      <c r="C45" s="192"/>
      <c r="D45" s="192"/>
      <c r="E45" s="192"/>
      <c r="F45" s="192"/>
      <c r="G45" s="654" t="s">
        <v>224</v>
      </c>
      <c r="H45" s="652"/>
      <c r="I45" s="652"/>
      <c r="J45" s="425">
        <f>J43+J44</f>
        <v>10885</v>
      </c>
      <c r="K45" s="207">
        <f>K43+K44</f>
        <v>44</v>
      </c>
      <c r="L45" s="208">
        <f>L43+L44</f>
        <v>12723</v>
      </c>
    </row>
    <row r="46" spans="1:20" ht="15.95" customHeight="1" x14ac:dyDescent="0.15">
      <c r="G46" s="209"/>
      <c r="H46" s="209"/>
      <c r="I46" s="209"/>
      <c r="J46" s="209"/>
    </row>
    <row r="47" spans="1:20" ht="15.95" customHeight="1" x14ac:dyDescent="0.15">
      <c r="G47" s="209"/>
      <c r="H47" s="209"/>
      <c r="I47" s="209"/>
      <c r="J47" s="209"/>
    </row>
    <row r="48" spans="1:20" ht="15.95" customHeight="1" x14ac:dyDescent="0.15">
      <c r="G48" s="209"/>
      <c r="H48" s="209"/>
      <c r="I48" s="209"/>
      <c r="J48" s="209"/>
    </row>
    <row r="49" spans="7:10" ht="15.95" customHeight="1" x14ac:dyDescent="0.15">
      <c r="G49" s="209"/>
      <c r="H49" s="209"/>
      <c r="I49" s="209"/>
      <c r="J49" s="209"/>
    </row>
    <row r="50" spans="7:10" ht="15.95" customHeight="1" x14ac:dyDescent="0.15">
      <c r="G50" s="209"/>
      <c r="H50" s="209"/>
      <c r="I50" s="209"/>
      <c r="J50" s="209"/>
    </row>
    <row r="51" spans="7:10" ht="15.95" customHeight="1" x14ac:dyDescent="0.15">
      <c r="G51" s="209"/>
      <c r="H51" s="209"/>
      <c r="I51" s="209"/>
      <c r="J51" s="209"/>
    </row>
    <row r="52" spans="7:10" ht="15.95" customHeight="1" x14ac:dyDescent="0.15">
      <c r="G52" s="209"/>
      <c r="H52" s="209"/>
      <c r="I52" s="209"/>
      <c r="J52" s="209"/>
    </row>
    <row r="53" spans="7:10" ht="15.95" customHeight="1" x14ac:dyDescent="0.15">
      <c r="G53" s="209"/>
      <c r="H53" s="209"/>
      <c r="I53" s="209"/>
      <c r="J53" s="209"/>
    </row>
    <row r="54" spans="7:10" ht="15.95" customHeight="1" x14ac:dyDescent="0.15">
      <c r="G54" s="209"/>
      <c r="H54" s="209"/>
      <c r="I54" s="209"/>
      <c r="J54" s="209"/>
    </row>
    <row r="55" spans="7:10" ht="15.95" customHeight="1" x14ac:dyDescent="0.15">
      <c r="G55" s="209"/>
      <c r="H55" s="209"/>
      <c r="I55" s="209"/>
      <c r="J55" s="209"/>
    </row>
    <row r="56" spans="7:10" ht="15.95" customHeight="1" x14ac:dyDescent="0.15">
      <c r="G56" s="209"/>
      <c r="H56" s="209"/>
      <c r="I56" s="209"/>
      <c r="J56" s="209"/>
    </row>
    <row r="57" spans="7:10" ht="15.95" customHeight="1" x14ac:dyDescent="0.15">
      <c r="G57" s="209"/>
      <c r="H57" s="209"/>
      <c r="I57" s="209"/>
      <c r="J57" s="209"/>
    </row>
    <row r="58" spans="7:10" ht="15.95" customHeight="1" x14ac:dyDescent="0.15">
      <c r="G58" s="209"/>
      <c r="H58" s="209"/>
      <c r="I58" s="209"/>
      <c r="J58" s="209"/>
    </row>
    <row r="59" spans="7:10" ht="15.95" customHeight="1" x14ac:dyDescent="0.15">
      <c r="G59" s="209"/>
      <c r="H59" s="209"/>
      <c r="I59" s="209"/>
      <c r="J59" s="209"/>
    </row>
    <row r="60" spans="7:10" ht="15.95" customHeight="1" x14ac:dyDescent="0.15">
      <c r="G60" s="209"/>
      <c r="H60" s="209"/>
      <c r="I60" s="209"/>
      <c r="J60" s="209"/>
    </row>
    <row r="61" spans="7:10" ht="15.95" customHeight="1" x14ac:dyDescent="0.15">
      <c r="G61" s="209"/>
      <c r="H61" s="209"/>
      <c r="I61" s="209"/>
      <c r="J61" s="209"/>
    </row>
    <row r="62" spans="7:10" ht="15.95" customHeight="1" x14ac:dyDescent="0.15">
      <c r="G62" s="209"/>
      <c r="H62" s="209"/>
      <c r="I62" s="209"/>
      <c r="J62" s="209"/>
    </row>
    <row r="63" spans="7:10" ht="15.95" customHeight="1" x14ac:dyDescent="0.15">
      <c r="G63" s="209"/>
      <c r="H63" s="209"/>
      <c r="I63" s="209"/>
      <c r="J63" s="209"/>
    </row>
    <row r="64" spans="7:10" ht="15.95" customHeight="1" x14ac:dyDescent="0.15">
      <c r="G64" s="209"/>
      <c r="H64" s="209"/>
      <c r="I64" s="209"/>
      <c r="J64" s="209"/>
    </row>
    <row r="65" spans="7:10" ht="15.95" customHeight="1" x14ac:dyDescent="0.15">
      <c r="G65" s="209"/>
      <c r="H65" s="209"/>
      <c r="I65" s="209"/>
      <c r="J65" s="209"/>
    </row>
    <row r="66" spans="7:10" ht="15.95" customHeight="1" x14ac:dyDescent="0.15">
      <c r="G66" s="209"/>
      <c r="H66" s="209"/>
      <c r="I66" s="209"/>
      <c r="J66" s="209"/>
    </row>
    <row r="67" spans="7:10" ht="15.95" customHeight="1" x14ac:dyDescent="0.15">
      <c r="G67" s="209"/>
      <c r="H67" s="209"/>
      <c r="I67" s="209"/>
      <c r="J67" s="209"/>
    </row>
    <row r="68" spans="7:10" ht="15.95" customHeight="1" x14ac:dyDescent="0.15">
      <c r="G68" s="209"/>
      <c r="H68" s="209"/>
      <c r="I68" s="209"/>
      <c r="J68" s="209"/>
    </row>
    <row r="69" spans="7:10" ht="15.95" customHeight="1" x14ac:dyDescent="0.15">
      <c r="G69" s="209"/>
      <c r="H69" s="209"/>
      <c r="I69" s="209"/>
      <c r="J69" s="209"/>
    </row>
    <row r="70" spans="7:10" ht="15.95" customHeight="1" x14ac:dyDescent="0.15">
      <c r="G70" s="209"/>
      <c r="H70" s="209"/>
      <c r="I70" s="209"/>
      <c r="J70" s="209"/>
    </row>
    <row r="71" spans="7:10" ht="15.95" customHeight="1" x14ac:dyDescent="0.15">
      <c r="G71" s="209"/>
      <c r="H71" s="209"/>
      <c r="I71" s="209"/>
      <c r="J71" s="209"/>
    </row>
    <row r="72" spans="7:10" ht="15.95" customHeight="1" x14ac:dyDescent="0.15">
      <c r="G72" s="209"/>
      <c r="H72" s="209"/>
      <c r="I72" s="209"/>
      <c r="J72" s="209"/>
    </row>
    <row r="73" spans="7:10" ht="15.95" customHeight="1" x14ac:dyDescent="0.15">
      <c r="G73" s="209"/>
      <c r="H73" s="209"/>
      <c r="I73" s="209"/>
      <c r="J73" s="209"/>
    </row>
    <row r="74" spans="7:10" ht="15.95" customHeight="1" x14ac:dyDescent="0.15">
      <c r="G74" s="209"/>
      <c r="H74" s="209"/>
      <c r="I74" s="209"/>
      <c r="J74" s="209"/>
    </row>
    <row r="75" spans="7:10" ht="15.95" customHeight="1" x14ac:dyDescent="0.15">
      <c r="G75" s="209"/>
      <c r="H75" s="209"/>
      <c r="I75" s="209"/>
      <c r="J75" s="209"/>
    </row>
    <row r="76" spans="7:10" ht="15.95" customHeight="1" x14ac:dyDescent="0.15">
      <c r="G76" s="209"/>
      <c r="H76" s="209"/>
      <c r="I76" s="209"/>
      <c r="J76" s="209"/>
    </row>
    <row r="77" spans="7:10" ht="15.95" customHeight="1" x14ac:dyDescent="0.15">
      <c r="G77" s="209"/>
      <c r="H77" s="209"/>
      <c r="I77" s="209"/>
      <c r="J77" s="209"/>
    </row>
    <row r="78" spans="7:10" ht="15.95" customHeight="1" x14ac:dyDescent="0.15">
      <c r="G78" s="209"/>
      <c r="H78" s="209"/>
      <c r="I78" s="209"/>
      <c r="J78" s="209"/>
    </row>
    <row r="79" spans="7:10" ht="15.95" customHeight="1" x14ac:dyDescent="0.15">
      <c r="G79" s="209"/>
      <c r="H79" s="209"/>
      <c r="I79" s="209"/>
      <c r="J79" s="209"/>
    </row>
    <row r="80" spans="7:10" ht="15.95" customHeight="1" x14ac:dyDescent="0.15">
      <c r="G80" s="209"/>
      <c r="H80" s="209"/>
      <c r="I80" s="209"/>
      <c r="J80" s="209"/>
    </row>
    <row r="81" spans="1:10" ht="15.95" customHeight="1" x14ac:dyDescent="0.15">
      <c r="G81" s="209"/>
      <c r="H81" s="209"/>
      <c r="I81" s="209"/>
      <c r="J81" s="209"/>
    </row>
    <row r="82" spans="1:10" ht="15.95" customHeight="1" x14ac:dyDescent="0.15">
      <c r="G82" s="209"/>
      <c r="H82" s="209"/>
      <c r="I82" s="209"/>
      <c r="J82" s="209"/>
    </row>
    <row r="83" spans="1:10" ht="25.5" customHeight="1" x14ac:dyDescent="0.15">
      <c r="G83" s="209"/>
      <c r="H83" s="209"/>
      <c r="I83" s="209"/>
      <c r="J83" s="209"/>
    </row>
    <row r="84" spans="1:10" ht="28.5" customHeight="1" x14ac:dyDescent="0.15">
      <c r="G84" s="209"/>
      <c r="H84" s="209"/>
      <c r="I84" s="209"/>
      <c r="J84" s="209"/>
    </row>
    <row r="85" spans="1:10" ht="15.95" customHeight="1" x14ac:dyDescent="0.15">
      <c r="G85" s="209"/>
      <c r="H85" s="209"/>
      <c r="I85" s="209"/>
      <c r="J85" s="209"/>
    </row>
    <row r="86" spans="1:10" x14ac:dyDescent="0.15">
      <c r="A86" s="209"/>
      <c r="B86" s="209"/>
      <c r="G86" s="209"/>
      <c r="H86" s="209"/>
      <c r="I86" s="209"/>
      <c r="J86" s="209"/>
    </row>
    <row r="87" spans="1:10" x14ac:dyDescent="0.15">
      <c r="A87" s="209"/>
      <c r="B87" s="209"/>
      <c r="C87" s="209"/>
      <c r="D87" s="209"/>
      <c r="E87" s="209"/>
      <c r="F87" s="209"/>
      <c r="G87" s="209"/>
      <c r="H87" s="209"/>
      <c r="I87" s="209"/>
      <c r="J87" s="209"/>
    </row>
    <row r="88" spans="1:10" x14ac:dyDescent="0.15">
      <c r="A88" s="209"/>
      <c r="B88" s="209"/>
      <c r="C88" s="209"/>
      <c r="D88" s="209"/>
      <c r="E88" s="209"/>
      <c r="F88" s="209"/>
      <c r="G88" s="209"/>
      <c r="H88" s="209"/>
      <c r="I88" s="209"/>
      <c r="J88" s="209"/>
    </row>
    <row r="89" spans="1:10" x14ac:dyDescent="0.15">
      <c r="A89" s="209"/>
      <c r="B89" s="209"/>
      <c r="C89" s="209"/>
      <c r="D89" s="209"/>
      <c r="E89" s="209"/>
      <c r="F89" s="209"/>
      <c r="G89" s="209"/>
      <c r="H89" s="209"/>
      <c r="I89" s="209"/>
      <c r="J89" s="209"/>
    </row>
    <row r="90" spans="1:10" x14ac:dyDescent="0.15">
      <c r="A90" s="209"/>
      <c r="B90" s="209"/>
      <c r="C90" s="209"/>
      <c r="D90" s="209"/>
      <c r="E90" s="209"/>
      <c r="F90" s="209"/>
      <c r="G90" s="209"/>
      <c r="H90" s="209"/>
      <c r="I90" s="209"/>
      <c r="J90" s="209"/>
    </row>
    <row r="91" spans="1:10" x14ac:dyDescent="0.15">
      <c r="A91" s="209"/>
      <c r="B91" s="209"/>
      <c r="C91" s="209"/>
      <c r="D91" s="209"/>
      <c r="E91" s="209"/>
      <c r="F91" s="209"/>
      <c r="G91" s="209"/>
      <c r="H91" s="209"/>
      <c r="I91" s="209"/>
      <c r="J91" s="209"/>
    </row>
    <row r="92" spans="1:10" x14ac:dyDescent="0.15">
      <c r="A92" s="209"/>
      <c r="B92" s="209"/>
      <c r="C92" s="209"/>
      <c r="D92" s="209"/>
      <c r="E92" s="209"/>
      <c r="F92" s="209"/>
      <c r="G92" s="209"/>
      <c r="H92" s="209"/>
      <c r="I92" s="209"/>
      <c r="J92" s="209"/>
    </row>
    <row r="93" spans="1:10" x14ac:dyDescent="0.15">
      <c r="A93" s="209"/>
      <c r="B93" s="209"/>
      <c r="C93" s="209"/>
      <c r="D93" s="209"/>
      <c r="E93" s="209"/>
      <c r="F93" s="209"/>
      <c r="G93" s="209"/>
      <c r="H93" s="209"/>
      <c r="I93" s="209"/>
      <c r="J93" s="209"/>
    </row>
    <row r="94" spans="1:10" x14ac:dyDescent="0.15">
      <c r="A94" s="209"/>
      <c r="B94" s="209"/>
      <c r="C94" s="209"/>
      <c r="D94" s="209"/>
      <c r="E94" s="209"/>
      <c r="F94" s="209"/>
      <c r="G94" s="209"/>
      <c r="H94" s="209"/>
      <c r="I94" s="209"/>
      <c r="J94" s="209"/>
    </row>
    <row r="95" spans="1:10" x14ac:dyDescent="0.15">
      <c r="A95" s="209"/>
      <c r="B95" s="209"/>
      <c r="C95" s="209"/>
      <c r="D95" s="209"/>
      <c r="E95" s="209"/>
      <c r="F95" s="209"/>
      <c r="G95" s="209"/>
      <c r="H95" s="209"/>
      <c r="I95" s="209"/>
      <c r="J95" s="209"/>
    </row>
    <row r="96" spans="1:10" x14ac:dyDescent="0.15">
      <c r="A96" s="209"/>
      <c r="B96" s="209"/>
      <c r="C96" s="209"/>
      <c r="D96" s="209"/>
      <c r="E96" s="209"/>
      <c r="F96" s="209"/>
      <c r="G96" s="209"/>
      <c r="H96" s="209"/>
      <c r="I96" s="209"/>
      <c r="J96" s="209"/>
    </row>
    <row r="97" spans="1:10" x14ac:dyDescent="0.15">
      <c r="A97" s="209"/>
      <c r="B97" s="209"/>
      <c r="C97" s="209"/>
      <c r="D97" s="209"/>
      <c r="E97" s="209"/>
      <c r="F97" s="209"/>
      <c r="G97" s="209"/>
      <c r="H97" s="209"/>
      <c r="I97" s="209"/>
      <c r="J97" s="209"/>
    </row>
    <row r="98" spans="1:10" x14ac:dyDescent="0.15">
      <c r="A98" s="209"/>
      <c r="B98" s="209"/>
      <c r="C98" s="209"/>
      <c r="D98" s="209"/>
      <c r="E98" s="209"/>
      <c r="F98" s="209"/>
      <c r="G98" s="209"/>
      <c r="H98" s="209"/>
      <c r="I98" s="209"/>
      <c r="J98" s="209"/>
    </row>
    <row r="99" spans="1:10" x14ac:dyDescent="0.15">
      <c r="A99" s="209"/>
      <c r="B99" s="209"/>
      <c r="C99" s="209"/>
      <c r="D99" s="209"/>
      <c r="E99" s="209"/>
      <c r="F99" s="209"/>
      <c r="G99" s="209"/>
      <c r="H99" s="209"/>
      <c r="I99" s="209"/>
      <c r="J99" s="209"/>
    </row>
    <row r="100" spans="1:10" x14ac:dyDescent="0.15">
      <c r="A100" s="209"/>
      <c r="B100" s="209"/>
      <c r="C100" s="209"/>
      <c r="D100" s="209"/>
      <c r="E100" s="209"/>
      <c r="F100" s="209"/>
      <c r="G100" s="209"/>
      <c r="H100" s="209"/>
      <c r="I100" s="209"/>
      <c r="J100" s="209"/>
    </row>
    <row r="101" spans="1:10" x14ac:dyDescent="0.15">
      <c r="A101" s="209"/>
      <c r="B101" s="209"/>
      <c r="C101" s="209"/>
      <c r="D101" s="209"/>
      <c r="E101" s="209"/>
      <c r="F101" s="209"/>
      <c r="G101" s="209"/>
      <c r="H101" s="209"/>
      <c r="I101" s="209"/>
      <c r="J101" s="209"/>
    </row>
    <row r="102" spans="1:10" x14ac:dyDescent="0.15">
      <c r="A102" s="209"/>
      <c r="B102" s="209"/>
      <c r="C102" s="209"/>
      <c r="D102" s="209"/>
      <c r="E102" s="209"/>
      <c r="F102" s="209"/>
      <c r="G102" s="209"/>
      <c r="H102" s="209"/>
      <c r="I102" s="209"/>
      <c r="J102" s="209"/>
    </row>
    <row r="103" spans="1:10" x14ac:dyDescent="0.15">
      <c r="A103" s="209"/>
      <c r="B103" s="209"/>
      <c r="C103" s="209"/>
      <c r="D103" s="209"/>
      <c r="E103" s="209"/>
      <c r="F103" s="209"/>
      <c r="G103" s="209"/>
      <c r="H103" s="209"/>
      <c r="I103" s="209"/>
      <c r="J103" s="209"/>
    </row>
    <row r="104" spans="1:10" x14ac:dyDescent="0.15">
      <c r="A104" s="209"/>
      <c r="B104" s="209"/>
      <c r="C104" s="209"/>
      <c r="D104" s="209"/>
      <c r="E104" s="209"/>
      <c r="F104" s="209"/>
      <c r="G104" s="209"/>
      <c r="H104" s="209"/>
      <c r="I104" s="209"/>
      <c r="J104" s="209"/>
    </row>
    <row r="105" spans="1:10" x14ac:dyDescent="0.15">
      <c r="A105" s="209"/>
      <c r="B105" s="209"/>
      <c r="C105" s="209"/>
      <c r="D105" s="209"/>
      <c r="E105" s="209"/>
      <c r="F105" s="209"/>
      <c r="G105" s="209"/>
      <c r="H105" s="209"/>
      <c r="I105" s="209"/>
      <c r="J105" s="209"/>
    </row>
    <row r="106" spans="1:10" x14ac:dyDescent="0.15">
      <c r="A106" s="209"/>
      <c r="B106" s="209"/>
      <c r="C106" s="209"/>
      <c r="D106" s="209"/>
      <c r="E106" s="209"/>
      <c r="F106" s="209"/>
      <c r="G106" s="209"/>
      <c r="H106" s="209"/>
      <c r="I106" s="209"/>
      <c r="J106" s="209"/>
    </row>
    <row r="107" spans="1:10" x14ac:dyDescent="0.15">
      <c r="A107" s="209"/>
      <c r="B107" s="209"/>
      <c r="C107" s="209"/>
      <c r="D107" s="209"/>
      <c r="E107" s="209"/>
      <c r="F107" s="209"/>
      <c r="G107" s="209"/>
      <c r="H107" s="209"/>
      <c r="I107" s="209"/>
      <c r="J107" s="209"/>
    </row>
    <row r="108" spans="1:10" x14ac:dyDescent="0.15">
      <c r="A108" s="209"/>
      <c r="B108" s="209"/>
      <c r="C108" s="209"/>
      <c r="D108" s="209"/>
      <c r="E108" s="209"/>
      <c r="F108" s="209"/>
      <c r="G108" s="209"/>
      <c r="H108" s="209"/>
      <c r="I108" s="209"/>
      <c r="J108" s="209"/>
    </row>
    <row r="109" spans="1:10" x14ac:dyDescent="0.15">
      <c r="A109" s="209"/>
      <c r="B109" s="209"/>
      <c r="C109" s="209"/>
      <c r="D109" s="209"/>
      <c r="E109" s="209"/>
      <c r="F109" s="209"/>
      <c r="G109" s="209"/>
      <c r="H109" s="209"/>
      <c r="I109" s="209"/>
      <c r="J109" s="209"/>
    </row>
    <row r="110" spans="1:10" x14ac:dyDescent="0.15">
      <c r="A110" s="209"/>
      <c r="B110" s="209"/>
      <c r="C110" s="209"/>
      <c r="D110" s="209"/>
      <c r="E110" s="209"/>
      <c r="F110" s="209"/>
      <c r="G110" s="209"/>
      <c r="H110" s="209"/>
      <c r="I110" s="209"/>
      <c r="J110" s="209"/>
    </row>
    <row r="111" spans="1:10" x14ac:dyDescent="0.15">
      <c r="A111" s="209"/>
      <c r="B111" s="209"/>
      <c r="C111" s="209"/>
      <c r="D111" s="209"/>
      <c r="E111" s="209"/>
      <c r="F111" s="209"/>
      <c r="G111" s="209"/>
      <c r="H111" s="209"/>
      <c r="I111" s="209"/>
      <c r="J111" s="209"/>
    </row>
    <row r="112" spans="1:10" x14ac:dyDescent="0.15">
      <c r="A112" s="209"/>
      <c r="B112" s="209"/>
      <c r="C112" s="209"/>
      <c r="D112" s="209"/>
      <c r="E112" s="209"/>
      <c r="F112" s="209"/>
      <c r="G112" s="209"/>
      <c r="H112" s="209"/>
      <c r="I112" s="209"/>
      <c r="J112" s="209"/>
    </row>
    <row r="113" spans="1:10" x14ac:dyDescent="0.15">
      <c r="A113" s="209"/>
      <c r="B113" s="209"/>
      <c r="C113" s="209"/>
      <c r="D113" s="209"/>
      <c r="E113" s="209"/>
      <c r="F113" s="209"/>
      <c r="G113" s="209"/>
      <c r="H113" s="209"/>
      <c r="I113" s="209"/>
      <c r="J113" s="209"/>
    </row>
    <row r="114" spans="1:10" x14ac:dyDescent="0.15">
      <c r="A114" s="209"/>
      <c r="B114" s="209"/>
      <c r="C114" s="209"/>
      <c r="D114" s="209"/>
      <c r="E114" s="209"/>
      <c r="F114" s="209"/>
      <c r="G114" s="209"/>
      <c r="H114" s="209"/>
      <c r="I114" s="209"/>
      <c r="J114" s="209"/>
    </row>
    <row r="115" spans="1:10" x14ac:dyDescent="0.15">
      <c r="A115" s="209"/>
      <c r="B115" s="209"/>
      <c r="C115" s="209"/>
      <c r="D115" s="209"/>
      <c r="E115" s="209"/>
      <c r="F115" s="209"/>
      <c r="G115" s="209"/>
      <c r="H115" s="209"/>
      <c r="I115" s="209"/>
      <c r="J115" s="209"/>
    </row>
    <row r="116" spans="1:10" x14ac:dyDescent="0.15">
      <c r="A116" s="209"/>
      <c r="B116" s="209"/>
      <c r="C116" s="209"/>
      <c r="D116" s="209"/>
      <c r="E116" s="209"/>
      <c r="F116" s="209"/>
      <c r="G116" s="209"/>
      <c r="H116" s="209"/>
      <c r="I116" s="209"/>
      <c r="J116" s="209"/>
    </row>
    <row r="117" spans="1:10" x14ac:dyDescent="0.15">
      <c r="A117" s="209"/>
      <c r="B117" s="209"/>
      <c r="C117" s="209"/>
      <c r="D117" s="209"/>
      <c r="E117" s="209"/>
      <c r="F117" s="209"/>
      <c r="G117" s="209"/>
      <c r="H117" s="209"/>
      <c r="I117" s="209"/>
      <c r="J117" s="209"/>
    </row>
    <row r="118" spans="1:10" x14ac:dyDescent="0.15">
      <c r="A118" s="209"/>
      <c r="B118" s="209"/>
      <c r="C118" s="209"/>
      <c r="D118" s="209"/>
      <c r="E118" s="209"/>
      <c r="F118" s="209"/>
      <c r="G118" s="209"/>
      <c r="H118" s="209"/>
      <c r="I118" s="209"/>
      <c r="J118" s="209"/>
    </row>
    <row r="119" spans="1:10" x14ac:dyDescent="0.15">
      <c r="A119" s="209"/>
      <c r="B119" s="209"/>
      <c r="C119" s="209"/>
      <c r="D119" s="209"/>
      <c r="E119" s="209"/>
      <c r="F119" s="209"/>
      <c r="G119" s="209"/>
      <c r="H119" s="209"/>
      <c r="I119" s="209"/>
      <c r="J119" s="209"/>
    </row>
    <row r="120" spans="1:10" x14ac:dyDescent="0.15">
      <c r="A120" s="209"/>
      <c r="B120" s="209"/>
      <c r="C120" s="209"/>
      <c r="D120" s="209"/>
      <c r="E120" s="209"/>
      <c r="F120" s="209"/>
      <c r="G120" s="209"/>
      <c r="H120" s="209"/>
      <c r="I120" s="209"/>
      <c r="J120" s="209"/>
    </row>
    <row r="121" spans="1:10" x14ac:dyDescent="0.15">
      <c r="A121" s="209"/>
      <c r="B121" s="209"/>
      <c r="C121" s="209"/>
      <c r="D121" s="209"/>
      <c r="E121" s="209"/>
      <c r="F121" s="209"/>
      <c r="G121" s="209"/>
      <c r="H121" s="209"/>
      <c r="I121" s="209"/>
      <c r="J121" s="209"/>
    </row>
    <row r="122" spans="1:10" x14ac:dyDescent="0.15">
      <c r="A122" s="209"/>
      <c r="B122" s="209"/>
      <c r="C122" s="209"/>
      <c r="D122" s="209"/>
      <c r="E122" s="209"/>
      <c r="F122" s="209"/>
      <c r="G122" s="209"/>
      <c r="H122" s="209"/>
      <c r="I122" s="209"/>
      <c r="J122" s="209"/>
    </row>
    <row r="123" spans="1:10" x14ac:dyDescent="0.15">
      <c r="A123" s="209"/>
      <c r="B123" s="209"/>
      <c r="C123" s="209"/>
      <c r="D123" s="209"/>
      <c r="E123" s="209"/>
      <c r="F123" s="209"/>
      <c r="G123" s="209"/>
      <c r="H123" s="209"/>
      <c r="I123" s="209"/>
      <c r="J123" s="209"/>
    </row>
    <row r="124" spans="1:10" x14ac:dyDescent="0.15">
      <c r="A124" s="209"/>
      <c r="B124" s="209"/>
      <c r="C124" s="209"/>
      <c r="D124" s="209"/>
      <c r="E124" s="209"/>
      <c r="F124" s="209"/>
      <c r="G124" s="209"/>
      <c r="H124" s="209"/>
      <c r="I124" s="209"/>
      <c r="J124" s="209"/>
    </row>
    <row r="125" spans="1:10" x14ac:dyDescent="0.15">
      <c r="A125" s="209"/>
      <c r="B125" s="209"/>
      <c r="C125" s="209"/>
      <c r="D125" s="209"/>
      <c r="E125" s="209"/>
      <c r="F125" s="209"/>
      <c r="G125" s="209"/>
      <c r="H125" s="209"/>
      <c r="I125" s="209"/>
      <c r="J125" s="209"/>
    </row>
    <row r="126" spans="1:10" x14ac:dyDescent="0.15">
      <c r="A126" s="209"/>
      <c r="B126" s="209"/>
      <c r="C126" s="209"/>
      <c r="D126" s="209"/>
      <c r="E126" s="209"/>
      <c r="F126" s="209"/>
      <c r="G126" s="209"/>
      <c r="H126" s="209"/>
      <c r="I126" s="209"/>
      <c r="J126" s="209"/>
    </row>
    <row r="127" spans="1:10" x14ac:dyDescent="0.15">
      <c r="A127" s="209"/>
      <c r="B127" s="209"/>
      <c r="C127" s="209"/>
      <c r="D127" s="209"/>
      <c r="E127" s="209"/>
      <c r="F127" s="209"/>
      <c r="G127" s="209"/>
      <c r="H127" s="209"/>
      <c r="I127" s="209"/>
      <c r="J127" s="209"/>
    </row>
    <row r="128" spans="1:10" x14ac:dyDescent="0.15">
      <c r="A128" s="209"/>
      <c r="B128" s="209"/>
      <c r="C128" s="209"/>
      <c r="D128" s="209"/>
      <c r="E128" s="209"/>
      <c r="F128" s="209"/>
      <c r="G128" s="209"/>
      <c r="H128" s="209"/>
      <c r="I128" s="209"/>
      <c r="J128" s="209"/>
    </row>
    <row r="129" spans="1:10" x14ac:dyDescent="0.15">
      <c r="A129" s="209"/>
      <c r="B129" s="209"/>
      <c r="C129" s="209"/>
      <c r="D129" s="209"/>
      <c r="E129" s="209"/>
      <c r="F129" s="209"/>
      <c r="G129" s="209"/>
      <c r="H129" s="209"/>
      <c r="I129" s="209"/>
      <c r="J129" s="209"/>
    </row>
    <row r="130" spans="1:10" x14ac:dyDescent="0.15">
      <c r="A130" s="209"/>
      <c r="B130" s="209"/>
      <c r="C130" s="209"/>
      <c r="D130" s="209"/>
      <c r="E130" s="209"/>
      <c r="F130" s="209"/>
      <c r="G130" s="209"/>
      <c r="H130" s="209"/>
      <c r="I130" s="209"/>
      <c r="J130" s="209"/>
    </row>
    <row r="131" spans="1:10" x14ac:dyDescent="0.15">
      <c r="A131" s="209"/>
      <c r="B131" s="209"/>
      <c r="C131" s="209"/>
      <c r="D131" s="209"/>
      <c r="E131" s="209"/>
      <c r="F131" s="209"/>
      <c r="G131" s="209"/>
      <c r="H131" s="209"/>
      <c r="I131" s="209"/>
      <c r="J131" s="209"/>
    </row>
    <row r="132" spans="1:10" x14ac:dyDescent="0.15">
      <c r="A132" s="209"/>
      <c r="B132" s="209"/>
      <c r="C132" s="209"/>
      <c r="D132" s="209"/>
      <c r="E132" s="209"/>
      <c r="F132" s="209"/>
      <c r="G132" s="209"/>
      <c r="H132" s="209"/>
      <c r="I132" s="209"/>
      <c r="J132" s="209"/>
    </row>
    <row r="133" spans="1:10" x14ac:dyDescent="0.15">
      <c r="A133" s="209"/>
      <c r="B133" s="209"/>
      <c r="C133" s="209"/>
      <c r="D133" s="209"/>
      <c r="E133" s="209"/>
      <c r="F133" s="209"/>
      <c r="G133" s="209"/>
      <c r="H133" s="209"/>
      <c r="I133" s="209"/>
      <c r="J133" s="209"/>
    </row>
    <row r="134" spans="1:10" x14ac:dyDescent="0.15">
      <c r="A134" s="209"/>
      <c r="B134" s="209"/>
      <c r="C134" s="209"/>
      <c r="D134" s="209"/>
      <c r="E134" s="209"/>
      <c r="F134" s="209"/>
      <c r="G134" s="209"/>
      <c r="H134" s="209"/>
      <c r="I134" s="209"/>
      <c r="J134" s="209"/>
    </row>
    <row r="135" spans="1:10" x14ac:dyDescent="0.15">
      <c r="A135" s="209"/>
      <c r="B135" s="209"/>
      <c r="C135" s="209"/>
      <c r="D135" s="209"/>
      <c r="E135" s="209"/>
      <c r="F135" s="209"/>
      <c r="G135" s="209"/>
      <c r="H135" s="209"/>
      <c r="I135" s="209"/>
      <c r="J135" s="209"/>
    </row>
    <row r="136" spans="1:10" x14ac:dyDescent="0.15">
      <c r="A136" s="209"/>
      <c r="B136" s="209"/>
      <c r="C136" s="209"/>
      <c r="D136" s="209"/>
      <c r="E136" s="209"/>
      <c r="F136" s="209"/>
      <c r="G136" s="209"/>
      <c r="H136" s="209"/>
      <c r="I136" s="209"/>
      <c r="J136" s="209"/>
    </row>
    <row r="137" spans="1:10" x14ac:dyDescent="0.15">
      <c r="A137" s="209"/>
      <c r="B137" s="209"/>
      <c r="C137" s="209"/>
      <c r="D137" s="209"/>
      <c r="E137" s="209"/>
      <c r="F137" s="209"/>
      <c r="G137" s="209"/>
      <c r="H137" s="209"/>
      <c r="I137" s="209"/>
      <c r="J137" s="209"/>
    </row>
    <row r="138" spans="1:10" x14ac:dyDescent="0.15">
      <c r="A138" s="209"/>
      <c r="B138" s="209"/>
      <c r="C138" s="209"/>
      <c r="D138" s="209"/>
      <c r="E138" s="209"/>
      <c r="F138" s="209"/>
      <c r="G138" s="209"/>
      <c r="H138" s="209"/>
      <c r="I138" s="209"/>
      <c r="J138" s="209"/>
    </row>
    <row r="139" spans="1:10" x14ac:dyDescent="0.15">
      <c r="A139" s="209"/>
      <c r="B139" s="209"/>
      <c r="C139" s="209"/>
      <c r="D139" s="209"/>
      <c r="E139" s="209"/>
      <c r="F139" s="209"/>
      <c r="G139" s="209"/>
      <c r="H139" s="209"/>
      <c r="I139" s="209"/>
      <c r="J139" s="209"/>
    </row>
    <row r="140" spans="1:10" x14ac:dyDescent="0.15">
      <c r="A140" s="209"/>
      <c r="B140" s="209"/>
      <c r="C140" s="209"/>
      <c r="D140" s="209"/>
      <c r="E140" s="209"/>
      <c r="F140" s="209"/>
      <c r="G140" s="209"/>
      <c r="H140" s="209"/>
      <c r="I140" s="209"/>
      <c r="J140" s="209"/>
    </row>
    <row r="141" spans="1:10" x14ac:dyDescent="0.15">
      <c r="A141" s="209"/>
      <c r="B141" s="209"/>
      <c r="C141" s="209"/>
      <c r="D141" s="209"/>
      <c r="E141" s="209"/>
      <c r="F141" s="209"/>
      <c r="G141" s="209"/>
      <c r="H141" s="209"/>
      <c r="I141" s="209"/>
      <c r="J141" s="209"/>
    </row>
    <row r="142" spans="1:10" x14ac:dyDescent="0.15">
      <c r="A142" s="209"/>
      <c r="B142" s="209"/>
      <c r="C142" s="209"/>
      <c r="D142" s="209"/>
      <c r="E142" s="209"/>
      <c r="F142" s="209"/>
      <c r="G142" s="209"/>
      <c r="H142" s="209"/>
      <c r="I142" s="209"/>
      <c r="J142" s="209"/>
    </row>
    <row r="143" spans="1:10" x14ac:dyDescent="0.15">
      <c r="A143" s="209"/>
      <c r="B143" s="209"/>
      <c r="C143" s="209"/>
      <c r="D143" s="209"/>
      <c r="E143" s="209"/>
      <c r="F143" s="209"/>
      <c r="G143" s="209"/>
      <c r="H143" s="209"/>
      <c r="I143" s="209"/>
      <c r="J143" s="209"/>
    </row>
    <row r="144" spans="1:10" x14ac:dyDescent="0.15">
      <c r="A144" s="209"/>
      <c r="B144" s="209"/>
      <c r="C144" s="209"/>
      <c r="D144" s="209"/>
      <c r="E144" s="209"/>
      <c r="F144" s="209"/>
      <c r="G144" s="209"/>
      <c r="H144" s="209"/>
      <c r="I144" s="209"/>
      <c r="J144" s="209"/>
    </row>
    <row r="145" spans="1:10" x14ac:dyDescent="0.15">
      <c r="A145" s="209"/>
      <c r="B145" s="209"/>
      <c r="C145" s="209"/>
      <c r="D145" s="209"/>
      <c r="E145" s="209"/>
      <c r="F145" s="209"/>
      <c r="G145" s="209"/>
      <c r="H145" s="209"/>
      <c r="I145" s="209"/>
      <c r="J145" s="209"/>
    </row>
    <row r="146" spans="1:10" x14ac:dyDescent="0.15">
      <c r="A146" s="209"/>
      <c r="B146" s="209"/>
      <c r="C146" s="209"/>
      <c r="D146" s="209"/>
      <c r="E146" s="209"/>
      <c r="F146" s="209"/>
      <c r="G146" s="209"/>
      <c r="H146" s="209"/>
      <c r="I146" s="209"/>
      <c r="J146" s="209"/>
    </row>
    <row r="147" spans="1:10" x14ac:dyDescent="0.15">
      <c r="A147" s="209"/>
      <c r="B147" s="209"/>
      <c r="C147" s="209"/>
      <c r="D147" s="209"/>
      <c r="E147" s="209"/>
      <c r="F147" s="209"/>
      <c r="G147" s="209"/>
      <c r="H147" s="209"/>
      <c r="I147" s="209"/>
      <c r="J147" s="209"/>
    </row>
    <row r="148" spans="1:10" x14ac:dyDescent="0.15">
      <c r="A148" s="209"/>
      <c r="B148" s="209"/>
      <c r="C148" s="209"/>
      <c r="D148" s="209"/>
      <c r="E148" s="209"/>
      <c r="F148" s="209"/>
      <c r="G148" s="209"/>
      <c r="H148" s="209"/>
      <c r="I148" s="209"/>
      <c r="J148" s="209"/>
    </row>
    <row r="149" spans="1:10" x14ac:dyDescent="0.15">
      <c r="A149" s="209"/>
      <c r="B149" s="209"/>
      <c r="C149" s="209"/>
      <c r="D149" s="209"/>
      <c r="E149" s="209"/>
      <c r="F149" s="209"/>
      <c r="G149" s="209"/>
      <c r="H149" s="209"/>
      <c r="I149" s="209"/>
      <c r="J149" s="209"/>
    </row>
    <row r="150" spans="1:10" x14ac:dyDescent="0.15">
      <c r="A150" s="209"/>
      <c r="B150" s="209"/>
      <c r="C150" s="209"/>
      <c r="D150" s="209"/>
      <c r="E150" s="209"/>
      <c r="F150" s="209"/>
      <c r="G150" s="209"/>
      <c r="H150" s="209"/>
      <c r="I150" s="209"/>
      <c r="J150" s="209"/>
    </row>
    <row r="151" spans="1:10" x14ac:dyDescent="0.15">
      <c r="A151" s="209"/>
      <c r="B151" s="209"/>
      <c r="C151" s="209"/>
      <c r="D151" s="209"/>
      <c r="E151" s="209"/>
      <c r="F151" s="209"/>
      <c r="G151" s="209"/>
      <c r="H151" s="209"/>
      <c r="I151" s="209"/>
      <c r="J151" s="209"/>
    </row>
    <row r="152" spans="1:10" x14ac:dyDescent="0.15">
      <c r="A152" s="209"/>
      <c r="B152" s="209"/>
      <c r="C152" s="209"/>
      <c r="D152" s="209"/>
      <c r="E152" s="209"/>
      <c r="F152" s="209"/>
      <c r="G152" s="209"/>
      <c r="H152" s="209"/>
      <c r="I152" s="209"/>
      <c r="J152" s="209"/>
    </row>
    <row r="153" spans="1:10" x14ac:dyDescent="0.15">
      <c r="A153" s="209"/>
      <c r="B153" s="209"/>
      <c r="C153" s="209"/>
      <c r="D153" s="209"/>
      <c r="E153" s="209"/>
      <c r="F153" s="209"/>
      <c r="G153" s="209"/>
      <c r="H153" s="209"/>
      <c r="I153" s="209"/>
      <c r="J153" s="209"/>
    </row>
    <row r="154" spans="1:10" x14ac:dyDescent="0.15">
      <c r="A154" s="209"/>
      <c r="B154" s="209"/>
      <c r="C154" s="209"/>
      <c r="D154" s="209"/>
      <c r="E154" s="209"/>
      <c r="F154" s="209"/>
      <c r="G154" s="209"/>
      <c r="H154" s="209"/>
      <c r="I154" s="209"/>
      <c r="J154" s="209"/>
    </row>
    <row r="155" spans="1:10" x14ac:dyDescent="0.15">
      <c r="A155" s="209"/>
      <c r="B155" s="209"/>
      <c r="C155" s="209"/>
      <c r="D155" s="209"/>
      <c r="E155" s="209"/>
      <c r="F155" s="209"/>
      <c r="G155" s="209"/>
      <c r="H155" s="209"/>
      <c r="I155" s="209"/>
      <c r="J155" s="209"/>
    </row>
    <row r="156" spans="1:10" x14ac:dyDescent="0.15">
      <c r="C156" s="209"/>
      <c r="D156" s="209"/>
      <c r="E156" s="209"/>
      <c r="F156" s="209"/>
      <c r="G156" s="209"/>
      <c r="H156" s="209"/>
      <c r="I156" s="209"/>
      <c r="J156" s="209"/>
    </row>
  </sheetData>
  <mergeCells count="12">
    <mergeCell ref="G44:I44"/>
    <mergeCell ref="G45:I45"/>
    <mergeCell ref="A3:A43"/>
    <mergeCell ref="B15:B43"/>
    <mergeCell ref="G3:G42"/>
    <mergeCell ref="H12:H42"/>
    <mergeCell ref="G1:L1"/>
    <mergeCell ref="B2:C2"/>
    <mergeCell ref="H2:I2"/>
    <mergeCell ref="H3:H11"/>
    <mergeCell ref="G43:I43"/>
    <mergeCell ref="B3:B14"/>
  </mergeCells>
  <phoneticPr fontId="37"/>
  <pageMargins left="0.59055118110236227" right="0.78740157480314965" top="0.98425196850393704" bottom="0.98425196850393704" header="0.51181102362204722" footer="0.51181102362204722"/>
  <pageSetup paperSize="9" firstPageNumber="0" orientation="portrait" r:id="rId1"/>
  <headerFooter alignWithMargins="0">
    <oddFooter xml:space="preserve">&amp;C-8-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88"/>
  <sheetViews>
    <sheetView tabSelected="1" view="pageBreakPreview" topLeftCell="A16" zoomScale="70" zoomScaleNormal="100" zoomScaleSheetLayoutView="70" workbookViewId="0">
      <selection activeCell="N15" sqref="N15"/>
    </sheetView>
  </sheetViews>
  <sheetFormatPr defaultColWidth="9" defaultRowHeight="13.5" x14ac:dyDescent="0.15"/>
  <cols>
    <col min="1" max="71" width="2.25" customWidth="1"/>
    <col min="72" max="72" width="15.5" bestFit="1" customWidth="1"/>
    <col min="73" max="73" width="9" customWidth="1"/>
    <col min="74" max="105" width="2.25" customWidth="1"/>
  </cols>
  <sheetData>
    <row r="1" spans="1:73" ht="27" customHeight="1" x14ac:dyDescent="0.15"/>
    <row r="2" spans="1:73" ht="23.25" customHeight="1" x14ac:dyDescent="0.15">
      <c r="B2" s="406" t="s">
        <v>250</v>
      </c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</row>
    <row r="3" spans="1:73" ht="22.5" customHeight="1" x14ac:dyDescent="0.15">
      <c r="A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</row>
    <row r="4" spans="1:73" ht="10.5" customHeight="1" x14ac:dyDescent="0.15">
      <c r="A4" s="147"/>
      <c r="B4" s="210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</row>
    <row r="5" spans="1:73" x14ac:dyDescent="0.15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</row>
    <row r="6" spans="1:73" x14ac:dyDescent="0.15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</row>
    <row r="7" spans="1:73" x14ac:dyDescent="0.15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</row>
    <row r="8" spans="1:73" x14ac:dyDescent="0.15">
      <c r="A8" s="147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</row>
    <row r="9" spans="1:73" x14ac:dyDescent="0.15">
      <c r="A9" s="147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</row>
    <row r="10" spans="1:73" x14ac:dyDescent="0.15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T10" t="s">
        <v>283</v>
      </c>
      <c r="BU10" s="453">
        <f>'★８ページ（幹線道路名）'!D3</f>
        <v>293</v>
      </c>
    </row>
    <row r="11" spans="1:73" x14ac:dyDescent="0.15">
      <c r="A11" s="147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T11" t="s">
        <v>284</v>
      </c>
      <c r="BU11" s="453">
        <f>'★８ページ（幹線道路名）'!D4</f>
        <v>172</v>
      </c>
    </row>
    <row r="12" spans="1:73" x14ac:dyDescent="0.15">
      <c r="A12" s="147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T12" t="s">
        <v>285</v>
      </c>
      <c r="BU12" s="453">
        <f>'★８ページ（幹線道路名）'!D5</f>
        <v>406</v>
      </c>
    </row>
    <row r="13" spans="1:73" x14ac:dyDescent="0.15">
      <c r="A13" s="147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T13" t="s">
        <v>286</v>
      </c>
      <c r="BU13" s="453">
        <f>'★８ページ（幹線道路名）'!D6</f>
        <v>192</v>
      </c>
    </row>
    <row r="14" spans="1:73" x14ac:dyDescent="0.15">
      <c r="A14" s="147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T14" t="s">
        <v>287</v>
      </c>
      <c r="BU14" s="453">
        <f>'★８ページ（幹線道路名）'!D7</f>
        <v>170</v>
      </c>
    </row>
    <row r="15" spans="1:73" x14ac:dyDescent="0.15">
      <c r="A15" s="147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T15" t="s">
        <v>288</v>
      </c>
      <c r="BU15" s="453">
        <f>'★８ページ（幹線道路名）'!D10</f>
        <v>134</v>
      </c>
    </row>
    <row r="16" spans="1:73" x14ac:dyDescent="0.15">
      <c r="A16" s="147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T16" t="s">
        <v>290</v>
      </c>
      <c r="BU16" s="453">
        <f>'★８ページ（幹線道路名）'!D11</f>
        <v>200</v>
      </c>
    </row>
    <row r="17" spans="1:73" x14ac:dyDescent="0.15">
      <c r="A17" s="147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T17" t="s">
        <v>289</v>
      </c>
      <c r="BU17" s="453">
        <f>'★８ページ（幹線道路名）'!D13</f>
        <v>260</v>
      </c>
    </row>
    <row r="18" spans="1:73" x14ac:dyDescent="0.15">
      <c r="A18" s="147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T18" t="s">
        <v>291</v>
      </c>
      <c r="BU18" s="453">
        <f>'★８ページ（幹線道路名）'!D14</f>
        <v>425</v>
      </c>
    </row>
    <row r="19" spans="1:73" x14ac:dyDescent="0.15">
      <c r="A19" s="147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T19" t="s">
        <v>292</v>
      </c>
      <c r="BU19" s="453">
        <f>'★８ページ（幹線道路名）'!D15</f>
        <v>150</v>
      </c>
    </row>
    <row r="20" spans="1:73" x14ac:dyDescent="0.15">
      <c r="A20" s="147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T20" t="s">
        <v>293</v>
      </c>
      <c r="BU20" s="453">
        <f>'★８ページ（幹線道路名）'!D16</f>
        <v>259</v>
      </c>
    </row>
    <row r="21" spans="1:73" x14ac:dyDescent="0.15">
      <c r="A21" s="147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T21" t="s">
        <v>294</v>
      </c>
      <c r="BU21" s="453">
        <f>'★８ページ（幹線道路名）'!D20</f>
        <v>186</v>
      </c>
    </row>
    <row r="22" spans="1:73" x14ac:dyDescent="0.15">
      <c r="A22" s="147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T22" t="s">
        <v>295</v>
      </c>
      <c r="BU22" s="453">
        <f>'★８ページ（幹線道路名）'!D21</f>
        <v>198</v>
      </c>
    </row>
    <row r="23" spans="1:73" x14ac:dyDescent="0.15">
      <c r="A23" s="147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T23" t="s">
        <v>296</v>
      </c>
      <c r="BU23" s="453">
        <f>'★８ページ（幹線道路名）'!D22</f>
        <v>201</v>
      </c>
    </row>
    <row r="24" spans="1:73" x14ac:dyDescent="0.15">
      <c r="A24" s="147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T24" t="s">
        <v>297</v>
      </c>
      <c r="BU24" s="453">
        <f>'★８ページ（幹線道路名）'!D34</f>
        <v>302</v>
      </c>
    </row>
    <row r="25" spans="1:73" x14ac:dyDescent="0.15">
      <c r="A25" s="147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T25" t="s">
        <v>298</v>
      </c>
      <c r="BU25" s="453">
        <f>'★８ページ（幹線道路名）'!J4</f>
        <v>167</v>
      </c>
    </row>
    <row r="26" spans="1:73" x14ac:dyDescent="0.15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U26" s="453"/>
    </row>
    <row r="27" spans="1:73" x14ac:dyDescent="0.15">
      <c r="A27" s="147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U27" s="453"/>
    </row>
    <row r="28" spans="1:73" x14ac:dyDescent="0.15">
      <c r="A28" s="147"/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U28" s="453"/>
    </row>
    <row r="29" spans="1:73" x14ac:dyDescent="0.15">
      <c r="A29" s="147"/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U29" s="453"/>
    </row>
    <row r="30" spans="1:73" x14ac:dyDescent="0.15">
      <c r="A30" s="147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U30" s="453"/>
    </row>
    <row r="31" spans="1:73" x14ac:dyDescent="0.15">
      <c r="A31" s="147"/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</row>
    <row r="32" spans="1:73" x14ac:dyDescent="0.15">
      <c r="A32" s="147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</row>
    <row r="33" spans="1:59" x14ac:dyDescent="0.15">
      <c r="A33" s="147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</row>
    <row r="34" spans="1:59" x14ac:dyDescent="0.15">
      <c r="A34" s="147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</row>
    <row r="35" spans="1:59" x14ac:dyDescent="0.15">
      <c r="A35" s="147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</row>
    <row r="36" spans="1:59" x14ac:dyDescent="0.15">
      <c r="A36" s="147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</row>
    <row r="37" spans="1:59" x14ac:dyDescent="0.15">
      <c r="A37" s="147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</row>
    <row r="38" spans="1:59" x14ac:dyDescent="0.15">
      <c r="A38" s="147"/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</row>
    <row r="39" spans="1:59" x14ac:dyDescent="0.15">
      <c r="A39" s="147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</row>
    <row r="40" spans="1:59" x14ac:dyDescent="0.15">
      <c r="A40" s="147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</row>
    <row r="41" spans="1:59" x14ac:dyDescent="0.15">
      <c r="A41" s="147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</row>
    <row r="42" spans="1:59" x14ac:dyDescent="0.15">
      <c r="A42" s="147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</row>
    <row r="43" spans="1:59" x14ac:dyDescent="0.15">
      <c r="A43" s="147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</row>
    <row r="44" spans="1:59" x14ac:dyDescent="0.15">
      <c r="A44" s="147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</row>
    <row r="45" spans="1:59" x14ac:dyDescent="0.15">
      <c r="A45" s="147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</row>
    <row r="46" spans="1:59" x14ac:dyDescent="0.15">
      <c r="A46" s="147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</row>
    <row r="47" spans="1:59" x14ac:dyDescent="0.15">
      <c r="A47" s="147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</row>
    <row r="48" spans="1:59" x14ac:dyDescent="0.15">
      <c r="A48" s="147"/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</row>
    <row r="49" spans="1:59" x14ac:dyDescent="0.15">
      <c r="A49" s="147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</row>
    <row r="50" spans="1:59" x14ac:dyDescent="0.15">
      <c r="A50" s="147"/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</row>
    <row r="51" spans="1:59" x14ac:dyDescent="0.15">
      <c r="A51" s="147"/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</row>
    <row r="52" spans="1:59" x14ac:dyDescent="0.15">
      <c r="A52" s="147"/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</row>
    <row r="53" spans="1:59" x14ac:dyDescent="0.15">
      <c r="A53" s="147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</row>
    <row r="54" spans="1:59" x14ac:dyDescent="0.15">
      <c r="A54" s="147"/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</row>
    <row r="55" spans="1:59" x14ac:dyDescent="0.15">
      <c r="A55" s="147"/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</row>
    <row r="56" spans="1:59" x14ac:dyDescent="0.15">
      <c r="A56" s="147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</row>
    <row r="57" spans="1:59" x14ac:dyDescent="0.15">
      <c r="A57" s="147"/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</row>
    <row r="58" spans="1:59" x14ac:dyDescent="0.15">
      <c r="A58" s="147"/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</row>
    <row r="59" spans="1:59" x14ac:dyDescent="0.15">
      <c r="A59" s="147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</row>
    <row r="60" spans="1:59" x14ac:dyDescent="0.15">
      <c r="A60" s="147"/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</row>
    <row r="61" spans="1:59" x14ac:dyDescent="0.15">
      <c r="A61" s="147"/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</row>
    <row r="62" spans="1:59" x14ac:dyDescent="0.15">
      <c r="A62" s="147"/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</row>
    <row r="63" spans="1:59" x14ac:dyDescent="0.15">
      <c r="A63" s="147"/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</row>
    <row r="64" spans="1:59" x14ac:dyDescent="0.15">
      <c r="A64" s="147"/>
      <c r="B64" s="147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</row>
    <row r="65" spans="1:59" x14ac:dyDescent="0.15">
      <c r="A65" s="147"/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</row>
    <row r="66" spans="1:59" x14ac:dyDescent="0.15">
      <c r="A66" s="147"/>
      <c r="B66" s="147"/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</row>
    <row r="67" spans="1:59" x14ac:dyDescent="0.15">
      <c r="A67" s="147"/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</row>
    <row r="68" spans="1:59" x14ac:dyDescent="0.15">
      <c r="A68" s="147"/>
      <c r="B68" s="147"/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</row>
    <row r="69" spans="1:59" x14ac:dyDescent="0.15">
      <c r="A69" s="147"/>
      <c r="B69" s="147"/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</row>
    <row r="70" spans="1:59" x14ac:dyDescent="0.15">
      <c r="A70" s="147"/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</row>
    <row r="71" spans="1:59" x14ac:dyDescent="0.15">
      <c r="A71" s="147"/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</row>
    <row r="72" spans="1:59" x14ac:dyDescent="0.15">
      <c r="A72" s="147"/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</row>
    <row r="73" spans="1:59" x14ac:dyDescent="0.15">
      <c r="A73" s="147"/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</row>
    <row r="74" spans="1:59" x14ac:dyDescent="0.15">
      <c r="A74" s="147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</row>
    <row r="75" spans="1:59" x14ac:dyDescent="0.15">
      <c r="A75" s="147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</row>
    <row r="76" spans="1:59" x14ac:dyDescent="0.15">
      <c r="A76" s="147"/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</row>
    <row r="77" spans="1:59" x14ac:dyDescent="0.15">
      <c r="A77" s="147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</row>
    <row r="78" spans="1:59" x14ac:dyDescent="0.15">
      <c r="A78" s="147"/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</row>
    <row r="79" spans="1:59" x14ac:dyDescent="0.15">
      <c r="A79" s="147"/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</row>
    <row r="80" spans="1:59" x14ac:dyDescent="0.15">
      <c r="A80" s="147"/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</row>
    <row r="81" spans="1:59" x14ac:dyDescent="0.15">
      <c r="A81" s="147"/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47"/>
      <c r="S81" s="147"/>
      <c r="T81" s="147"/>
      <c r="U81" s="147"/>
      <c r="V81" s="147"/>
      <c r="W81" s="147"/>
      <c r="X81" s="147"/>
      <c r="Y81" s="147"/>
      <c r="Z81" s="147"/>
      <c r="AA81" s="147"/>
      <c r="AB81" s="147"/>
      <c r="AC81" s="147"/>
      <c r="AD81" s="147"/>
      <c r="AE81" s="147"/>
      <c r="AF81" s="147"/>
      <c r="AG81" s="147"/>
      <c r="AH81" s="147"/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</row>
    <row r="82" spans="1:59" x14ac:dyDescent="0.15">
      <c r="A82" s="147"/>
      <c r="B82" s="147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47"/>
      <c r="S82" s="147"/>
      <c r="T82" s="147"/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  <c r="AF82" s="147"/>
      <c r="AG82" s="147"/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</row>
    <row r="83" spans="1:59" x14ac:dyDescent="0.15">
      <c r="A83" s="147"/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  <c r="AF83" s="147"/>
      <c r="AG83" s="147"/>
      <c r="AH83" s="147"/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</row>
    <row r="84" spans="1:59" x14ac:dyDescent="0.15">
      <c r="A84" s="147"/>
      <c r="B84" s="147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47"/>
      <c r="W84" s="147"/>
      <c r="X84" s="147"/>
      <c r="Y84" s="147"/>
      <c r="Z84" s="147"/>
      <c r="AA84" s="147"/>
      <c r="AB84" s="147"/>
      <c r="AC84" s="147"/>
      <c r="AD84" s="147"/>
      <c r="AE84" s="147"/>
      <c r="AF84" s="147"/>
      <c r="AG84" s="147"/>
      <c r="AH84" s="147"/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</row>
    <row r="85" spans="1:59" x14ac:dyDescent="0.15">
      <c r="A85" s="147"/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47"/>
      <c r="AA85" s="147"/>
      <c r="AB85" s="147"/>
      <c r="AC85" s="147"/>
      <c r="AD85" s="147"/>
      <c r="AE85" s="147"/>
      <c r="AF85" s="147"/>
      <c r="AG85" s="147"/>
      <c r="AH85" s="147"/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</row>
    <row r="86" spans="1:59" x14ac:dyDescent="0.15">
      <c r="A86" s="147"/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  <c r="AA86" s="147"/>
      <c r="AB86" s="147"/>
      <c r="AC86" s="147"/>
      <c r="AD86" s="147"/>
      <c r="AE86" s="147"/>
      <c r="AF86" s="147"/>
      <c r="AG86" s="147"/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</row>
    <row r="87" spans="1:59" x14ac:dyDescent="0.15">
      <c r="A87" s="147"/>
      <c r="B87" s="147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47"/>
      <c r="Y87" s="147"/>
      <c r="Z87" s="147"/>
      <c r="AA87" s="147"/>
      <c r="AB87" s="147"/>
      <c r="AC87" s="147"/>
      <c r="AD87" s="147"/>
      <c r="AE87" s="147"/>
      <c r="AF87" s="147"/>
      <c r="AG87" s="147"/>
      <c r="AH87" s="147"/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</row>
    <row r="88" spans="1:59" x14ac:dyDescent="0.15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47"/>
      <c r="U88" s="147"/>
      <c r="V88" s="147"/>
      <c r="W88" s="147"/>
      <c r="X88" s="147"/>
      <c r="Y88" s="147"/>
      <c r="Z88" s="147"/>
      <c r="AA88" s="147"/>
      <c r="AB88" s="147"/>
      <c r="AC88" s="147"/>
      <c r="AD88" s="147"/>
      <c r="AE88" s="147"/>
      <c r="AF88" s="147"/>
      <c r="AG88" s="147"/>
      <c r="AH88" s="147"/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47"/>
      <c r="BB88" s="147"/>
      <c r="BC88" s="147"/>
      <c r="BD88" s="147"/>
      <c r="BE88" s="147"/>
      <c r="BF88" s="147"/>
      <c r="BG88" s="147"/>
    </row>
  </sheetData>
  <phoneticPr fontId="37"/>
  <pageMargins left="0.7" right="0.7" top="0.75" bottom="0.75" header="0.3" footer="0.3"/>
  <pageSetup paperSize="9" scale="57" firstPageNumber="0" orientation="portrait" r:id="rId1"/>
  <headerFooter alignWithMargins="0">
    <oddFooter>&amp;C&amp;18-9-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1ページ（状況）</vt:lpstr>
      <vt:lpstr>2ページ（年次推移）</vt:lpstr>
      <vt:lpstr>3ページ（４５年との比較）</vt:lpstr>
      <vt:lpstr>4ページ（人口推移）</vt:lpstr>
      <vt:lpstr>5ページ(月別）</vt:lpstr>
      <vt:lpstr>★６ページ（行政区別）</vt:lpstr>
      <vt:lpstr>★７ページの最初の項目用</vt:lpstr>
      <vt:lpstr>★８ページ（幹線道路名）</vt:lpstr>
      <vt:lpstr>★９ページ（幹線道路別図）</vt:lpstr>
      <vt:lpstr>★10ページ（道路種別月率）</vt:lpstr>
      <vt:lpstr>★11ページ（時間別）</vt:lpstr>
      <vt:lpstr>★12ページ（時間道路別）</vt:lpstr>
      <vt:lpstr>'★10ページ（道路種別月率）'!Print_Area</vt:lpstr>
      <vt:lpstr>'★11ページ（時間別）'!Print_Area</vt:lpstr>
      <vt:lpstr>'★12ページ（時間道路別）'!Print_Area</vt:lpstr>
      <vt:lpstr>'★６ページ（行政区別）'!Print_Area</vt:lpstr>
      <vt:lpstr>'★８ページ（幹線道路名）'!Print_Area</vt:lpstr>
      <vt:lpstr>'★９ページ（幹線道路別図）'!Print_Area</vt:lpstr>
      <vt:lpstr>'2ページ（年次推移）'!Print_Area</vt:lpstr>
      <vt:lpstr>'4ページ（人口推移）'!Print_Area</vt:lpstr>
      <vt:lpstr>'5ページ(月別）'!Print_Area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2018-05-22T02:31:23Z</dcterms:created>
  <dcterms:modified xsi:type="dcterms:W3CDTF">2019-04-09T01:13:34Z</dcterms:modified>
</cp:coreProperties>
</file>