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drawings/drawing15.xml" ContentType="application/vnd.openxmlformats-officedocument.drawingml.chartshapes+xml"/>
  <Override PartName="/xl/charts/chart7.xml" ContentType="application/vnd.openxmlformats-officedocument.drawingml.chart+xml"/>
  <Override PartName="/xl/drawings/drawing16.xml" ContentType="application/vnd.openxmlformats-officedocument.drawingml.chartshapes+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17.xml" ContentType="application/vnd.openxmlformats-officedocument.drawingml.chart+xml"/>
  <Override PartName="/xl/drawings/drawing3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2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harts/chart21.xml" ContentType="application/vnd.openxmlformats-officedocument.drawingml.chart+xml"/>
  <Override PartName="/xl/drawings/drawing4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harts/chart26.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1ページ（状況）" sheetId="1" r:id="rId1"/>
    <sheet name="2ページ（年次推移） " sheetId="13" r:id="rId2"/>
    <sheet name="3ページ（４５年との比較）" sheetId="3" r:id="rId3"/>
    <sheet name="4ページ（人口推移）" sheetId="4" r:id="rId4"/>
    <sheet name="5ページ(月別）" sheetId="5" r:id="rId5"/>
    <sheet name="★６ページ（行政区別）" sheetId="6" r:id="rId6"/>
    <sheet name="★７ページの最初の項目用" sheetId="7" r:id="rId7"/>
    <sheet name="★８ページ（幹線道路名）" sheetId="8" r:id="rId8"/>
    <sheet name="★９ページ（幹線道路別図）" sheetId="9" r:id="rId9"/>
    <sheet name="★10ページ（道路種別月率）" sheetId="10" r:id="rId10"/>
    <sheet name="★11ページ（時間別）" sheetId="11" r:id="rId11"/>
    <sheet name="★12ページ（時間道路別）" sheetId="12" r:id="rId12"/>
    <sheet name="★13ページ類型別（対前年比・状態別）" sheetId="14" r:id="rId13"/>
    <sheet name="★14ページ類型別（信号別）" sheetId="15" r:id="rId14"/>
    <sheet name="★15ページ（法令違反別）" sheetId="16" r:id="rId15"/>
    <sheet name="16ページ死亡事故の推移 " sheetId="17" r:id="rId16"/>
    <sheet name="★17ページ高齢者（推移）" sheetId="18" r:id="rId17"/>
    <sheet name="★１８ページ高齢者（行政区別）" sheetId="19" r:id="rId18"/>
    <sheet name="★１９ページ 高齢者(法令違反別)" sheetId="20" r:id="rId19"/>
    <sheet name="★２０ページ子ども（推移）" sheetId="21" r:id="rId20"/>
    <sheet name="★２１ページ子ども（年齢別）" sheetId="22" r:id="rId21"/>
    <sheet name="★２２ページ子ども（行政区別）" sheetId="23" r:id="rId22"/>
    <sheet name="★２３ページ子ども（法令違反別）" sheetId="24" r:id="rId23"/>
    <sheet name="★２４ページ若年者（推移）" sheetId="25" r:id="rId24"/>
    <sheet name="★２５ページ若年者（年齢別）" sheetId="26" r:id="rId25"/>
    <sheet name="★２６ページ若年者（行政区別） " sheetId="27" r:id="rId26"/>
    <sheet name="★２７ページ若年者（法令違反別） (2)" sheetId="28" r:id="rId27"/>
    <sheet name="★２８ページ歩行者（推移） " sheetId="29" r:id="rId28"/>
    <sheet name="★２９ページ歩行者(類型･月別）" sheetId="30" r:id="rId29"/>
    <sheet name="★３０ページ歩行者(行政区･状態）" sheetId="31" r:id="rId30"/>
    <sheet name="★３１ページ歩行者(時間別･状態）" sheetId="32" r:id="rId31"/>
    <sheet name="★３２ページ自転車（推移）" sheetId="33" r:id="rId32"/>
    <sheet name="★３３ページ自転車対自転車" sheetId="35" r:id="rId33"/>
    <sheet name="★３４ページ自転車(事故類型別）" sheetId="36" r:id="rId34"/>
    <sheet name="★３５ページ自転車(行政区･類型）" sheetId="37" r:id="rId35"/>
    <sheet name="★３６ぺージ自転車(時間別･類型）" sheetId="38" r:id="rId36"/>
    <sheet name="★37ページ自動二輪(推移）" sheetId="39" r:id="rId37"/>
    <sheet name="★３８ページ自動二輪車(類型別）" sheetId="40" r:id="rId38"/>
    <sheet name="★３９ページ自動二輪車（区別、類型別）" sheetId="41" r:id="rId39"/>
    <sheet name="★４０ページ自動二輪車(時間、類型別）" sheetId="42" r:id="rId40"/>
    <sheet name="★４１原付(推移）" sheetId="43" r:id="rId41"/>
    <sheet name="★４２原付(類型別)" sheetId="44" r:id="rId42"/>
    <sheet name="★４３原付(行政区）" sheetId="45" r:id="rId43"/>
    <sheet name="★４４原付(時間別）" sheetId="46" r:id="rId44"/>
    <sheet name="★４５ページ（飲酒運転）" sheetId="47" r:id="rId45"/>
    <sheet name="４６ページ大都市の交通事故発生状況" sheetId="48" r:id="rId46"/>
  </sheets>
  <externalReferences>
    <externalReference r:id="rId47"/>
  </externalReferences>
  <definedNames>
    <definedName name="_xlnm.Print_Area" localSheetId="9">'★10ページ（道路種別月率）'!$A$1:$N$42</definedName>
    <definedName name="_xlnm.Print_Area" localSheetId="10">'★11ページ（時間別）'!$A$1:$M$48</definedName>
    <definedName name="_xlnm.Print_Area" localSheetId="11">'★12ページ（時間道路別）'!$A$1:$N$61</definedName>
    <definedName name="_xlnm.Print_Area" localSheetId="12">'★13ページ類型別（対前年比・状態別）'!$A$1:$I$54</definedName>
    <definedName name="_xlnm.Print_Area" localSheetId="14">'★15ページ（法令違反別）'!$A$1:$H$47</definedName>
    <definedName name="_xlnm.Print_Area" localSheetId="16">'★17ページ高齢者（推移）'!$A$1:$R$52</definedName>
    <definedName name="_xlnm.Print_Area" localSheetId="17">'★１８ページ高齢者（行政区別）'!$A$1:$S$32</definedName>
    <definedName name="_xlnm.Print_Area" localSheetId="19">'★２０ページ子ども（推移）'!$A$1:$N$41</definedName>
    <definedName name="_xlnm.Print_Area" localSheetId="23">'★２４ページ若年者（推移）'!$A$1:$L$45</definedName>
    <definedName name="_xlnm.Print_Area" localSheetId="24">'★２５ページ若年者（年齢別）'!$A$1:$P$38</definedName>
    <definedName name="_xlnm.Print_Area" localSheetId="25">'★２６ページ若年者（行政区別） '!$A$1:$S$32</definedName>
    <definedName name="_xlnm.Print_Area" localSheetId="27">'★２８ページ歩行者（推移） '!$A$1:$O$43</definedName>
    <definedName name="_xlnm.Print_Area" localSheetId="31">'★３２ページ自転車（推移）'!$A$1:$P$52</definedName>
    <definedName name="_xlnm.Print_Area" localSheetId="32">★３３ページ自転車対自転車!$A$1:$M$48</definedName>
    <definedName name="_xlnm.Print_Area" localSheetId="33">'★３４ページ自転車(事故類型別）'!$A$1:$G$26</definedName>
    <definedName name="_xlnm.Print_Area" localSheetId="34">'★３５ページ自転車(行政区･類型）'!$A$1:$Q$34</definedName>
    <definedName name="_xlnm.Print_Area" localSheetId="35">'★３６ぺージ自転車(時間別･類型）'!$A$1:$R$58</definedName>
    <definedName name="_xlnm.Print_Area" localSheetId="36">'★37ページ自動二輪(推移）'!$A$1:$O$50</definedName>
    <definedName name="_xlnm.Print_Area" localSheetId="37">'★３８ページ自動二輪車(類型別）'!$A$1:$G$28</definedName>
    <definedName name="_xlnm.Print_Area" localSheetId="40">'★４１原付(推移）'!$A$1:$O$49</definedName>
    <definedName name="_xlnm.Print_Area" localSheetId="41">'★４２原付(類型別)'!$A$1:$G$27</definedName>
    <definedName name="_xlnm.Print_Area" localSheetId="44">'★４５ページ（飲酒運転）'!$A$1:$O$74</definedName>
    <definedName name="_xlnm.Print_Area" localSheetId="5">'★６ページ（行政区別）'!$A$1:$O$47</definedName>
    <definedName name="_xlnm.Print_Area" localSheetId="6">★７ページの最初の項目用!$A$1:$I$50</definedName>
    <definedName name="_xlnm.Print_Area" localSheetId="7">'★８ページ（幹線道路名）'!$A$1:$N$46</definedName>
    <definedName name="_xlnm.Print_Area" localSheetId="8">'★９ページ（幹線道路別図）'!$A$1:$BQ$86</definedName>
    <definedName name="_xlnm.Print_Area" localSheetId="15">'16ページ死亡事故の推移 '!$A$1:$I$55</definedName>
    <definedName name="_xlnm.Print_Area" localSheetId="1">'2ページ（年次推移） '!$A$1:$N$63</definedName>
    <definedName name="_xlnm.Print_Area" localSheetId="2">'3ページ（４５年との比較）'!$A$1:$K$46</definedName>
    <definedName name="_xlnm.Print_Area" localSheetId="45">'４６ページ大都市の交通事故発生状況'!$A$1:$I$85</definedName>
    <definedName name="_xlnm.Print_Area" localSheetId="3">'4ページ（人口推移）'!$A$1:$F$61</definedName>
    <definedName name="_xlnm.Print_Area" localSheetId="4">'5ページ(月別）'!$A$1:$Q$39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4" i="48" l="1"/>
  <c r="H83" i="48"/>
  <c r="F83" i="48"/>
  <c r="G83" i="48" s="1"/>
  <c r="H82" i="48"/>
  <c r="G82" i="48"/>
  <c r="F82" i="48"/>
  <c r="H81" i="48"/>
  <c r="F81" i="48"/>
  <c r="G81" i="48" s="1"/>
  <c r="H80" i="48"/>
  <c r="H79" i="48"/>
  <c r="G79" i="48"/>
  <c r="F79" i="48"/>
  <c r="H78" i="48"/>
  <c r="G78" i="48"/>
  <c r="F78" i="48"/>
  <c r="H77" i="48"/>
  <c r="F77" i="48"/>
  <c r="G77" i="48" s="1"/>
  <c r="H76" i="48"/>
  <c r="H75" i="48"/>
  <c r="F75" i="48"/>
  <c r="G75" i="48" s="1"/>
  <c r="H74" i="48"/>
  <c r="G74" i="48"/>
  <c r="F74" i="48"/>
  <c r="H73" i="48"/>
  <c r="G73" i="48"/>
  <c r="F73" i="48"/>
  <c r="H72" i="48"/>
  <c r="H71" i="48"/>
  <c r="G71" i="48"/>
  <c r="F71" i="48"/>
  <c r="H70" i="48"/>
  <c r="G70" i="48"/>
  <c r="F70" i="48"/>
  <c r="H69" i="48"/>
  <c r="F69" i="48"/>
  <c r="G69" i="48" s="1"/>
  <c r="H68" i="48"/>
  <c r="H67" i="48"/>
  <c r="F67" i="48"/>
  <c r="G67" i="48" s="1"/>
  <c r="H66" i="48"/>
  <c r="G66" i="48"/>
  <c r="F66" i="48"/>
  <c r="H65" i="48"/>
  <c r="G65" i="48"/>
  <c r="F65" i="48"/>
  <c r="H64" i="48"/>
  <c r="H63" i="48"/>
  <c r="G63" i="48"/>
  <c r="F63" i="48"/>
  <c r="H62" i="48"/>
  <c r="G62" i="48"/>
  <c r="F62" i="48"/>
  <c r="H61" i="48"/>
  <c r="F61" i="48"/>
  <c r="G61" i="48" s="1"/>
  <c r="H60" i="48"/>
  <c r="H59" i="48"/>
  <c r="F59" i="48"/>
  <c r="G59" i="48" s="1"/>
  <c r="H58" i="48"/>
  <c r="F58" i="48"/>
  <c r="G58" i="48" s="1"/>
  <c r="H57" i="48"/>
  <c r="G57" i="48"/>
  <c r="F57" i="48"/>
  <c r="H56" i="48"/>
  <c r="H55" i="48"/>
  <c r="G55" i="48"/>
  <c r="F55" i="48"/>
  <c r="H54" i="48"/>
  <c r="G54" i="48"/>
  <c r="F54" i="48"/>
  <c r="H53" i="48"/>
  <c r="F53" i="48"/>
  <c r="G53" i="48" s="1"/>
  <c r="H52" i="48"/>
  <c r="H51" i="48"/>
  <c r="F51" i="48"/>
  <c r="G51" i="48" s="1"/>
  <c r="H50" i="48"/>
  <c r="F50" i="48"/>
  <c r="G50" i="48" s="1"/>
  <c r="H49" i="48"/>
  <c r="G49" i="48"/>
  <c r="F49" i="48"/>
  <c r="H48" i="48"/>
  <c r="H47" i="48"/>
  <c r="G47" i="48"/>
  <c r="F47" i="48"/>
  <c r="H46" i="48"/>
  <c r="G46" i="48"/>
  <c r="F46" i="48"/>
  <c r="H45" i="48"/>
  <c r="F45" i="48"/>
  <c r="G45" i="48" s="1"/>
  <c r="H44" i="48"/>
  <c r="H43" i="48"/>
  <c r="F43" i="48"/>
  <c r="G43" i="48" s="1"/>
  <c r="H42" i="48"/>
  <c r="F42" i="48"/>
  <c r="G42" i="48" s="1"/>
  <c r="H41" i="48"/>
  <c r="G41" i="48"/>
  <c r="F41" i="48"/>
  <c r="H40" i="48"/>
  <c r="H39" i="48"/>
  <c r="G39" i="48"/>
  <c r="F39" i="48"/>
  <c r="H38" i="48"/>
  <c r="G38" i="48"/>
  <c r="F38" i="48"/>
  <c r="H37" i="48"/>
  <c r="F37" i="48"/>
  <c r="G37" i="48" s="1"/>
  <c r="H36" i="48"/>
  <c r="H35" i="48"/>
  <c r="F35" i="48"/>
  <c r="G35" i="48" s="1"/>
  <c r="H34" i="48"/>
  <c r="F34" i="48"/>
  <c r="G34" i="48" s="1"/>
  <c r="H33" i="48"/>
  <c r="G33" i="48"/>
  <c r="F33" i="48"/>
  <c r="H32" i="48"/>
  <c r="H31" i="48"/>
  <c r="G31" i="48"/>
  <c r="F31" i="48"/>
  <c r="H30" i="48"/>
  <c r="G30" i="48"/>
  <c r="F30" i="48"/>
  <c r="H29" i="48"/>
  <c r="F29" i="48"/>
  <c r="G29" i="48" s="1"/>
  <c r="H28" i="48"/>
  <c r="H27" i="48"/>
  <c r="F27" i="48"/>
  <c r="G27" i="48" s="1"/>
  <c r="H26" i="48"/>
  <c r="G26" i="48"/>
  <c r="F26" i="48"/>
  <c r="H25" i="48"/>
  <c r="G25" i="48"/>
  <c r="F25" i="48"/>
  <c r="H23" i="48"/>
  <c r="G23" i="48"/>
  <c r="F23" i="48"/>
  <c r="H22" i="48"/>
  <c r="F22" i="48"/>
  <c r="G22" i="48" s="1"/>
  <c r="H21" i="48"/>
  <c r="F21" i="48"/>
  <c r="G21" i="48" s="1"/>
  <c r="H20" i="48"/>
  <c r="H19" i="48"/>
  <c r="F19" i="48"/>
  <c r="G19" i="48" s="1"/>
  <c r="H18" i="48"/>
  <c r="G18" i="48"/>
  <c r="F18" i="48"/>
  <c r="H17" i="48"/>
  <c r="G17" i="48"/>
  <c r="F17" i="48"/>
  <c r="H16" i="48"/>
  <c r="H15" i="48"/>
  <c r="G15" i="48"/>
  <c r="F15" i="48"/>
  <c r="H14" i="48"/>
  <c r="F14" i="48"/>
  <c r="G14" i="48" s="1"/>
  <c r="H13" i="48"/>
  <c r="F13" i="48"/>
  <c r="G13" i="48" s="1"/>
  <c r="H12" i="48"/>
  <c r="H11" i="48"/>
  <c r="F11" i="48"/>
  <c r="G11" i="48" s="1"/>
  <c r="H10" i="48"/>
  <c r="G10" i="48"/>
  <c r="F10" i="48"/>
  <c r="H9" i="48"/>
  <c r="G9" i="48"/>
  <c r="F9" i="48"/>
  <c r="H8" i="48"/>
  <c r="H7" i="48"/>
  <c r="G7" i="48"/>
  <c r="F7" i="48"/>
  <c r="H6" i="48"/>
  <c r="F6" i="48"/>
  <c r="G6" i="48" s="1"/>
  <c r="H5" i="48"/>
  <c r="F5" i="48"/>
  <c r="G5" i="48" s="1"/>
  <c r="J53" i="47"/>
  <c r="H53" i="47"/>
  <c r="F53" i="47"/>
  <c r="D53" i="47"/>
  <c r="D52" i="47" s="1"/>
  <c r="J51" i="47"/>
  <c r="J52" i="47" s="1"/>
  <c r="H51" i="47"/>
  <c r="H52" i="47" s="1"/>
  <c r="F51" i="47"/>
  <c r="F52" i="47" s="1"/>
  <c r="D51" i="47"/>
  <c r="O21" i="47"/>
  <c r="O20" i="47"/>
  <c r="O19" i="47"/>
  <c r="O18" i="47"/>
  <c r="O10" i="47"/>
  <c r="N10" i="47"/>
  <c r="M10" i="47"/>
  <c r="L10" i="47"/>
  <c r="K10" i="47"/>
  <c r="J10" i="47"/>
  <c r="I10" i="47"/>
  <c r="H10" i="47"/>
  <c r="G10" i="47"/>
  <c r="F10" i="47"/>
  <c r="E10" i="47"/>
  <c r="D10" i="47"/>
  <c r="C10" i="47"/>
  <c r="R33" i="46"/>
  <c r="Q33" i="46"/>
  <c r="P33" i="46"/>
  <c r="O33" i="46"/>
  <c r="N33" i="46"/>
  <c r="M33" i="46"/>
  <c r="L33" i="46"/>
  <c r="K33" i="46"/>
  <c r="J33" i="46"/>
  <c r="I33" i="46"/>
  <c r="H33" i="46"/>
  <c r="G33" i="46"/>
  <c r="G32" i="46" s="1"/>
  <c r="F33" i="46"/>
  <c r="E33" i="46"/>
  <c r="D33" i="46"/>
  <c r="R31" i="46"/>
  <c r="R32" i="46" s="1"/>
  <c r="Q31" i="46"/>
  <c r="Q32" i="46" s="1"/>
  <c r="P31" i="46"/>
  <c r="P32" i="46" s="1"/>
  <c r="O31" i="46"/>
  <c r="O32" i="46" s="1"/>
  <c r="N31" i="46"/>
  <c r="N32" i="46" s="1"/>
  <c r="M31" i="46"/>
  <c r="M32" i="46" s="1"/>
  <c r="L31" i="46"/>
  <c r="L32" i="46" s="1"/>
  <c r="K31" i="46"/>
  <c r="K32" i="46" s="1"/>
  <c r="J31" i="46"/>
  <c r="J32" i="46" s="1"/>
  <c r="I31" i="46"/>
  <c r="I32" i="46" s="1"/>
  <c r="H31" i="46"/>
  <c r="H32" i="46" s="1"/>
  <c r="G31" i="46"/>
  <c r="F31" i="46"/>
  <c r="F32" i="46" s="1"/>
  <c r="E31" i="46"/>
  <c r="E32" i="46" s="1"/>
  <c r="D31" i="46"/>
  <c r="D32" i="46" s="1"/>
  <c r="O30" i="46"/>
  <c r="K30" i="46"/>
  <c r="G30" i="46"/>
  <c r="C30" i="46"/>
  <c r="O29" i="46"/>
  <c r="K29" i="46"/>
  <c r="G29" i="46"/>
  <c r="C29" i="46"/>
  <c r="O28" i="46"/>
  <c r="K28" i="46"/>
  <c r="G28" i="46"/>
  <c r="C28" i="46"/>
  <c r="O27" i="46"/>
  <c r="K27" i="46"/>
  <c r="G27" i="46"/>
  <c r="C27" i="46"/>
  <c r="O26" i="46"/>
  <c r="K26" i="46"/>
  <c r="G26" i="46"/>
  <c r="C26" i="46"/>
  <c r="O25" i="46"/>
  <c r="K25" i="46"/>
  <c r="G25" i="46"/>
  <c r="C25" i="46"/>
  <c r="O24" i="46"/>
  <c r="K24" i="46"/>
  <c r="G24" i="46"/>
  <c r="C24" i="46"/>
  <c r="O23" i="46"/>
  <c r="K23" i="46"/>
  <c r="G23" i="46"/>
  <c r="C23" i="46"/>
  <c r="O22" i="46"/>
  <c r="K22" i="46"/>
  <c r="G22" i="46"/>
  <c r="C22" i="46"/>
  <c r="O21" i="46"/>
  <c r="K21" i="46"/>
  <c r="G21" i="46"/>
  <c r="C21" i="46"/>
  <c r="O20" i="46"/>
  <c r="K20" i="46"/>
  <c r="G20" i="46"/>
  <c r="C20" i="46"/>
  <c r="O19" i="46"/>
  <c r="K19" i="46"/>
  <c r="G19" i="46"/>
  <c r="C19" i="46"/>
  <c r="O18" i="46"/>
  <c r="K18" i="46"/>
  <c r="G18" i="46"/>
  <c r="C18" i="46"/>
  <c r="O17" i="46"/>
  <c r="K17" i="46"/>
  <c r="G17" i="46"/>
  <c r="C17" i="46"/>
  <c r="O16" i="46"/>
  <c r="K16" i="46"/>
  <c r="G16" i="46"/>
  <c r="C16" i="46"/>
  <c r="O15" i="46"/>
  <c r="K15" i="46"/>
  <c r="G15" i="46"/>
  <c r="C15" i="46"/>
  <c r="O14" i="46"/>
  <c r="K14" i="46"/>
  <c r="G14" i="46"/>
  <c r="C14" i="46"/>
  <c r="O13" i="46"/>
  <c r="K13" i="46"/>
  <c r="G13" i="46"/>
  <c r="C13" i="46"/>
  <c r="C31" i="46" s="1"/>
  <c r="O12" i="46"/>
  <c r="K12" i="46"/>
  <c r="G12" i="46"/>
  <c r="C12" i="46"/>
  <c r="O11" i="46"/>
  <c r="K11" i="46"/>
  <c r="G11" i="46"/>
  <c r="C11" i="46"/>
  <c r="O10" i="46"/>
  <c r="K10" i="46"/>
  <c r="G10" i="46"/>
  <c r="C10" i="46"/>
  <c r="O9" i="46"/>
  <c r="K9" i="46"/>
  <c r="G9" i="46"/>
  <c r="C9" i="46"/>
  <c r="O8" i="46"/>
  <c r="K8" i="46"/>
  <c r="G8" i="46"/>
  <c r="C8" i="46"/>
  <c r="O7" i="46"/>
  <c r="K7" i="46"/>
  <c r="G7" i="46"/>
  <c r="C7" i="46"/>
  <c r="C33" i="46" s="1"/>
  <c r="C32" i="46" s="1"/>
  <c r="Q31" i="45"/>
  <c r="P31" i="45"/>
  <c r="O31" i="45"/>
  <c r="N31" i="45"/>
  <c r="M31" i="45"/>
  <c r="L31" i="45"/>
  <c r="K31" i="45"/>
  <c r="J31" i="45"/>
  <c r="I31" i="45"/>
  <c r="H31" i="45"/>
  <c r="G31" i="45"/>
  <c r="F31" i="45"/>
  <c r="E31" i="45"/>
  <c r="D31" i="45"/>
  <c r="C31" i="45"/>
  <c r="N30" i="45"/>
  <c r="J30" i="45"/>
  <c r="F30" i="45"/>
  <c r="B30" i="45"/>
  <c r="N29" i="45"/>
  <c r="J29" i="45"/>
  <c r="F29" i="45"/>
  <c r="B29" i="45"/>
  <c r="N28" i="45"/>
  <c r="J28" i="45"/>
  <c r="F28" i="45"/>
  <c r="B28" i="45"/>
  <c r="N27" i="45"/>
  <c r="J27" i="45"/>
  <c r="F27" i="45"/>
  <c r="B27" i="45"/>
  <c r="N26" i="45"/>
  <c r="J26" i="45"/>
  <c r="F26" i="45"/>
  <c r="B26" i="45"/>
  <c r="N25" i="45"/>
  <c r="J25" i="45"/>
  <c r="F25" i="45"/>
  <c r="B25" i="45"/>
  <c r="N24" i="45"/>
  <c r="J24" i="45"/>
  <c r="F24" i="45"/>
  <c r="B24" i="45"/>
  <c r="N23" i="45"/>
  <c r="J23" i="45"/>
  <c r="F23" i="45"/>
  <c r="B23" i="45"/>
  <c r="N22" i="45"/>
  <c r="J22" i="45"/>
  <c r="F22" i="45"/>
  <c r="B22" i="45"/>
  <c r="N21" i="45"/>
  <c r="J21" i="45"/>
  <c r="F21" i="45"/>
  <c r="B21" i="45"/>
  <c r="N20" i="45"/>
  <c r="J20" i="45"/>
  <c r="F20" i="45"/>
  <c r="B20" i="45"/>
  <c r="N19" i="45"/>
  <c r="J19" i="45"/>
  <c r="F19" i="45"/>
  <c r="B19" i="45"/>
  <c r="N18" i="45"/>
  <c r="J18" i="45"/>
  <c r="F18" i="45"/>
  <c r="B18" i="45"/>
  <c r="N17" i="45"/>
  <c r="J17" i="45"/>
  <c r="F17" i="45"/>
  <c r="B17" i="45"/>
  <c r="N16" i="45"/>
  <c r="J16" i="45"/>
  <c r="F16" i="45"/>
  <c r="B16" i="45"/>
  <c r="N15" i="45"/>
  <c r="J15" i="45"/>
  <c r="F15" i="45"/>
  <c r="B15" i="45"/>
  <c r="N14" i="45"/>
  <c r="J14" i="45"/>
  <c r="F14" i="45"/>
  <c r="B14" i="45"/>
  <c r="N13" i="45"/>
  <c r="J13" i="45"/>
  <c r="F13" i="45"/>
  <c r="B13" i="45"/>
  <c r="N12" i="45"/>
  <c r="J12" i="45"/>
  <c r="F12" i="45"/>
  <c r="B12" i="45"/>
  <c r="N11" i="45"/>
  <c r="J11" i="45"/>
  <c r="F11" i="45"/>
  <c r="B11" i="45"/>
  <c r="N10" i="45"/>
  <c r="J10" i="45"/>
  <c r="F10" i="45"/>
  <c r="B10" i="45"/>
  <c r="N9" i="45"/>
  <c r="J9" i="45"/>
  <c r="F9" i="45"/>
  <c r="B9" i="45"/>
  <c r="N8" i="45"/>
  <c r="J8" i="45"/>
  <c r="F8" i="45"/>
  <c r="B8" i="45"/>
  <c r="N7" i="45"/>
  <c r="J7" i="45"/>
  <c r="F7" i="45"/>
  <c r="B7" i="45"/>
  <c r="B31" i="45" s="1"/>
  <c r="G5" i="44"/>
  <c r="F5" i="44"/>
  <c r="E5" i="44"/>
  <c r="D5" i="44"/>
  <c r="O20" i="43"/>
  <c r="O19" i="43"/>
  <c r="O18" i="43"/>
  <c r="O17" i="43"/>
  <c r="O11" i="43"/>
  <c r="N11" i="43"/>
  <c r="M11" i="43"/>
  <c r="L11" i="43"/>
  <c r="K11" i="43"/>
  <c r="J11" i="43"/>
  <c r="I11" i="43"/>
  <c r="H11" i="43"/>
  <c r="G11" i="43"/>
  <c r="F11" i="43"/>
  <c r="E11" i="43"/>
  <c r="D11" i="43"/>
  <c r="C11" i="43"/>
  <c r="R33" i="42"/>
  <c r="Q33" i="42"/>
  <c r="P33" i="42"/>
  <c r="O33" i="42"/>
  <c r="N33" i="42"/>
  <c r="M33" i="42"/>
  <c r="L33" i="42"/>
  <c r="K33" i="42"/>
  <c r="J33" i="42"/>
  <c r="I33" i="42"/>
  <c r="H33" i="42"/>
  <c r="G33" i="42"/>
  <c r="F33" i="42"/>
  <c r="E33" i="42"/>
  <c r="D33" i="42"/>
  <c r="R31" i="42"/>
  <c r="R32" i="42" s="1"/>
  <c r="Q31" i="42"/>
  <c r="Q32" i="42" s="1"/>
  <c r="P31" i="42"/>
  <c r="P32" i="42" s="1"/>
  <c r="O31" i="42"/>
  <c r="O32" i="42" s="1"/>
  <c r="N31" i="42"/>
  <c r="N32" i="42" s="1"/>
  <c r="M31" i="42"/>
  <c r="M32" i="42" s="1"/>
  <c r="L31" i="42"/>
  <c r="L32" i="42" s="1"/>
  <c r="K31" i="42"/>
  <c r="K32" i="42" s="1"/>
  <c r="J31" i="42"/>
  <c r="J32" i="42" s="1"/>
  <c r="I31" i="42"/>
  <c r="I32" i="42" s="1"/>
  <c r="H31" i="42"/>
  <c r="H32" i="42" s="1"/>
  <c r="G31" i="42"/>
  <c r="G32" i="42" s="1"/>
  <c r="F31" i="42"/>
  <c r="F32" i="42" s="1"/>
  <c r="E31" i="42"/>
  <c r="E32" i="42" s="1"/>
  <c r="D31" i="42"/>
  <c r="D32" i="42" s="1"/>
  <c r="O30" i="42"/>
  <c r="K30" i="42"/>
  <c r="G30" i="42"/>
  <c r="C30" i="42"/>
  <c r="O29" i="42"/>
  <c r="K29" i="42"/>
  <c r="G29" i="42"/>
  <c r="C29" i="42"/>
  <c r="O28" i="42"/>
  <c r="K28" i="42"/>
  <c r="G28" i="42"/>
  <c r="C28" i="42"/>
  <c r="O27" i="42"/>
  <c r="K27" i="42"/>
  <c r="G27" i="42"/>
  <c r="C27" i="42"/>
  <c r="O26" i="42"/>
  <c r="K26" i="42"/>
  <c r="G26" i="42"/>
  <c r="C26" i="42"/>
  <c r="O25" i="42"/>
  <c r="K25" i="42"/>
  <c r="G25" i="42"/>
  <c r="C25" i="42"/>
  <c r="O24" i="42"/>
  <c r="K24" i="42"/>
  <c r="G24" i="42"/>
  <c r="C24" i="42"/>
  <c r="O23" i="42"/>
  <c r="K23" i="42"/>
  <c r="G23" i="42"/>
  <c r="C23" i="42"/>
  <c r="O22" i="42"/>
  <c r="K22" i="42"/>
  <c r="G22" i="42"/>
  <c r="C22" i="42"/>
  <c r="O21" i="42"/>
  <c r="K21" i="42"/>
  <c r="G21" i="42"/>
  <c r="C21" i="42"/>
  <c r="O20" i="42"/>
  <c r="K20" i="42"/>
  <c r="G20" i="42"/>
  <c r="C20" i="42"/>
  <c r="O19" i="42"/>
  <c r="K19" i="42"/>
  <c r="G19" i="42"/>
  <c r="C19" i="42"/>
  <c r="O18" i="42"/>
  <c r="K18" i="42"/>
  <c r="G18" i="42"/>
  <c r="C18" i="42"/>
  <c r="O17" i="42"/>
  <c r="K17" i="42"/>
  <c r="G17" i="42"/>
  <c r="C17" i="42"/>
  <c r="O16" i="42"/>
  <c r="K16" i="42"/>
  <c r="G16" i="42"/>
  <c r="C16" i="42"/>
  <c r="O15" i="42"/>
  <c r="K15" i="42"/>
  <c r="G15" i="42"/>
  <c r="C15" i="42"/>
  <c r="O14" i="42"/>
  <c r="K14" i="42"/>
  <c r="G14" i="42"/>
  <c r="C14" i="42"/>
  <c r="O13" i="42"/>
  <c r="K13" i="42"/>
  <c r="G13" i="42"/>
  <c r="C13" i="42"/>
  <c r="C31" i="42" s="1"/>
  <c r="O12" i="42"/>
  <c r="K12" i="42"/>
  <c r="G12" i="42"/>
  <c r="C12" i="42"/>
  <c r="O11" i="42"/>
  <c r="K11" i="42"/>
  <c r="G11" i="42"/>
  <c r="C11" i="42"/>
  <c r="O10" i="42"/>
  <c r="K10" i="42"/>
  <c r="G10" i="42"/>
  <c r="C10" i="42"/>
  <c r="O9" i="42"/>
  <c r="K9" i="42"/>
  <c r="G9" i="42"/>
  <c r="C9" i="42"/>
  <c r="O8" i="42"/>
  <c r="K8" i="42"/>
  <c r="G8" i="42"/>
  <c r="C8" i="42"/>
  <c r="O7" i="42"/>
  <c r="K7" i="42"/>
  <c r="G7" i="42"/>
  <c r="C7" i="42"/>
  <c r="C33" i="42" s="1"/>
  <c r="C32" i="42" s="1"/>
  <c r="Q31" i="41"/>
  <c r="P31" i="41"/>
  <c r="O31" i="41"/>
  <c r="N31" i="41"/>
  <c r="M31" i="41"/>
  <c r="L31" i="41"/>
  <c r="K31" i="41"/>
  <c r="J31" i="41"/>
  <c r="I31" i="41"/>
  <c r="H31" i="41"/>
  <c r="G31" i="41"/>
  <c r="F31" i="41"/>
  <c r="E31" i="41"/>
  <c r="D31" i="41"/>
  <c r="C31" i="41"/>
  <c r="N30" i="41"/>
  <c r="J30" i="41"/>
  <c r="F30" i="41"/>
  <c r="B30" i="41"/>
  <c r="N29" i="41"/>
  <c r="J29" i="41"/>
  <c r="F29" i="41"/>
  <c r="B29" i="41"/>
  <c r="N28" i="41"/>
  <c r="J28" i="41"/>
  <c r="F28" i="41"/>
  <c r="B28" i="41"/>
  <c r="N27" i="41"/>
  <c r="J27" i="41"/>
  <c r="F27" i="41"/>
  <c r="B27" i="41"/>
  <c r="N26" i="41"/>
  <c r="J26" i="41"/>
  <c r="F26" i="41"/>
  <c r="B26" i="41"/>
  <c r="N25" i="41"/>
  <c r="J25" i="41"/>
  <c r="F25" i="41"/>
  <c r="B25" i="41"/>
  <c r="N24" i="41"/>
  <c r="J24" i="41"/>
  <c r="F24" i="41"/>
  <c r="B24" i="41"/>
  <c r="N23" i="41"/>
  <c r="J23" i="41"/>
  <c r="F23" i="41"/>
  <c r="B23" i="41"/>
  <c r="N22" i="41"/>
  <c r="J22" i="41"/>
  <c r="F22" i="41"/>
  <c r="B22" i="41"/>
  <c r="N21" i="41"/>
  <c r="J21" i="41"/>
  <c r="F21" i="41"/>
  <c r="B21" i="41"/>
  <c r="N20" i="41"/>
  <c r="J20" i="41"/>
  <c r="F20" i="41"/>
  <c r="B20" i="41"/>
  <c r="N19" i="41"/>
  <c r="J19" i="41"/>
  <c r="F19" i="41"/>
  <c r="B19" i="41"/>
  <c r="N18" i="41"/>
  <c r="J18" i="41"/>
  <c r="F18" i="41"/>
  <c r="B18" i="41"/>
  <c r="N17" i="41"/>
  <c r="J17" i="41"/>
  <c r="F17" i="41"/>
  <c r="B17" i="41"/>
  <c r="N16" i="41"/>
  <c r="J16" i="41"/>
  <c r="F16" i="41"/>
  <c r="B16" i="41"/>
  <c r="N15" i="41"/>
  <c r="J15" i="41"/>
  <c r="F15" i="41"/>
  <c r="B15" i="41"/>
  <c r="N14" i="41"/>
  <c r="J14" i="41"/>
  <c r="F14" i="41"/>
  <c r="B14" i="41"/>
  <c r="N13" i="41"/>
  <c r="J13" i="41"/>
  <c r="F13" i="41"/>
  <c r="B13" i="41"/>
  <c r="N12" i="41"/>
  <c r="J12" i="41"/>
  <c r="F12" i="41"/>
  <c r="B12" i="41"/>
  <c r="N11" i="41"/>
  <c r="J11" i="41"/>
  <c r="F11" i="41"/>
  <c r="B11" i="41"/>
  <c r="N10" i="41"/>
  <c r="J10" i="41"/>
  <c r="F10" i="41"/>
  <c r="B10" i="41"/>
  <c r="N9" i="41"/>
  <c r="J9" i="41"/>
  <c r="F9" i="41"/>
  <c r="B9" i="41"/>
  <c r="N8" i="41"/>
  <c r="J8" i="41"/>
  <c r="F8" i="41"/>
  <c r="B8" i="41"/>
  <c r="N7" i="41"/>
  <c r="J7" i="41"/>
  <c r="F7" i="41"/>
  <c r="B7" i="41"/>
  <c r="B31" i="41" s="1"/>
  <c r="G6" i="40"/>
  <c r="F6" i="40"/>
  <c r="E6" i="40"/>
  <c r="D6" i="40"/>
  <c r="O21" i="39"/>
  <c r="O20" i="39"/>
  <c r="O19" i="39"/>
  <c r="O18" i="39"/>
  <c r="O12" i="39"/>
  <c r="N12" i="39"/>
  <c r="M12" i="39"/>
  <c r="L12" i="39"/>
  <c r="K12" i="39"/>
  <c r="J12" i="39"/>
  <c r="I12" i="39"/>
  <c r="H12" i="39"/>
  <c r="G12" i="39"/>
  <c r="F12" i="39"/>
  <c r="E12" i="39"/>
  <c r="D12" i="39"/>
  <c r="C12" i="39"/>
  <c r="R33" i="38" l="1"/>
  <c r="Q33" i="38"/>
  <c r="P33" i="38"/>
  <c r="O33" i="38"/>
  <c r="N33" i="38"/>
  <c r="M33" i="38"/>
  <c r="L33" i="38"/>
  <c r="K33" i="38"/>
  <c r="J33" i="38"/>
  <c r="I33" i="38"/>
  <c r="H33" i="38"/>
  <c r="G33" i="38"/>
  <c r="F33" i="38"/>
  <c r="E33" i="38"/>
  <c r="D33" i="38"/>
  <c r="R31" i="38"/>
  <c r="R32" i="38" s="1"/>
  <c r="Q31" i="38"/>
  <c r="Q32" i="38" s="1"/>
  <c r="P31" i="38"/>
  <c r="P32" i="38" s="1"/>
  <c r="O31" i="38"/>
  <c r="O32" i="38" s="1"/>
  <c r="N31" i="38"/>
  <c r="N32" i="38" s="1"/>
  <c r="M31" i="38"/>
  <c r="M32" i="38" s="1"/>
  <c r="L31" i="38"/>
  <c r="L32" i="38" s="1"/>
  <c r="K31" i="38"/>
  <c r="K32" i="38" s="1"/>
  <c r="J31" i="38"/>
  <c r="J32" i="38" s="1"/>
  <c r="I31" i="38"/>
  <c r="I32" i="38" s="1"/>
  <c r="H31" i="38"/>
  <c r="H32" i="38" s="1"/>
  <c r="G31" i="38"/>
  <c r="G32" i="38" s="1"/>
  <c r="F31" i="38"/>
  <c r="F32" i="38" s="1"/>
  <c r="E31" i="38"/>
  <c r="E32" i="38" s="1"/>
  <c r="D31" i="38"/>
  <c r="D32" i="38" s="1"/>
  <c r="O30" i="38"/>
  <c r="K30" i="38"/>
  <c r="G30" i="38"/>
  <c r="C30" i="38"/>
  <c r="O29" i="38"/>
  <c r="K29" i="38"/>
  <c r="G29" i="38"/>
  <c r="C29" i="38"/>
  <c r="O28" i="38"/>
  <c r="K28" i="38"/>
  <c r="G28" i="38"/>
  <c r="C28" i="38"/>
  <c r="O27" i="38"/>
  <c r="K27" i="38"/>
  <c r="G27" i="38"/>
  <c r="C27" i="38"/>
  <c r="O26" i="38"/>
  <c r="K26" i="38"/>
  <c r="G26" i="38"/>
  <c r="C26" i="38"/>
  <c r="O25" i="38"/>
  <c r="K25" i="38"/>
  <c r="G25" i="38"/>
  <c r="C25" i="38"/>
  <c r="O24" i="38"/>
  <c r="K24" i="38"/>
  <c r="G24" i="38"/>
  <c r="C24" i="38"/>
  <c r="O23" i="38"/>
  <c r="K23" i="38"/>
  <c r="G23" i="38"/>
  <c r="C23" i="38"/>
  <c r="O22" i="38"/>
  <c r="K22" i="38"/>
  <c r="G22" i="38"/>
  <c r="C22" i="38"/>
  <c r="O21" i="38"/>
  <c r="K21" i="38"/>
  <c r="G21" i="38"/>
  <c r="C21" i="38"/>
  <c r="O20" i="38"/>
  <c r="K20" i="38"/>
  <c r="G20" i="38"/>
  <c r="C20" i="38"/>
  <c r="O19" i="38"/>
  <c r="K19" i="38"/>
  <c r="G19" i="38"/>
  <c r="C19" i="38"/>
  <c r="O18" i="38"/>
  <c r="K18" i="38"/>
  <c r="G18" i="38"/>
  <c r="C18" i="38"/>
  <c r="O17" i="38"/>
  <c r="K17" i="38"/>
  <c r="G17" i="38"/>
  <c r="C17" i="38"/>
  <c r="O16" i="38"/>
  <c r="K16" i="38"/>
  <c r="G16" i="38"/>
  <c r="C16" i="38"/>
  <c r="O15" i="38"/>
  <c r="K15" i="38"/>
  <c r="G15" i="38"/>
  <c r="C15" i="38"/>
  <c r="O14" i="38"/>
  <c r="K14" i="38"/>
  <c r="G14" i="38"/>
  <c r="C14" i="38"/>
  <c r="O13" i="38"/>
  <c r="K13" i="38"/>
  <c r="G13" i="38"/>
  <c r="C13" i="38"/>
  <c r="C31" i="38" s="1"/>
  <c r="O12" i="38"/>
  <c r="K12" i="38"/>
  <c r="G12" i="38"/>
  <c r="C12" i="38"/>
  <c r="O11" i="38"/>
  <c r="K11" i="38"/>
  <c r="G11" i="38"/>
  <c r="C11" i="38"/>
  <c r="O10" i="38"/>
  <c r="K10" i="38"/>
  <c r="G10" i="38"/>
  <c r="C10" i="38"/>
  <c r="O9" i="38"/>
  <c r="K9" i="38"/>
  <c r="G9" i="38"/>
  <c r="C9" i="38"/>
  <c r="O8" i="38"/>
  <c r="K8" i="38"/>
  <c r="G8" i="38"/>
  <c r="C8" i="38"/>
  <c r="O7" i="38"/>
  <c r="K7" i="38"/>
  <c r="G7" i="38"/>
  <c r="C7" i="38"/>
  <c r="C33" i="38" s="1"/>
  <c r="C32" i="38" s="1"/>
  <c r="Q31" i="37"/>
  <c r="P31" i="37"/>
  <c r="O31" i="37"/>
  <c r="N31" i="37"/>
  <c r="M31" i="37"/>
  <c r="L31" i="37"/>
  <c r="K31" i="37"/>
  <c r="J31" i="37"/>
  <c r="I31" i="37"/>
  <c r="H31" i="37"/>
  <c r="G31" i="37"/>
  <c r="F31" i="37"/>
  <c r="E31" i="37"/>
  <c r="D31" i="37"/>
  <c r="C31" i="37"/>
  <c r="N30" i="37"/>
  <c r="J30" i="37"/>
  <c r="F30" i="37"/>
  <c r="B30" i="37"/>
  <c r="N29" i="37"/>
  <c r="J29" i="37"/>
  <c r="F29" i="37"/>
  <c r="B29" i="37"/>
  <c r="N28" i="37"/>
  <c r="J28" i="37"/>
  <c r="F28" i="37"/>
  <c r="B28" i="37"/>
  <c r="N27" i="37"/>
  <c r="J27" i="37"/>
  <c r="F27" i="37"/>
  <c r="B27" i="37"/>
  <c r="N26" i="37"/>
  <c r="J26" i="37"/>
  <c r="F26" i="37"/>
  <c r="B26" i="37"/>
  <c r="N25" i="37"/>
  <c r="J25" i="37"/>
  <c r="F25" i="37"/>
  <c r="B25" i="37"/>
  <c r="N24" i="37"/>
  <c r="J24" i="37"/>
  <c r="F24" i="37"/>
  <c r="B24" i="37"/>
  <c r="N23" i="37"/>
  <c r="J23" i="37"/>
  <c r="F23" i="37"/>
  <c r="B23" i="37"/>
  <c r="N22" i="37"/>
  <c r="J22" i="37"/>
  <c r="F22" i="37"/>
  <c r="B22" i="37"/>
  <c r="N21" i="37"/>
  <c r="J21" i="37"/>
  <c r="F21" i="37"/>
  <c r="B21" i="37"/>
  <c r="N20" i="37"/>
  <c r="J20" i="37"/>
  <c r="F20" i="37"/>
  <c r="B20" i="37"/>
  <c r="N19" i="37"/>
  <c r="J19" i="37"/>
  <c r="F19" i="37"/>
  <c r="B19" i="37"/>
  <c r="N18" i="37"/>
  <c r="J18" i="37"/>
  <c r="F18" i="37"/>
  <c r="B18" i="37"/>
  <c r="N17" i="37"/>
  <c r="J17" i="37"/>
  <c r="F17" i="37"/>
  <c r="B17" i="37"/>
  <c r="N16" i="37"/>
  <c r="J16" i="37"/>
  <c r="F16" i="37"/>
  <c r="B16" i="37"/>
  <c r="N15" i="37"/>
  <c r="J15" i="37"/>
  <c r="F15" i="37"/>
  <c r="B15" i="37"/>
  <c r="N14" i="37"/>
  <c r="J14" i="37"/>
  <c r="F14" i="37"/>
  <c r="B14" i="37"/>
  <c r="N13" i="37"/>
  <c r="J13" i="37"/>
  <c r="F13" i="37"/>
  <c r="B13" i="37"/>
  <c r="N12" i="37"/>
  <c r="J12" i="37"/>
  <c r="F12" i="37"/>
  <c r="B12" i="37"/>
  <c r="N11" i="37"/>
  <c r="J11" i="37"/>
  <c r="F11" i="37"/>
  <c r="B11" i="37"/>
  <c r="N10" i="37"/>
  <c r="J10" i="37"/>
  <c r="F10" i="37"/>
  <c r="B10" i="37"/>
  <c r="N9" i="37"/>
  <c r="J9" i="37"/>
  <c r="F9" i="37"/>
  <c r="B9" i="37"/>
  <c r="N8" i="37"/>
  <c r="J8" i="37"/>
  <c r="F8" i="37"/>
  <c r="B8" i="37"/>
  <c r="N7" i="37"/>
  <c r="J7" i="37"/>
  <c r="F7" i="37"/>
  <c r="B7" i="37"/>
  <c r="B31" i="37" s="1"/>
  <c r="G4" i="36"/>
  <c r="F4" i="36"/>
  <c r="E4" i="36"/>
  <c r="D4" i="36"/>
  <c r="O20" i="33" l="1"/>
  <c r="O19" i="33"/>
  <c r="O18" i="33"/>
  <c r="O17" i="33"/>
  <c r="O11" i="33"/>
  <c r="N11" i="33"/>
  <c r="M11" i="33"/>
  <c r="L11" i="33"/>
  <c r="K11" i="33"/>
  <c r="J11" i="33"/>
  <c r="I11" i="33"/>
  <c r="H11" i="33"/>
  <c r="G11" i="33"/>
  <c r="F11" i="33"/>
  <c r="E11" i="33"/>
  <c r="D11" i="33"/>
  <c r="C11" i="33"/>
  <c r="R33" i="32"/>
  <c r="Q33" i="32"/>
  <c r="P33" i="32"/>
  <c r="N33" i="32"/>
  <c r="M33" i="32"/>
  <c r="L33" i="32"/>
  <c r="K33" i="32"/>
  <c r="F33" i="32"/>
  <c r="E33" i="32"/>
  <c r="D33" i="32"/>
  <c r="D32" i="32" s="1"/>
  <c r="P32" i="32"/>
  <c r="L32" i="32"/>
  <c r="E32" i="32"/>
  <c r="R31" i="32"/>
  <c r="R32" i="32" s="1"/>
  <c r="Q31" i="32"/>
  <c r="Q32" i="32" s="1"/>
  <c r="P31" i="32"/>
  <c r="N31" i="32"/>
  <c r="N32" i="32" s="1"/>
  <c r="M31" i="32"/>
  <c r="M32" i="32" s="1"/>
  <c r="L31" i="32"/>
  <c r="F31" i="32"/>
  <c r="F32" i="32" s="1"/>
  <c r="E31" i="32"/>
  <c r="D31" i="32"/>
  <c r="O30" i="32"/>
  <c r="K30" i="32"/>
  <c r="G30" i="32"/>
  <c r="C30" i="32"/>
  <c r="O29" i="32"/>
  <c r="K29" i="32"/>
  <c r="G29" i="32"/>
  <c r="C29" i="32"/>
  <c r="O28" i="32"/>
  <c r="K28" i="32"/>
  <c r="G28" i="32"/>
  <c r="C28" i="32"/>
  <c r="O27" i="32"/>
  <c r="K27" i="32"/>
  <c r="G27" i="32"/>
  <c r="C27" i="32"/>
  <c r="O26" i="32"/>
  <c r="K26" i="32"/>
  <c r="G26" i="32"/>
  <c r="C26" i="32"/>
  <c r="O25" i="32"/>
  <c r="K25" i="32"/>
  <c r="G25" i="32"/>
  <c r="C25" i="32"/>
  <c r="O24" i="32"/>
  <c r="K24" i="32"/>
  <c r="G24" i="32"/>
  <c r="C24" i="32"/>
  <c r="O23" i="32"/>
  <c r="K23" i="32"/>
  <c r="G23" i="32"/>
  <c r="C23" i="32"/>
  <c r="O22" i="32"/>
  <c r="K22" i="32"/>
  <c r="G22" i="32"/>
  <c r="C22" i="32"/>
  <c r="O21" i="32"/>
  <c r="K21" i="32"/>
  <c r="G21" i="32"/>
  <c r="C21" i="32"/>
  <c r="O20" i="32"/>
  <c r="K20" i="32"/>
  <c r="G20" i="32"/>
  <c r="C20" i="32"/>
  <c r="O19" i="32"/>
  <c r="K19" i="32"/>
  <c r="G19" i="32"/>
  <c r="C19" i="32"/>
  <c r="O18" i="32"/>
  <c r="K18" i="32"/>
  <c r="G18" i="32"/>
  <c r="C18" i="32"/>
  <c r="O17" i="32"/>
  <c r="K17" i="32"/>
  <c r="G17" i="32"/>
  <c r="C17" i="32"/>
  <c r="O16" i="32"/>
  <c r="K16" i="32"/>
  <c r="G16" i="32"/>
  <c r="C16" i="32"/>
  <c r="O15" i="32"/>
  <c r="K15" i="32"/>
  <c r="G15" i="32"/>
  <c r="C15" i="32"/>
  <c r="O14" i="32"/>
  <c r="K14" i="32"/>
  <c r="G14" i="32"/>
  <c r="C14" i="32"/>
  <c r="O13" i="32"/>
  <c r="O31" i="32" s="1"/>
  <c r="K13" i="32"/>
  <c r="K31" i="32" s="1"/>
  <c r="G13" i="32"/>
  <c r="G31" i="32" s="1"/>
  <c r="C13" i="32"/>
  <c r="C31" i="32" s="1"/>
  <c r="O12" i="32"/>
  <c r="K12" i="32"/>
  <c r="G12" i="32"/>
  <c r="C12" i="32"/>
  <c r="O11" i="32"/>
  <c r="K11" i="32"/>
  <c r="G11" i="32"/>
  <c r="C11" i="32"/>
  <c r="O10" i="32"/>
  <c r="K10" i="32"/>
  <c r="G10" i="32"/>
  <c r="C10" i="32"/>
  <c r="O9" i="32"/>
  <c r="K9" i="32"/>
  <c r="G9" i="32"/>
  <c r="C9" i="32"/>
  <c r="O8" i="32"/>
  <c r="K8" i="32"/>
  <c r="G8" i="32"/>
  <c r="C8" i="32"/>
  <c r="O7" i="32"/>
  <c r="O33" i="32" s="1"/>
  <c r="O32" i="32" s="1"/>
  <c r="K7" i="32"/>
  <c r="G7" i="32"/>
  <c r="G33" i="32" s="1"/>
  <c r="G32" i="32" s="1"/>
  <c r="C7" i="32"/>
  <c r="C33" i="32" s="1"/>
  <c r="C32" i="32" s="1"/>
  <c r="Q31" i="31"/>
  <c r="P31" i="31"/>
  <c r="O31" i="31"/>
  <c r="N31" i="31"/>
  <c r="M31" i="31"/>
  <c r="L31" i="31"/>
  <c r="K31" i="31"/>
  <c r="J31" i="31"/>
  <c r="I31" i="31"/>
  <c r="H31" i="31"/>
  <c r="G31" i="31"/>
  <c r="F31" i="31"/>
  <c r="E31" i="31"/>
  <c r="D31" i="31"/>
  <c r="C31" i="31"/>
  <c r="N30" i="31"/>
  <c r="J30" i="31"/>
  <c r="F30" i="31"/>
  <c r="B30" i="31"/>
  <c r="N29" i="31"/>
  <c r="J29" i="31"/>
  <c r="F29" i="31"/>
  <c r="B29" i="31"/>
  <c r="N28" i="31"/>
  <c r="J28" i="31"/>
  <c r="F28" i="31"/>
  <c r="B28" i="31"/>
  <c r="N27" i="31"/>
  <c r="J27" i="31"/>
  <c r="F27" i="31"/>
  <c r="B27" i="31"/>
  <c r="N26" i="31"/>
  <c r="J26" i="31"/>
  <c r="F26" i="31"/>
  <c r="B26" i="31"/>
  <c r="N25" i="31"/>
  <c r="J25" i="31"/>
  <c r="F25" i="31"/>
  <c r="B25" i="31"/>
  <c r="N24" i="31"/>
  <c r="J24" i="31"/>
  <c r="F24" i="31"/>
  <c r="B24" i="31"/>
  <c r="N23" i="31"/>
  <c r="J23" i="31"/>
  <c r="F23" i="31"/>
  <c r="B23" i="31"/>
  <c r="N22" i="31"/>
  <c r="J22" i="31"/>
  <c r="F22" i="31"/>
  <c r="B22" i="31"/>
  <c r="N21" i="31"/>
  <c r="J21" i="31"/>
  <c r="F21" i="31"/>
  <c r="B21" i="31"/>
  <c r="N20" i="31"/>
  <c r="J20" i="31"/>
  <c r="F20" i="31"/>
  <c r="B20" i="31"/>
  <c r="N19" i="31"/>
  <c r="J19" i="31"/>
  <c r="F19" i="31"/>
  <c r="B19" i="31"/>
  <c r="N18" i="31"/>
  <c r="J18" i="31"/>
  <c r="F18" i="31"/>
  <c r="B18" i="31"/>
  <c r="N17" i="31"/>
  <c r="J17" i="31"/>
  <c r="F17" i="31"/>
  <c r="B17" i="31"/>
  <c r="N16" i="31"/>
  <c r="J16" i="31"/>
  <c r="F16" i="31"/>
  <c r="B16" i="31"/>
  <c r="N15" i="31"/>
  <c r="J15" i="31"/>
  <c r="F15" i="31"/>
  <c r="B15" i="31"/>
  <c r="N14" i="31"/>
  <c r="J14" i="31"/>
  <c r="F14" i="31"/>
  <c r="B14" i="31"/>
  <c r="N13" i="31"/>
  <c r="J13" i="31"/>
  <c r="F13" i="31"/>
  <c r="B13" i="31"/>
  <c r="N12" i="31"/>
  <c r="J12" i="31"/>
  <c r="F12" i="31"/>
  <c r="B12" i="31"/>
  <c r="N11" i="31"/>
  <c r="J11" i="31"/>
  <c r="F11" i="31"/>
  <c r="B11" i="31"/>
  <c r="N10" i="31"/>
  <c r="J10" i="31"/>
  <c r="F10" i="31"/>
  <c r="B10" i="31"/>
  <c r="N9" i="31"/>
  <c r="J9" i="31"/>
  <c r="F9" i="31"/>
  <c r="B9" i="31"/>
  <c r="N8" i="31"/>
  <c r="J8" i="31"/>
  <c r="F8" i="31"/>
  <c r="B8" i="31"/>
  <c r="N7" i="31"/>
  <c r="J7" i="31"/>
  <c r="F7" i="31"/>
  <c r="B7" i="31"/>
  <c r="B31" i="31" s="1"/>
  <c r="O7" i="30"/>
  <c r="O6" i="30"/>
  <c r="O5" i="30"/>
  <c r="O4" i="30"/>
  <c r="N18" i="29"/>
  <c r="L18" i="29"/>
  <c r="J18" i="29"/>
  <c r="H18" i="29"/>
  <c r="O11" i="29"/>
  <c r="N11" i="29"/>
  <c r="M11" i="29"/>
  <c r="L11" i="29"/>
  <c r="K11" i="29"/>
  <c r="J11" i="29"/>
  <c r="I11" i="29"/>
  <c r="H11" i="29"/>
  <c r="G11" i="29"/>
  <c r="F11" i="29"/>
  <c r="E11" i="29"/>
  <c r="D11" i="29"/>
  <c r="C11" i="29"/>
  <c r="G28" i="28"/>
  <c r="F28" i="28"/>
  <c r="E28" i="28"/>
  <c r="D28" i="28"/>
  <c r="S31" i="27"/>
  <c r="R31" i="27"/>
  <c r="Q31" i="27"/>
  <c r="P31" i="27"/>
  <c r="O31" i="27"/>
  <c r="N31" i="27"/>
  <c r="M31" i="27"/>
  <c r="L31" i="27"/>
  <c r="K31" i="27"/>
  <c r="J31" i="27"/>
  <c r="I31" i="27"/>
  <c r="H31" i="27"/>
  <c r="G31" i="27"/>
  <c r="F31" i="27"/>
  <c r="E31" i="27"/>
  <c r="D31" i="27"/>
  <c r="D30" i="27"/>
  <c r="C30" i="27"/>
  <c r="B30" i="27"/>
  <c r="D29" i="27"/>
  <c r="C29" i="27"/>
  <c r="B29" i="27"/>
  <c r="D28" i="27"/>
  <c r="C28" i="27"/>
  <c r="B28" i="27"/>
  <c r="D27" i="27"/>
  <c r="C27" i="27"/>
  <c r="B27" i="27"/>
  <c r="D26" i="27"/>
  <c r="C26" i="27"/>
  <c r="B26" i="27"/>
  <c r="D25" i="27"/>
  <c r="C25" i="27"/>
  <c r="B25" i="27"/>
  <c r="D24" i="27"/>
  <c r="C24" i="27"/>
  <c r="B24" i="27"/>
  <c r="D23" i="27"/>
  <c r="C23" i="27"/>
  <c r="B23" i="27"/>
  <c r="D22" i="27"/>
  <c r="C22" i="27"/>
  <c r="B22" i="27"/>
  <c r="D21" i="27"/>
  <c r="C21" i="27"/>
  <c r="B21" i="27"/>
  <c r="D20" i="27"/>
  <c r="C20" i="27"/>
  <c r="B20" i="27"/>
  <c r="D19" i="27"/>
  <c r="C19" i="27"/>
  <c r="B19" i="27"/>
  <c r="D18" i="27"/>
  <c r="C18" i="27"/>
  <c r="B18" i="27"/>
  <c r="D17" i="27"/>
  <c r="C17" i="27"/>
  <c r="B17" i="27"/>
  <c r="D16" i="27"/>
  <c r="C16" i="27"/>
  <c r="B16" i="27"/>
  <c r="D15" i="27"/>
  <c r="C15" i="27"/>
  <c r="B15" i="27"/>
  <c r="D14" i="27"/>
  <c r="C14" i="27"/>
  <c r="B14" i="27"/>
  <c r="D13" i="27"/>
  <c r="C13" i="27"/>
  <c r="B13" i="27"/>
  <c r="D12" i="27"/>
  <c r="C12" i="27"/>
  <c r="B12" i="27"/>
  <c r="D11" i="27"/>
  <c r="C11" i="27"/>
  <c r="B11" i="27"/>
  <c r="D10" i="27"/>
  <c r="C10" i="27"/>
  <c r="B10" i="27"/>
  <c r="D9" i="27"/>
  <c r="C9" i="27"/>
  <c r="B9" i="27"/>
  <c r="D8" i="27"/>
  <c r="C8" i="27"/>
  <c r="B8" i="27"/>
  <c r="D7" i="27"/>
  <c r="C7" i="27"/>
  <c r="C31" i="27" s="1"/>
  <c r="B7" i="27"/>
  <c r="B31" i="27" s="1"/>
  <c r="P37" i="26"/>
  <c r="P36" i="26"/>
  <c r="P35" i="26"/>
  <c r="O34" i="26"/>
  <c r="N34" i="26"/>
  <c r="M34" i="26"/>
  <c r="L34" i="26"/>
  <c r="K34" i="26"/>
  <c r="J34" i="26"/>
  <c r="I34" i="26"/>
  <c r="H34" i="26"/>
  <c r="G34" i="26"/>
  <c r="F34" i="26"/>
  <c r="E34" i="26"/>
  <c r="D34" i="26"/>
  <c r="P34" i="26" s="1"/>
  <c r="O33" i="26"/>
  <c r="N33" i="26"/>
  <c r="M33" i="26"/>
  <c r="L33" i="26"/>
  <c r="K33" i="26"/>
  <c r="J33" i="26"/>
  <c r="I33" i="26"/>
  <c r="H33" i="26"/>
  <c r="G33" i="26"/>
  <c r="F33" i="26"/>
  <c r="E33" i="26"/>
  <c r="D33" i="26"/>
  <c r="P33" i="26" s="1"/>
  <c r="O32" i="26"/>
  <c r="N32" i="26"/>
  <c r="M32" i="26"/>
  <c r="L32" i="26"/>
  <c r="K32" i="26"/>
  <c r="J32" i="26"/>
  <c r="I32" i="26"/>
  <c r="H32" i="26"/>
  <c r="G32" i="26"/>
  <c r="F32" i="26"/>
  <c r="E32" i="26"/>
  <c r="D32" i="26"/>
  <c r="P32" i="26" s="1"/>
  <c r="P31" i="26"/>
  <c r="P30" i="26"/>
  <c r="P29" i="26"/>
  <c r="P28" i="26"/>
  <c r="P27" i="26"/>
  <c r="P26" i="26"/>
  <c r="P25" i="26"/>
  <c r="P24" i="26"/>
  <c r="P23" i="26"/>
  <c r="P22" i="26"/>
  <c r="P21" i="26"/>
  <c r="P20" i="26"/>
  <c r="P19" i="26"/>
  <c r="P18" i="26"/>
  <c r="P17" i="26"/>
  <c r="P16" i="26"/>
  <c r="P15" i="26"/>
  <c r="P14" i="26"/>
  <c r="P13" i="26"/>
  <c r="P12" i="26"/>
  <c r="P11" i="26"/>
  <c r="P10" i="26"/>
  <c r="P9" i="26"/>
  <c r="P8" i="26"/>
  <c r="P7" i="26"/>
  <c r="P6" i="26"/>
  <c r="P5" i="26"/>
  <c r="L24" i="25"/>
  <c r="K24" i="25"/>
  <c r="J24" i="25"/>
  <c r="I24" i="25"/>
  <c r="H24" i="25"/>
  <c r="G24" i="25"/>
  <c r="F24" i="25"/>
  <c r="E24" i="25"/>
  <c r="D24" i="25"/>
  <c r="C24" i="25"/>
  <c r="L11" i="25"/>
  <c r="K11" i="25"/>
  <c r="J11" i="25"/>
  <c r="I11" i="25"/>
  <c r="H11" i="25"/>
  <c r="G11" i="25"/>
  <c r="F11" i="25"/>
  <c r="E11" i="25"/>
  <c r="D11" i="25"/>
  <c r="C11" i="25"/>
  <c r="AB7" i="25"/>
  <c r="X6" i="25"/>
  <c r="Q6" i="25"/>
  <c r="P6" i="25"/>
  <c r="G29" i="24"/>
  <c r="F29" i="24"/>
  <c r="E29" i="24"/>
  <c r="D29" i="24"/>
  <c r="S31" i="23"/>
  <c r="R31" i="23"/>
  <c r="Q31" i="23"/>
  <c r="P31" i="23"/>
  <c r="O31" i="23"/>
  <c r="N31" i="23"/>
  <c r="M31" i="23"/>
  <c r="L31" i="23"/>
  <c r="K31" i="23"/>
  <c r="J31" i="23"/>
  <c r="I31" i="23"/>
  <c r="H31" i="23"/>
  <c r="G31" i="23"/>
  <c r="F31" i="23"/>
  <c r="E31" i="23"/>
  <c r="D30" i="23"/>
  <c r="C30" i="23"/>
  <c r="B30" i="23"/>
  <c r="D29" i="23"/>
  <c r="C29" i="23"/>
  <c r="B29" i="23"/>
  <c r="D28" i="23"/>
  <c r="C28" i="23"/>
  <c r="B28" i="23"/>
  <c r="D27" i="23"/>
  <c r="C27" i="23"/>
  <c r="B27" i="23"/>
  <c r="D26" i="23"/>
  <c r="C26" i="23"/>
  <c r="B26" i="23"/>
  <c r="D25" i="23"/>
  <c r="C25" i="23"/>
  <c r="B25" i="23"/>
  <c r="D24" i="23"/>
  <c r="C24" i="23"/>
  <c r="B24" i="23"/>
  <c r="D23" i="23"/>
  <c r="C23" i="23"/>
  <c r="B23" i="23"/>
  <c r="D22" i="23"/>
  <c r="C22" i="23"/>
  <c r="B22" i="23"/>
  <c r="D21" i="23"/>
  <c r="C21" i="23"/>
  <c r="B21" i="23"/>
  <c r="D20" i="23"/>
  <c r="C20" i="23"/>
  <c r="B20" i="23"/>
  <c r="D19" i="23"/>
  <c r="C19" i="23"/>
  <c r="B19" i="23"/>
  <c r="D18" i="23"/>
  <c r="C18" i="23"/>
  <c r="B18" i="23"/>
  <c r="D17" i="23"/>
  <c r="C17" i="23"/>
  <c r="B17" i="23"/>
  <c r="D16" i="23"/>
  <c r="C16" i="23"/>
  <c r="B16" i="23"/>
  <c r="D15" i="23"/>
  <c r="C15" i="23"/>
  <c r="B15" i="23"/>
  <c r="D14" i="23"/>
  <c r="C14" i="23"/>
  <c r="B14" i="23"/>
  <c r="D13" i="23"/>
  <c r="C13" i="23"/>
  <c r="B13" i="23"/>
  <c r="D12" i="23"/>
  <c r="C12" i="23"/>
  <c r="B12" i="23"/>
  <c r="D11" i="23"/>
  <c r="C11" i="23"/>
  <c r="B11" i="23"/>
  <c r="D10" i="23"/>
  <c r="C10" i="23"/>
  <c r="B10" i="23"/>
  <c r="D9" i="23"/>
  <c r="B9" i="23"/>
  <c r="D8" i="23"/>
  <c r="C8" i="23"/>
  <c r="B8" i="23"/>
  <c r="D7" i="23"/>
  <c r="D31" i="23" s="1"/>
  <c r="C7" i="23"/>
  <c r="C31" i="23" s="1"/>
  <c r="B7" i="23"/>
  <c r="B31" i="23" s="1"/>
  <c r="P55" i="22"/>
  <c r="P54" i="22"/>
  <c r="P53" i="22"/>
  <c r="O52" i="22"/>
  <c r="N52" i="22"/>
  <c r="M52" i="22"/>
  <c r="L52" i="22"/>
  <c r="K52" i="22"/>
  <c r="J52" i="22"/>
  <c r="I52" i="22"/>
  <c r="H52" i="22"/>
  <c r="G52" i="22"/>
  <c r="F52" i="22"/>
  <c r="E52" i="22"/>
  <c r="D52" i="22"/>
  <c r="P52" i="22" s="1"/>
  <c r="O51" i="22"/>
  <c r="N51" i="22"/>
  <c r="M51" i="22"/>
  <c r="L51" i="22"/>
  <c r="K51" i="22"/>
  <c r="J51" i="22"/>
  <c r="I51" i="22"/>
  <c r="H51" i="22"/>
  <c r="G51" i="22"/>
  <c r="F51" i="22"/>
  <c r="E51" i="22"/>
  <c r="D51" i="22"/>
  <c r="P51" i="22" s="1"/>
  <c r="O50" i="22"/>
  <c r="N50" i="22"/>
  <c r="M50" i="22"/>
  <c r="L50" i="22"/>
  <c r="K50" i="22"/>
  <c r="J50" i="22"/>
  <c r="I50" i="22"/>
  <c r="H50" i="22"/>
  <c r="G50" i="22"/>
  <c r="F50" i="22"/>
  <c r="E50" i="22"/>
  <c r="D50" i="22"/>
  <c r="P50" i="22" s="1"/>
  <c r="P49" i="22"/>
  <c r="P48" i="22"/>
  <c r="P47" i="22"/>
  <c r="P46" i="22"/>
  <c r="P45" i="22"/>
  <c r="P44" i="22"/>
  <c r="P43" i="22"/>
  <c r="P42" i="22"/>
  <c r="P41" i="22"/>
  <c r="P40" i="22"/>
  <c r="P39" i="22"/>
  <c r="P38" i="22"/>
  <c r="P37" i="22"/>
  <c r="P36" i="22"/>
  <c r="P35" i="22"/>
  <c r="P34" i="22"/>
  <c r="P33" i="22"/>
  <c r="P32" i="22"/>
  <c r="P31" i="22"/>
  <c r="P30" i="22"/>
  <c r="P29" i="22"/>
  <c r="P28" i="22"/>
  <c r="P27" i="22"/>
  <c r="P26" i="22"/>
  <c r="P25" i="22"/>
  <c r="P24" i="22"/>
  <c r="P23" i="22"/>
  <c r="P22" i="22"/>
  <c r="P21" i="22"/>
  <c r="P20" i="22"/>
  <c r="P19" i="22"/>
  <c r="P18" i="22"/>
  <c r="P17" i="22"/>
  <c r="P16" i="22"/>
  <c r="P15" i="22"/>
  <c r="P14" i="22"/>
  <c r="P13" i="22"/>
  <c r="P12" i="22"/>
  <c r="P11" i="22"/>
  <c r="P10" i="22"/>
  <c r="P9" i="22"/>
  <c r="P8" i="22"/>
  <c r="P7" i="22"/>
  <c r="P6" i="22"/>
  <c r="P5" i="22"/>
  <c r="AD26" i="21"/>
  <c r="AR21" i="21"/>
  <c r="AQ20" i="21"/>
  <c r="AP20" i="21"/>
  <c r="AO20" i="21"/>
  <c r="AN20" i="21"/>
  <c r="AM20" i="21"/>
  <c r="AL20" i="21"/>
  <c r="AK20" i="21"/>
  <c r="AJ20" i="21"/>
  <c r="AI20" i="21"/>
  <c r="AH20" i="21"/>
  <c r="AG20" i="21"/>
  <c r="AF20" i="21"/>
  <c r="AR20" i="21" s="1"/>
  <c r="AC20" i="21"/>
  <c r="AB20" i="21"/>
  <c r="AA20" i="21"/>
  <c r="Z20" i="21"/>
  <c r="Y20" i="21"/>
  <c r="X20" i="21"/>
  <c r="W20" i="21"/>
  <c r="V20" i="21"/>
  <c r="U20" i="21"/>
  <c r="T20" i="21"/>
  <c r="S20" i="21"/>
  <c r="R20" i="21"/>
  <c r="AQ19" i="21"/>
  <c r="AP19" i="21"/>
  <c r="AO19" i="21"/>
  <c r="AN19" i="21"/>
  <c r="AM19" i="21"/>
  <c r="AL19" i="21"/>
  <c r="AK19" i="21"/>
  <c r="AJ19" i="21"/>
  <c r="AI19" i="21"/>
  <c r="AH19" i="21"/>
  <c r="AG19" i="21"/>
  <c r="AF19" i="21"/>
  <c r="AR19" i="21" s="1"/>
  <c r="AC19" i="21"/>
  <c r="AB19" i="21"/>
  <c r="AA19" i="21"/>
  <c r="Z19" i="21"/>
  <c r="Y19" i="21"/>
  <c r="X19" i="21"/>
  <c r="W19" i="21"/>
  <c r="V19" i="21"/>
  <c r="U19" i="21"/>
  <c r="T19" i="21"/>
  <c r="S19" i="21"/>
  <c r="R19" i="21"/>
  <c r="AQ18" i="21"/>
  <c r="AP18" i="21"/>
  <c r="AO18" i="21"/>
  <c r="AN18" i="21"/>
  <c r="AM18" i="21"/>
  <c r="AL18" i="21"/>
  <c r="AK18" i="21"/>
  <c r="AJ18" i="21"/>
  <c r="AI18" i="21"/>
  <c r="AH18" i="21"/>
  <c r="AG18" i="21"/>
  <c r="AF18" i="21"/>
  <c r="AR18" i="21" s="1"/>
  <c r="AC18" i="21"/>
  <c r="AB18" i="21"/>
  <c r="AA18" i="21"/>
  <c r="Z18" i="21"/>
  <c r="Y18" i="21"/>
  <c r="X18" i="21"/>
  <c r="W18" i="21"/>
  <c r="V18" i="21"/>
  <c r="U18" i="21"/>
  <c r="T18" i="21"/>
  <c r="S18" i="21"/>
  <c r="R18" i="21"/>
  <c r="AQ17" i="21"/>
  <c r="AP17" i="21"/>
  <c r="AO17" i="21"/>
  <c r="AN17" i="21"/>
  <c r="AM17" i="21"/>
  <c r="AL17" i="21"/>
  <c r="AK17" i="21"/>
  <c r="AJ17" i="21"/>
  <c r="AI17" i="21"/>
  <c r="AH17" i="21"/>
  <c r="AG17" i="21"/>
  <c r="AF17" i="21"/>
  <c r="AR17" i="21" s="1"/>
  <c r="AC17" i="21"/>
  <c r="AB17" i="21"/>
  <c r="AA17" i="21"/>
  <c r="Z17" i="21"/>
  <c r="Y17" i="21"/>
  <c r="X17" i="21"/>
  <c r="W17" i="21"/>
  <c r="V17" i="21"/>
  <c r="U17" i="21"/>
  <c r="T17" i="21"/>
  <c r="S17" i="21"/>
  <c r="R17" i="21"/>
  <c r="AQ16" i="21"/>
  <c r="AP16" i="21"/>
  <c r="AO16" i="21"/>
  <c r="AN16" i="21"/>
  <c r="AM16" i="21"/>
  <c r="AL16" i="21"/>
  <c r="AK16" i="21"/>
  <c r="AJ16" i="21"/>
  <c r="AI16" i="21"/>
  <c r="AH16" i="21"/>
  <c r="AG16" i="21"/>
  <c r="AF16" i="21"/>
  <c r="AR16" i="21" s="1"/>
  <c r="AC16" i="21"/>
  <c r="AB16" i="21"/>
  <c r="AA16" i="21"/>
  <c r="Z16" i="21"/>
  <c r="Y16" i="21"/>
  <c r="X16" i="21"/>
  <c r="W16" i="21"/>
  <c r="V16" i="21"/>
  <c r="U16" i="21"/>
  <c r="T16" i="21"/>
  <c r="S16" i="21"/>
  <c r="R16" i="21"/>
  <c r="AQ15" i="21"/>
  <c r="AP15" i="21"/>
  <c r="AO15" i="21"/>
  <c r="AN15" i="21"/>
  <c r="AM15" i="21"/>
  <c r="AL15" i="21"/>
  <c r="AK15" i="21"/>
  <c r="AJ15" i="21"/>
  <c r="AI15" i="21"/>
  <c r="AH15" i="21"/>
  <c r="AG15" i="21"/>
  <c r="AF15" i="21"/>
  <c r="AR15" i="21" s="1"/>
  <c r="AC15" i="21"/>
  <c r="AB15" i="21"/>
  <c r="AA15" i="21"/>
  <c r="Z15" i="21"/>
  <c r="Y15" i="21"/>
  <c r="X15" i="21"/>
  <c r="W15" i="21"/>
  <c r="V15" i="21"/>
  <c r="U15" i="21"/>
  <c r="T15" i="21"/>
  <c r="S15" i="21"/>
  <c r="R15" i="21"/>
  <c r="AQ14" i="21"/>
  <c r="AP14" i="21"/>
  <c r="AO14" i="21"/>
  <c r="AN14" i="21"/>
  <c r="AM14" i="21"/>
  <c r="AL14" i="21"/>
  <c r="AK14" i="21"/>
  <c r="AJ14" i="21"/>
  <c r="AI14" i="21"/>
  <c r="AH14" i="21"/>
  <c r="AG14" i="21"/>
  <c r="AF14" i="21"/>
  <c r="AR14" i="21" s="1"/>
  <c r="AC14" i="21"/>
  <c r="AB14" i="21"/>
  <c r="AA14" i="21"/>
  <c r="Z14" i="21"/>
  <c r="Y14" i="21"/>
  <c r="X14" i="21"/>
  <c r="W14" i="21"/>
  <c r="V14" i="21"/>
  <c r="U14" i="21"/>
  <c r="T14" i="21"/>
  <c r="S14" i="21"/>
  <c r="R14" i="21"/>
  <c r="AQ13" i="21"/>
  <c r="AP13" i="21"/>
  <c r="AO13" i="21"/>
  <c r="AN13" i="21"/>
  <c r="AM13" i="21"/>
  <c r="AL13" i="21"/>
  <c r="AK13" i="21"/>
  <c r="AJ13" i="21"/>
  <c r="AI13" i="21"/>
  <c r="AH13" i="21"/>
  <c r="AG13" i="21"/>
  <c r="AF13" i="21"/>
  <c r="AR13" i="21" s="1"/>
  <c r="AC13" i="21"/>
  <c r="AB13" i="21"/>
  <c r="AA13" i="21"/>
  <c r="Z13" i="21"/>
  <c r="Y13" i="21"/>
  <c r="X13" i="21"/>
  <c r="W13" i="21"/>
  <c r="V13" i="21"/>
  <c r="U13" i="21"/>
  <c r="T13" i="21"/>
  <c r="S13" i="21"/>
  <c r="R13" i="21"/>
  <c r="AQ12" i="21"/>
  <c r="AP12" i="21"/>
  <c r="AO12" i="21"/>
  <c r="AN12" i="21"/>
  <c r="AM12" i="21"/>
  <c r="AL12" i="21"/>
  <c r="AK12" i="21"/>
  <c r="AJ12" i="21"/>
  <c r="AI12" i="21"/>
  <c r="AH12" i="21"/>
  <c r="AG12" i="21"/>
  <c r="AF12" i="21"/>
  <c r="AR12" i="21" s="1"/>
  <c r="AC12" i="21"/>
  <c r="AB12" i="21"/>
  <c r="AA12" i="21"/>
  <c r="Z12" i="21"/>
  <c r="Y12" i="21"/>
  <c r="X12" i="21"/>
  <c r="W12" i="21"/>
  <c r="V12" i="21"/>
  <c r="U12" i="21"/>
  <c r="T12" i="21"/>
  <c r="S12" i="21"/>
  <c r="R12" i="21"/>
  <c r="AQ11" i="21"/>
  <c r="AP11" i="21"/>
  <c r="AO11" i="21"/>
  <c r="AN11" i="21"/>
  <c r="AM11" i="21"/>
  <c r="AL11" i="21"/>
  <c r="AK11" i="21"/>
  <c r="AJ11" i="21"/>
  <c r="AI11" i="21"/>
  <c r="AH11" i="21"/>
  <c r="AG11" i="21"/>
  <c r="AF11" i="21"/>
  <c r="AR11" i="21" s="1"/>
  <c r="AC11" i="21"/>
  <c r="AB11" i="21"/>
  <c r="AA11" i="21"/>
  <c r="Z11" i="21"/>
  <c r="Y11" i="21"/>
  <c r="X11" i="21"/>
  <c r="W11" i="21"/>
  <c r="V11" i="21"/>
  <c r="U11" i="21"/>
  <c r="T11" i="21"/>
  <c r="S11" i="21"/>
  <c r="R11" i="21"/>
  <c r="AQ10" i="21"/>
  <c r="AP10" i="21"/>
  <c r="AO10" i="21"/>
  <c r="AN10" i="21"/>
  <c r="AM10" i="21"/>
  <c r="AL10" i="21"/>
  <c r="AK10" i="21"/>
  <c r="AJ10" i="21"/>
  <c r="AI10" i="21"/>
  <c r="AH10" i="21"/>
  <c r="AG10" i="21"/>
  <c r="AF10" i="21"/>
  <c r="AR10" i="21" s="1"/>
  <c r="AC10" i="21"/>
  <c r="AB10" i="21"/>
  <c r="AA10" i="21"/>
  <c r="Z10" i="21"/>
  <c r="Y10" i="21"/>
  <c r="X10" i="21"/>
  <c r="W10" i="21"/>
  <c r="V10" i="21"/>
  <c r="U10" i="21"/>
  <c r="T10" i="21"/>
  <c r="S10" i="21"/>
  <c r="R10" i="21"/>
  <c r="N10" i="21"/>
  <c r="M10" i="21"/>
  <c r="L10" i="21"/>
  <c r="C10" i="21"/>
  <c r="AQ9" i="21"/>
  <c r="AP9" i="21"/>
  <c r="AO9" i="21"/>
  <c r="AN9" i="21"/>
  <c r="AM9" i="21"/>
  <c r="AL9" i="21"/>
  <c r="AK9" i="21"/>
  <c r="AJ9" i="21"/>
  <c r="AI9" i="21"/>
  <c r="AH9" i="21"/>
  <c r="AG9" i="21"/>
  <c r="AF9" i="21"/>
  <c r="AR9" i="21" s="1"/>
  <c r="AC9" i="21"/>
  <c r="AB9" i="21"/>
  <c r="AA9" i="21"/>
  <c r="Z9" i="21"/>
  <c r="Y9" i="21"/>
  <c r="X9" i="21"/>
  <c r="W9" i="21"/>
  <c r="V9" i="21"/>
  <c r="U9" i="21"/>
  <c r="T9" i="21"/>
  <c r="S9" i="21"/>
  <c r="R9" i="21"/>
  <c r="AQ8" i="21"/>
  <c r="AP8" i="21"/>
  <c r="AO8" i="21"/>
  <c r="AN8" i="21"/>
  <c r="AM8" i="21"/>
  <c r="AL8" i="21"/>
  <c r="AK8" i="21"/>
  <c r="AJ8" i="21"/>
  <c r="AI8" i="21"/>
  <c r="AH8" i="21"/>
  <c r="AG8" i="21"/>
  <c r="AF8" i="21"/>
  <c r="AR8" i="21" s="1"/>
  <c r="AC8" i="21"/>
  <c r="AB8" i="21"/>
  <c r="AA8" i="21"/>
  <c r="Z8" i="21"/>
  <c r="Y8" i="21"/>
  <c r="X8" i="21"/>
  <c r="W8" i="21"/>
  <c r="V8" i="21"/>
  <c r="U8" i="21"/>
  <c r="T8" i="21"/>
  <c r="S8" i="21"/>
  <c r="R8" i="21"/>
  <c r="AQ7" i="21"/>
  <c r="AP7" i="21"/>
  <c r="AO7" i="21"/>
  <c r="AN7" i="21"/>
  <c r="AM7" i="21"/>
  <c r="AL7" i="21"/>
  <c r="AK7" i="21"/>
  <c r="AJ7" i="21"/>
  <c r="AI7" i="21"/>
  <c r="AH7" i="21"/>
  <c r="AG7" i="21"/>
  <c r="AF7" i="21"/>
  <c r="AR7" i="21" s="1"/>
  <c r="AC7" i="21"/>
  <c r="AB7" i="21"/>
  <c r="AA7" i="21"/>
  <c r="Z7" i="21"/>
  <c r="Y7" i="21"/>
  <c r="Y21" i="21" s="1"/>
  <c r="X7" i="21"/>
  <c r="W7" i="21"/>
  <c r="V7" i="21"/>
  <c r="U7" i="21"/>
  <c r="T7" i="21"/>
  <c r="S7" i="21"/>
  <c r="R7" i="21"/>
  <c r="AQ6" i="21"/>
  <c r="AP21" i="21" s="1"/>
  <c r="AP6" i="21"/>
  <c r="AO21" i="21" s="1"/>
  <c r="AO6" i="21"/>
  <c r="AN21" i="21" s="1"/>
  <c r="AN6" i="21"/>
  <c r="AM21" i="21" s="1"/>
  <c r="AM6" i="21"/>
  <c r="AL21" i="21" s="1"/>
  <c r="AL6" i="21"/>
  <c r="AK21" i="21" s="1"/>
  <c r="AK6" i="21"/>
  <c r="AJ21" i="21" s="1"/>
  <c r="AJ6" i="21"/>
  <c r="AI21" i="21" s="1"/>
  <c r="AI6" i="21"/>
  <c r="AH21" i="21" s="1"/>
  <c r="AH6" i="21"/>
  <c r="AG21" i="21" s="1"/>
  <c r="AG6" i="21"/>
  <c r="AF21" i="21" s="1"/>
  <c r="AF6" i="21"/>
  <c r="AR6" i="21" s="1"/>
  <c r="AQ21" i="21" s="1"/>
  <c r="AC6" i="21"/>
  <c r="AB6" i="21"/>
  <c r="AB21" i="21" s="1"/>
  <c r="AA6" i="21"/>
  <c r="AA21" i="21" s="1"/>
  <c r="Z6" i="21"/>
  <c r="Z21" i="21" s="1"/>
  <c r="X6" i="21"/>
  <c r="X21" i="21" s="1"/>
  <c r="W6" i="21"/>
  <c r="V6" i="21"/>
  <c r="U6" i="21"/>
  <c r="T6" i="21"/>
  <c r="T21" i="21" s="1"/>
  <c r="S6" i="21"/>
  <c r="R6" i="21"/>
  <c r="G27" i="20"/>
  <c r="F27" i="20"/>
  <c r="E27" i="20"/>
  <c r="D27" i="20"/>
  <c r="E34" i="19"/>
  <c r="S31" i="19"/>
  <c r="R31" i="19"/>
  <c r="Q31" i="19"/>
  <c r="P31" i="19"/>
  <c r="O31" i="19"/>
  <c r="N31" i="19"/>
  <c r="M31" i="19"/>
  <c r="L31" i="19"/>
  <c r="K31" i="19"/>
  <c r="J31" i="19"/>
  <c r="I31" i="19"/>
  <c r="H31" i="19"/>
  <c r="G31" i="19"/>
  <c r="F31" i="19"/>
  <c r="E31" i="19"/>
  <c r="D30" i="19"/>
  <c r="C30" i="19"/>
  <c r="B30" i="19"/>
  <c r="D29" i="19"/>
  <c r="C29" i="19"/>
  <c r="B29" i="19"/>
  <c r="D28" i="19"/>
  <c r="C28" i="19"/>
  <c r="B28" i="19"/>
  <c r="D27" i="19"/>
  <c r="C27" i="19"/>
  <c r="B27" i="19"/>
  <c r="D26" i="19"/>
  <c r="C26" i="19"/>
  <c r="B26" i="19"/>
  <c r="D25" i="19"/>
  <c r="C25" i="19"/>
  <c r="B25" i="19"/>
  <c r="D24" i="19"/>
  <c r="C24" i="19"/>
  <c r="B24" i="19"/>
  <c r="D23" i="19"/>
  <c r="C23" i="19"/>
  <c r="B23" i="19"/>
  <c r="D22" i="19"/>
  <c r="C22" i="19"/>
  <c r="B22" i="19"/>
  <c r="D21" i="19"/>
  <c r="C21" i="19"/>
  <c r="B21" i="19"/>
  <c r="D20" i="19"/>
  <c r="C20" i="19"/>
  <c r="B20" i="19"/>
  <c r="D19" i="19"/>
  <c r="C19" i="19"/>
  <c r="B19" i="19"/>
  <c r="D18" i="19"/>
  <c r="C18" i="19"/>
  <c r="B18" i="19"/>
  <c r="D17" i="19"/>
  <c r="C17" i="19"/>
  <c r="B17" i="19"/>
  <c r="D16" i="19"/>
  <c r="C16" i="19"/>
  <c r="B16" i="19"/>
  <c r="D15" i="19"/>
  <c r="C15" i="19"/>
  <c r="B15" i="19"/>
  <c r="D14" i="19"/>
  <c r="C14" i="19"/>
  <c r="B14" i="19"/>
  <c r="D13" i="19"/>
  <c r="C13" i="19"/>
  <c r="B13" i="19"/>
  <c r="D12" i="19"/>
  <c r="C12" i="19"/>
  <c r="B12" i="19"/>
  <c r="D11" i="19"/>
  <c r="C11" i="19"/>
  <c r="B11" i="19"/>
  <c r="D10" i="19"/>
  <c r="C10" i="19"/>
  <c r="B10" i="19"/>
  <c r="D9" i="19"/>
  <c r="C9" i="19"/>
  <c r="B9" i="19"/>
  <c r="D8" i="19"/>
  <c r="C8" i="19"/>
  <c r="B8" i="19"/>
  <c r="D7" i="19"/>
  <c r="D31" i="19" s="1"/>
  <c r="C7" i="19"/>
  <c r="C31" i="19" s="1"/>
  <c r="B7" i="19"/>
  <c r="B31" i="19" s="1"/>
  <c r="Q37" i="18"/>
  <c r="Q36" i="18"/>
  <c r="Q35" i="18"/>
  <c r="P34" i="18"/>
  <c r="O34" i="18"/>
  <c r="N34" i="18"/>
  <c r="M34" i="18"/>
  <c r="L34" i="18"/>
  <c r="K34" i="18"/>
  <c r="J34" i="18"/>
  <c r="I34" i="18"/>
  <c r="H34" i="18"/>
  <c r="G34" i="18"/>
  <c r="F34" i="18"/>
  <c r="E34" i="18"/>
  <c r="Q34" i="18" s="1"/>
  <c r="P33" i="18"/>
  <c r="O33" i="18"/>
  <c r="N33" i="18"/>
  <c r="M33" i="18"/>
  <c r="L33" i="18"/>
  <c r="K33" i="18"/>
  <c r="J33" i="18"/>
  <c r="I33" i="18"/>
  <c r="H33" i="18"/>
  <c r="G33" i="18"/>
  <c r="F33" i="18"/>
  <c r="E33" i="18"/>
  <c r="Q33" i="18" s="1"/>
  <c r="P32" i="18"/>
  <c r="O32" i="18"/>
  <c r="N32" i="18"/>
  <c r="M32" i="18"/>
  <c r="L32" i="18"/>
  <c r="K32" i="18"/>
  <c r="J32" i="18"/>
  <c r="I32" i="18"/>
  <c r="H32" i="18"/>
  <c r="G32" i="18"/>
  <c r="F32" i="18"/>
  <c r="E32" i="18"/>
  <c r="Q32" i="18" s="1"/>
  <c r="Q31" i="18"/>
  <c r="Q30" i="18"/>
  <c r="Q29" i="18"/>
  <c r="Q28" i="18"/>
  <c r="Q27" i="18"/>
  <c r="Q26" i="18"/>
  <c r="Q25" i="18"/>
  <c r="Q24" i="18"/>
  <c r="Q23" i="18"/>
  <c r="Q22" i="18"/>
  <c r="Q21" i="18"/>
  <c r="Q20" i="18"/>
  <c r="Q19" i="18"/>
  <c r="Q18" i="18"/>
  <c r="Q17" i="18"/>
  <c r="Q10" i="18"/>
  <c r="P10" i="18"/>
  <c r="O10" i="18"/>
  <c r="E10" i="18"/>
  <c r="V60" i="17"/>
  <c r="H42" i="16"/>
  <c r="G42" i="16"/>
  <c r="F42" i="16"/>
  <c r="E42" i="16"/>
  <c r="H32" i="16"/>
  <c r="H44" i="16" s="1"/>
  <c r="G32" i="16"/>
  <c r="G44" i="16" s="1"/>
  <c r="F32" i="16"/>
  <c r="F44" i="16" s="1"/>
  <c r="E32" i="16"/>
  <c r="E44" i="16" s="1"/>
  <c r="N19" i="15"/>
  <c r="M19" i="15"/>
  <c r="L19" i="15"/>
  <c r="K19" i="15"/>
  <c r="J19" i="15"/>
  <c r="I19" i="15"/>
  <c r="H19" i="15"/>
  <c r="G19" i="15"/>
  <c r="F19" i="15"/>
  <c r="E19" i="15"/>
  <c r="D19" i="15"/>
  <c r="C19" i="15"/>
  <c r="N11" i="15"/>
  <c r="M11" i="15"/>
  <c r="L11" i="15"/>
  <c r="K11" i="15"/>
  <c r="J11" i="15"/>
  <c r="I11" i="15"/>
  <c r="H11" i="15"/>
  <c r="G11" i="15"/>
  <c r="F11" i="15"/>
  <c r="E11" i="15"/>
  <c r="D11" i="15"/>
  <c r="C11" i="15"/>
  <c r="N7" i="15"/>
  <c r="M7" i="15"/>
  <c r="L7" i="15"/>
  <c r="K7" i="15"/>
  <c r="J7" i="15"/>
  <c r="I7" i="15"/>
  <c r="H7" i="15"/>
  <c r="G7" i="15"/>
  <c r="F7" i="15"/>
  <c r="E7" i="15"/>
  <c r="D7" i="15"/>
  <c r="C7" i="15"/>
  <c r="N6" i="15"/>
  <c r="M6" i="15"/>
  <c r="L6" i="15"/>
  <c r="K6" i="15"/>
  <c r="J6" i="15"/>
  <c r="I6" i="15"/>
  <c r="H6" i="15"/>
  <c r="G6" i="15"/>
  <c r="F6" i="15"/>
  <c r="E6" i="15"/>
  <c r="D6" i="15"/>
  <c r="C6" i="15"/>
  <c r="I25" i="14"/>
  <c r="H25" i="14"/>
  <c r="G25" i="14"/>
  <c r="F25" i="14"/>
  <c r="G19" i="14"/>
  <c r="F19" i="14"/>
  <c r="E19" i="14"/>
  <c r="D19" i="14"/>
  <c r="H19" i="14" s="1"/>
  <c r="H18" i="14"/>
  <c r="H17" i="14"/>
  <c r="G16" i="14"/>
  <c r="F16" i="14"/>
  <c r="E16" i="14"/>
  <c r="D16" i="14"/>
  <c r="H16" i="14" s="1"/>
  <c r="H14" i="14"/>
  <c r="G13" i="14"/>
  <c r="F13" i="14"/>
  <c r="E13" i="14"/>
  <c r="D13" i="14"/>
  <c r="H12" i="14"/>
  <c r="H11" i="14"/>
  <c r="G10" i="14"/>
  <c r="F10" i="14"/>
  <c r="E10" i="14"/>
  <c r="D10" i="14"/>
  <c r="H9" i="14"/>
  <c r="H8" i="14"/>
  <c r="V21" i="21" l="1"/>
  <c r="AD6" i="21"/>
  <c r="U21" i="21"/>
  <c r="H10" i="14"/>
  <c r="H13" i="14"/>
  <c r="S21" i="21"/>
  <c r="W21" i="21"/>
  <c r="AC21" i="21"/>
  <c r="AD7" i="21"/>
  <c r="AD8" i="21"/>
  <c r="AD9" i="21"/>
  <c r="AD10" i="21"/>
  <c r="AD11" i="21"/>
  <c r="AD12" i="21"/>
  <c r="AD13" i="21"/>
  <c r="AD14" i="21"/>
  <c r="AD15" i="21"/>
  <c r="AD16" i="21"/>
  <c r="AD17" i="21"/>
  <c r="AD18" i="21"/>
  <c r="AD19" i="21"/>
  <c r="AD20" i="21"/>
  <c r="AB6" i="25"/>
  <c r="K32" i="32"/>
  <c r="R21" i="21"/>
  <c r="AD21" i="21" l="1"/>
  <c r="L13" i="11"/>
  <c r="K13" i="11"/>
  <c r="J13" i="11"/>
  <c r="F59" i="4" l="1"/>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2" i="4"/>
  <c r="F11" i="4"/>
  <c r="F10" i="4"/>
  <c r="F9" i="4"/>
  <c r="F8" i="4"/>
  <c r="F7" i="4"/>
  <c r="E7" i="4"/>
  <c r="E59" i="4"/>
  <c r="D59" i="4"/>
  <c r="D58" i="4"/>
  <c r="K46" i="8" l="1"/>
  <c r="E18" i="5" l="1"/>
  <c r="N32" i="12" l="1"/>
  <c r="M32" i="12"/>
  <c r="K32" i="12"/>
  <c r="J32" i="12"/>
  <c r="H32" i="12"/>
  <c r="G32" i="12"/>
  <c r="E32" i="12"/>
  <c r="D32" i="12"/>
  <c r="N30" i="12"/>
  <c r="N31" i="12" s="1"/>
  <c r="M30" i="12"/>
  <c r="M31" i="12" s="1"/>
  <c r="K30" i="12"/>
  <c r="K31" i="12" s="1"/>
  <c r="J30" i="12"/>
  <c r="J31" i="12" s="1"/>
  <c r="H30" i="12"/>
  <c r="H31" i="12" s="1"/>
  <c r="G30" i="12"/>
  <c r="G31" i="12" s="1"/>
  <c r="E30" i="12"/>
  <c r="E31" i="12" s="1"/>
  <c r="D30" i="12"/>
  <c r="D31" i="12" s="1"/>
  <c r="L29" i="12"/>
  <c r="I29" i="12"/>
  <c r="F29" i="12"/>
  <c r="C29" i="12"/>
  <c r="L28" i="12"/>
  <c r="I28" i="12"/>
  <c r="F28" i="12"/>
  <c r="C28" i="12"/>
  <c r="L27" i="12"/>
  <c r="I27" i="12"/>
  <c r="F27" i="12"/>
  <c r="C27" i="12"/>
  <c r="L26" i="12"/>
  <c r="I26" i="12"/>
  <c r="F26" i="12"/>
  <c r="C26" i="12"/>
  <c r="L25" i="12"/>
  <c r="I25" i="12"/>
  <c r="F25" i="12"/>
  <c r="C25" i="12"/>
  <c r="L24" i="12"/>
  <c r="I24" i="12"/>
  <c r="F24" i="12"/>
  <c r="C24" i="12"/>
  <c r="L23" i="12"/>
  <c r="I23" i="12"/>
  <c r="F23" i="12"/>
  <c r="C23" i="12"/>
  <c r="L22" i="12"/>
  <c r="I22" i="12"/>
  <c r="F22" i="12"/>
  <c r="C22" i="12"/>
  <c r="L21" i="12"/>
  <c r="I21" i="12"/>
  <c r="F21" i="12"/>
  <c r="C21" i="12"/>
  <c r="L20" i="12"/>
  <c r="I20" i="12"/>
  <c r="F20" i="12"/>
  <c r="C20" i="12"/>
  <c r="L19" i="12"/>
  <c r="I19" i="12"/>
  <c r="F19" i="12"/>
  <c r="C19" i="12"/>
  <c r="L18" i="12"/>
  <c r="I18" i="12"/>
  <c r="F18" i="12"/>
  <c r="C18" i="12"/>
  <c r="L17" i="12"/>
  <c r="I17" i="12"/>
  <c r="F17" i="12"/>
  <c r="C17" i="12"/>
  <c r="L16" i="12"/>
  <c r="I16" i="12"/>
  <c r="F16" i="12"/>
  <c r="C16" i="12"/>
  <c r="L15" i="12"/>
  <c r="I15" i="12"/>
  <c r="F15" i="12"/>
  <c r="C15" i="12"/>
  <c r="L14" i="12"/>
  <c r="I14" i="12"/>
  <c r="F14" i="12"/>
  <c r="C14" i="12"/>
  <c r="L13" i="12"/>
  <c r="I13" i="12"/>
  <c r="F13" i="12"/>
  <c r="C13" i="12"/>
  <c r="L12" i="12"/>
  <c r="L30" i="12" s="1"/>
  <c r="I12" i="12"/>
  <c r="I30" i="12" s="1"/>
  <c r="F12" i="12"/>
  <c r="F30" i="12" s="1"/>
  <c r="C12" i="12"/>
  <c r="C30" i="12" s="1"/>
  <c r="L11" i="12"/>
  <c r="I11" i="12"/>
  <c r="F11" i="12"/>
  <c r="C11" i="12"/>
  <c r="L10" i="12"/>
  <c r="I10" i="12"/>
  <c r="F10" i="12"/>
  <c r="C10" i="12"/>
  <c r="L9" i="12"/>
  <c r="I9" i="12"/>
  <c r="F9" i="12"/>
  <c r="C9" i="12"/>
  <c r="L8" i="12"/>
  <c r="I8" i="12"/>
  <c r="F8" i="12"/>
  <c r="C8" i="12"/>
  <c r="L7" i="12"/>
  <c r="I7" i="12"/>
  <c r="F7" i="12"/>
  <c r="C7" i="12"/>
  <c r="L6" i="12"/>
  <c r="L32" i="12" s="1"/>
  <c r="L31" i="12" s="1"/>
  <c r="I6" i="12"/>
  <c r="I32" i="12" s="1"/>
  <c r="I31" i="12" s="1"/>
  <c r="F6" i="12"/>
  <c r="F32" i="12" s="1"/>
  <c r="F31" i="12" s="1"/>
  <c r="C6" i="12"/>
  <c r="C32" i="12" s="1"/>
  <c r="C31" i="12" s="1"/>
  <c r="K12" i="11"/>
  <c r="J12" i="11"/>
  <c r="K10" i="11"/>
  <c r="J8" i="11"/>
  <c r="K6" i="11"/>
  <c r="M38" i="10"/>
  <c r="L38" i="10"/>
  <c r="K38" i="10"/>
  <c r="J38" i="10"/>
  <c r="I38" i="10"/>
  <c r="M34" i="10"/>
  <c r="L34" i="10"/>
  <c r="K34" i="10"/>
  <c r="J34" i="10"/>
  <c r="I34" i="10"/>
  <c r="H34" i="10"/>
  <c r="G34" i="10"/>
  <c r="F34" i="10"/>
  <c r="E34" i="10"/>
  <c r="D34" i="10"/>
  <c r="M30" i="10"/>
  <c r="L30" i="10"/>
  <c r="K30" i="10"/>
  <c r="J30" i="10"/>
  <c r="I30" i="10"/>
  <c r="H30" i="10"/>
  <c r="G30" i="10"/>
  <c r="F30" i="10"/>
  <c r="E30" i="10"/>
  <c r="D29" i="10"/>
  <c r="D30" i="10" s="1"/>
  <c r="M26" i="10"/>
  <c r="L26" i="10"/>
  <c r="K26" i="10"/>
  <c r="J26" i="10"/>
  <c r="I26" i="10"/>
  <c r="H26" i="10"/>
  <c r="G26" i="10"/>
  <c r="F26" i="10"/>
  <c r="E26" i="10"/>
  <c r="D25" i="10"/>
  <c r="D26" i="10" s="1"/>
  <c r="M17" i="10"/>
  <c r="L17" i="10"/>
  <c r="J17" i="10"/>
  <c r="I17" i="10"/>
  <c r="G17" i="10"/>
  <c r="F17" i="10"/>
  <c r="D17" i="10"/>
  <c r="C17" i="10"/>
  <c r="N16" i="10"/>
  <c r="K16" i="10"/>
  <c r="H16" i="10"/>
  <c r="E16" i="10"/>
  <c r="N15" i="10"/>
  <c r="K15" i="10"/>
  <c r="H15" i="10"/>
  <c r="E15" i="10"/>
  <c r="N14" i="10"/>
  <c r="K14" i="10"/>
  <c r="H14" i="10"/>
  <c r="E14" i="10"/>
  <c r="N13" i="10"/>
  <c r="K13" i="10"/>
  <c r="H13" i="10"/>
  <c r="E13" i="10"/>
  <c r="N12" i="10"/>
  <c r="K12" i="10"/>
  <c r="H12" i="10"/>
  <c r="E12" i="10"/>
  <c r="N11" i="10"/>
  <c r="K11" i="10"/>
  <c r="H11" i="10"/>
  <c r="E11" i="10"/>
  <c r="N10" i="10"/>
  <c r="K10" i="10"/>
  <c r="H10" i="10"/>
  <c r="E10" i="10"/>
  <c r="N9" i="10"/>
  <c r="K9" i="10"/>
  <c r="H9" i="10"/>
  <c r="E9" i="10"/>
  <c r="N8" i="10"/>
  <c r="K8" i="10"/>
  <c r="H8" i="10"/>
  <c r="E8" i="10"/>
  <c r="N7" i="10"/>
  <c r="K7" i="10"/>
  <c r="H7" i="10"/>
  <c r="E7" i="10"/>
  <c r="N6" i="10"/>
  <c r="K6" i="10"/>
  <c r="H6" i="10"/>
  <c r="E6" i="10"/>
  <c r="N5" i="10"/>
  <c r="N17" i="10" s="1"/>
  <c r="K5" i="10"/>
  <c r="K17" i="10" s="1"/>
  <c r="H5" i="10"/>
  <c r="H17" i="10" s="1"/>
  <c r="E5" i="10"/>
  <c r="E17" i="10" s="1"/>
  <c r="N46" i="8"/>
  <c r="M46" i="8"/>
  <c r="L46" i="8"/>
  <c r="I12" i="7"/>
  <c r="H12" i="7"/>
  <c r="G12" i="7"/>
  <c r="F12" i="7"/>
  <c r="E12" i="7"/>
  <c r="D12" i="7"/>
  <c r="C12" i="7"/>
  <c r="B12" i="7"/>
  <c r="U29" i="6"/>
  <c r="T29" i="6"/>
  <c r="S29" i="6"/>
  <c r="R29" i="6"/>
  <c r="U28" i="6"/>
  <c r="T28" i="6"/>
  <c r="S28" i="6"/>
  <c r="R28" i="6"/>
  <c r="U27" i="6"/>
  <c r="T27" i="6"/>
  <c r="S27" i="6"/>
  <c r="R27" i="6"/>
  <c r="U26" i="6"/>
  <c r="T26" i="6"/>
  <c r="S26" i="6"/>
  <c r="R26" i="6"/>
  <c r="U25" i="6"/>
  <c r="T25" i="6"/>
  <c r="S25" i="6"/>
  <c r="R25" i="6"/>
  <c r="U24" i="6"/>
  <c r="T24" i="6"/>
  <c r="S24" i="6"/>
  <c r="R24" i="6"/>
  <c r="U23" i="6"/>
  <c r="T23" i="6"/>
  <c r="S23" i="6"/>
  <c r="R23" i="6"/>
  <c r="U22" i="6"/>
  <c r="T22" i="6"/>
  <c r="S22" i="6"/>
  <c r="R22" i="6"/>
  <c r="U21" i="6"/>
  <c r="T21" i="6"/>
  <c r="S21" i="6"/>
  <c r="R21" i="6"/>
  <c r="U20" i="6"/>
  <c r="T20" i="6"/>
  <c r="S20" i="6"/>
  <c r="R20" i="6"/>
  <c r="U19" i="6"/>
  <c r="T19" i="6"/>
  <c r="S19" i="6"/>
  <c r="R19" i="6"/>
  <c r="U18" i="6"/>
  <c r="T18" i="6"/>
  <c r="S18" i="6"/>
  <c r="R18" i="6"/>
  <c r="N18" i="6"/>
  <c r="U17" i="6"/>
  <c r="T17" i="6"/>
  <c r="S17" i="6"/>
  <c r="R17" i="6"/>
  <c r="N17" i="6"/>
  <c r="U16" i="6"/>
  <c r="T16" i="6"/>
  <c r="S16" i="6"/>
  <c r="R16" i="6"/>
  <c r="N16" i="6"/>
  <c r="U15" i="6"/>
  <c r="T15" i="6"/>
  <c r="S15" i="6"/>
  <c r="R15" i="6"/>
  <c r="N15" i="6"/>
  <c r="U14" i="6"/>
  <c r="T14" i="6"/>
  <c r="S14" i="6"/>
  <c r="R14" i="6"/>
  <c r="N14" i="6"/>
  <c r="U13" i="6"/>
  <c r="T13" i="6"/>
  <c r="S13" i="6"/>
  <c r="R13" i="6"/>
  <c r="U12" i="6"/>
  <c r="T12" i="6"/>
  <c r="S12" i="6"/>
  <c r="R12" i="6"/>
  <c r="U11" i="6"/>
  <c r="T11" i="6"/>
  <c r="S11" i="6"/>
  <c r="R11" i="6"/>
  <c r="U10" i="6"/>
  <c r="T10" i="6"/>
  <c r="S10" i="6"/>
  <c r="R10" i="6"/>
  <c r="U9" i="6"/>
  <c r="T9" i="6"/>
  <c r="S9" i="6"/>
  <c r="R9" i="6"/>
  <c r="U8" i="6"/>
  <c r="T8" i="6"/>
  <c r="S8" i="6"/>
  <c r="R8" i="6"/>
  <c r="U7" i="6"/>
  <c r="T7" i="6"/>
  <c r="S7" i="6"/>
  <c r="R7" i="6"/>
  <c r="U6" i="6"/>
  <c r="T6" i="6"/>
  <c r="S6" i="6"/>
  <c r="R6" i="6"/>
  <c r="R30" i="6" s="1"/>
  <c r="Q37" i="5"/>
  <c r="Q36" i="5"/>
  <c r="Q35" i="5"/>
  <c r="Q34" i="5"/>
  <c r="Q33" i="5"/>
  <c r="Q32" i="5"/>
  <c r="Q31" i="5"/>
  <c r="Q30" i="5"/>
  <c r="Q29" i="5"/>
  <c r="Q28" i="5"/>
  <c r="P27" i="5"/>
  <c r="O27" i="5"/>
  <c r="N27" i="5"/>
  <c r="M27" i="5"/>
  <c r="L27" i="5"/>
  <c r="K27" i="5"/>
  <c r="J27" i="5"/>
  <c r="I27" i="5"/>
  <c r="H27" i="5"/>
  <c r="G27" i="5"/>
  <c r="F27" i="5"/>
  <c r="E27" i="5"/>
  <c r="P26" i="5"/>
  <c r="O26" i="5"/>
  <c r="N26" i="5"/>
  <c r="M26" i="5"/>
  <c r="L26" i="5"/>
  <c r="K26" i="5"/>
  <c r="J26" i="5"/>
  <c r="I26" i="5"/>
  <c r="H26" i="5"/>
  <c r="G26" i="5"/>
  <c r="F26" i="5"/>
  <c r="E26" i="5"/>
  <c r="P25" i="5"/>
  <c r="O25" i="5"/>
  <c r="N25" i="5"/>
  <c r="M25" i="5"/>
  <c r="L25" i="5"/>
  <c r="K25" i="5"/>
  <c r="J25" i="5"/>
  <c r="I25" i="5"/>
  <c r="H25" i="5"/>
  <c r="G25" i="5"/>
  <c r="F25" i="5"/>
  <c r="E25" i="5"/>
  <c r="P24" i="5"/>
  <c r="O24" i="5"/>
  <c r="N24" i="5"/>
  <c r="M24" i="5"/>
  <c r="L24" i="5"/>
  <c r="K24" i="5"/>
  <c r="J24" i="5"/>
  <c r="I24" i="5"/>
  <c r="H24" i="5"/>
  <c r="G24" i="5"/>
  <c r="F24" i="5"/>
  <c r="E24" i="5"/>
  <c r="P23" i="5"/>
  <c r="O23" i="5"/>
  <c r="N23" i="5"/>
  <c r="M23" i="5"/>
  <c r="L23" i="5"/>
  <c r="K23" i="5"/>
  <c r="J23" i="5"/>
  <c r="I23" i="5"/>
  <c r="H23" i="5"/>
  <c r="G23" i="5"/>
  <c r="F23" i="5"/>
  <c r="E23" i="5"/>
  <c r="P22" i="5"/>
  <c r="O22" i="5"/>
  <c r="N22" i="5"/>
  <c r="M22" i="5"/>
  <c r="L22" i="5"/>
  <c r="K22" i="5"/>
  <c r="J22" i="5"/>
  <c r="I22" i="5"/>
  <c r="H22" i="5"/>
  <c r="G22" i="5"/>
  <c r="F22" i="5"/>
  <c r="E22" i="5"/>
  <c r="P21" i="5"/>
  <c r="O21" i="5"/>
  <c r="N21" i="5"/>
  <c r="M21" i="5"/>
  <c r="L21" i="5"/>
  <c r="K21" i="5"/>
  <c r="J21" i="5"/>
  <c r="I21" i="5"/>
  <c r="H21" i="5"/>
  <c r="G21" i="5"/>
  <c r="F21" i="5"/>
  <c r="E21" i="5"/>
  <c r="P20" i="5"/>
  <c r="O20" i="5"/>
  <c r="N20" i="5"/>
  <c r="M20" i="5"/>
  <c r="L20" i="5"/>
  <c r="K20" i="5"/>
  <c r="J20" i="5"/>
  <c r="I20" i="5"/>
  <c r="H20" i="5"/>
  <c r="G20" i="5"/>
  <c r="F20" i="5"/>
  <c r="E20" i="5"/>
  <c r="P19" i="5"/>
  <c r="O19" i="5"/>
  <c r="N19" i="5"/>
  <c r="M19" i="5"/>
  <c r="L19" i="5"/>
  <c r="K19" i="5"/>
  <c r="J19" i="5"/>
  <c r="I19" i="5"/>
  <c r="H19" i="5"/>
  <c r="G19" i="5"/>
  <c r="F19" i="5"/>
  <c r="E19" i="5"/>
  <c r="P18" i="5"/>
  <c r="O18" i="5"/>
  <c r="N18" i="5"/>
  <c r="M18" i="5"/>
  <c r="L18" i="5"/>
  <c r="K18" i="5"/>
  <c r="J18" i="5"/>
  <c r="I18" i="5"/>
  <c r="H18" i="5"/>
  <c r="G18" i="5"/>
  <c r="F18" i="5"/>
  <c r="Q18" i="5" s="1"/>
  <c r="Q17" i="5"/>
  <c r="Q16" i="5"/>
  <c r="Q15" i="5"/>
  <c r="Q14" i="5"/>
  <c r="Q13" i="5"/>
  <c r="Q12" i="5"/>
  <c r="Q11" i="5"/>
  <c r="Q10" i="5"/>
  <c r="Q9" i="5"/>
  <c r="Q8" i="5"/>
  <c r="C59" i="4"/>
  <c r="E58" i="4"/>
  <c r="C58" i="4"/>
  <c r="E57" i="4"/>
  <c r="D57" i="4"/>
  <c r="C57" i="4"/>
  <c r="E56" i="4"/>
  <c r="D56" i="4"/>
  <c r="C56" i="4"/>
  <c r="E55" i="4"/>
  <c r="D55" i="4"/>
  <c r="C55" i="4"/>
  <c r="E54" i="4"/>
  <c r="D54" i="4"/>
  <c r="C54" i="4"/>
  <c r="E53" i="4"/>
  <c r="D53" i="4"/>
  <c r="C53" i="4"/>
  <c r="E52" i="4"/>
  <c r="D52" i="4"/>
  <c r="C52" i="4"/>
  <c r="E51" i="4"/>
  <c r="D51" i="4"/>
  <c r="C51" i="4"/>
  <c r="D50" i="4"/>
  <c r="C50" i="4"/>
  <c r="D49" i="4"/>
  <c r="C49" i="4"/>
  <c r="D48" i="4"/>
  <c r="C48" i="4"/>
  <c r="D47" i="4"/>
  <c r="C47" i="4"/>
  <c r="E46" i="4"/>
  <c r="D46" i="4"/>
  <c r="C46" i="4"/>
  <c r="E45" i="4"/>
  <c r="D45" i="4"/>
  <c r="C45" i="4"/>
  <c r="E44" i="4"/>
  <c r="D44" i="4"/>
  <c r="C44" i="4"/>
  <c r="E43" i="4"/>
  <c r="D43" i="4"/>
  <c r="C43" i="4"/>
  <c r="E42" i="4"/>
  <c r="D42" i="4"/>
  <c r="C42" i="4"/>
  <c r="E41" i="4"/>
  <c r="D41" i="4"/>
  <c r="C41" i="4"/>
  <c r="E40" i="4"/>
  <c r="D40" i="4"/>
  <c r="C40" i="4"/>
  <c r="E39" i="4"/>
  <c r="D39" i="4"/>
  <c r="C39" i="4"/>
  <c r="E38" i="4"/>
  <c r="D38" i="4"/>
  <c r="C38" i="4"/>
  <c r="E37" i="4"/>
  <c r="D37" i="4"/>
  <c r="C37" i="4"/>
  <c r="E36" i="4"/>
  <c r="D36" i="4"/>
  <c r="C36" i="4"/>
  <c r="E35" i="4"/>
  <c r="D35" i="4"/>
  <c r="C35" i="4"/>
  <c r="E34" i="4"/>
  <c r="D34" i="4"/>
  <c r="C34" i="4"/>
  <c r="E33" i="4"/>
  <c r="D33" i="4"/>
  <c r="C33" i="4"/>
  <c r="E32" i="4"/>
  <c r="D32" i="4"/>
  <c r="C32" i="4"/>
  <c r="E31" i="4"/>
  <c r="D31" i="4"/>
  <c r="C31" i="4"/>
  <c r="E30" i="4"/>
  <c r="D30" i="4"/>
  <c r="C30" i="4"/>
  <c r="E29" i="4"/>
  <c r="D29" i="4"/>
  <c r="C29" i="4"/>
  <c r="E28" i="4"/>
  <c r="D28" i="4"/>
  <c r="C28" i="4"/>
  <c r="E27" i="4"/>
  <c r="D27" i="4"/>
  <c r="C27" i="4"/>
  <c r="E26" i="4"/>
  <c r="D26" i="4"/>
  <c r="C26" i="4"/>
  <c r="E25" i="4"/>
  <c r="D25" i="4"/>
  <c r="C25" i="4"/>
  <c r="E24" i="4"/>
  <c r="D24" i="4"/>
  <c r="C24" i="4"/>
  <c r="E23" i="4"/>
  <c r="D23" i="4"/>
  <c r="C23" i="4"/>
  <c r="E22" i="4"/>
  <c r="D22" i="4"/>
  <c r="C22" i="4"/>
  <c r="E21" i="4"/>
  <c r="D21" i="4"/>
  <c r="C21" i="4"/>
  <c r="E20" i="4"/>
  <c r="C20" i="4"/>
  <c r="E19" i="4"/>
  <c r="D19" i="4"/>
  <c r="C19" i="4"/>
  <c r="E18" i="4"/>
  <c r="D18" i="4"/>
  <c r="C18" i="4"/>
  <c r="E17" i="4"/>
  <c r="D17" i="4"/>
  <c r="C17" i="4"/>
  <c r="E16" i="4"/>
  <c r="D16" i="4"/>
  <c r="C16" i="4"/>
  <c r="E15" i="4"/>
  <c r="D15" i="4"/>
  <c r="C15" i="4"/>
  <c r="E14" i="4"/>
  <c r="D14" i="4"/>
  <c r="C14" i="4"/>
  <c r="E13" i="4"/>
  <c r="D13" i="4"/>
  <c r="C13" i="4"/>
  <c r="E12" i="4"/>
  <c r="D12" i="4"/>
  <c r="C12" i="4"/>
  <c r="E11" i="4"/>
  <c r="D11" i="4"/>
  <c r="C11" i="4"/>
  <c r="E10" i="4"/>
  <c r="D10" i="4"/>
  <c r="C10" i="4"/>
  <c r="E9" i="4"/>
  <c r="D9" i="4"/>
  <c r="C9" i="4"/>
  <c r="E8" i="4"/>
  <c r="D8" i="4"/>
  <c r="C8" i="4"/>
  <c r="D7" i="4"/>
  <c r="I4" i="3"/>
  <c r="K4" i="3"/>
  <c r="I5" i="3"/>
  <c r="K5" i="3"/>
  <c r="I6" i="3"/>
  <c r="K6" i="3"/>
  <c r="I7" i="3"/>
  <c r="K7" i="3"/>
  <c r="I8" i="3"/>
  <c r="K8" i="3"/>
  <c r="I9" i="3"/>
  <c r="K9" i="3"/>
  <c r="I10" i="3"/>
  <c r="K10" i="3"/>
  <c r="I11" i="3"/>
  <c r="K11" i="3"/>
  <c r="I12" i="3"/>
  <c r="K12" i="3"/>
  <c r="I13" i="3"/>
  <c r="K13" i="3"/>
  <c r="I14" i="3"/>
  <c r="K14" i="3"/>
  <c r="I15" i="3"/>
  <c r="K15" i="3"/>
  <c r="J48" i="1"/>
  <c r="L47" i="1"/>
  <c r="K47" i="1"/>
  <c r="J47" i="1"/>
  <c r="L46" i="1"/>
  <c r="K46" i="1"/>
  <c r="J46" i="1"/>
  <c r="L45" i="1"/>
  <c r="K45" i="1"/>
  <c r="J45" i="1"/>
  <c r="L44" i="1"/>
  <c r="K44" i="1"/>
  <c r="J44" i="1"/>
  <c r="L43" i="1"/>
  <c r="K43" i="1"/>
  <c r="J43" i="1"/>
  <c r="L42" i="1"/>
  <c r="K42" i="1"/>
  <c r="J42" i="1"/>
  <c r="L41" i="1"/>
  <c r="K41" i="1"/>
  <c r="J41" i="1"/>
  <c r="L40" i="1"/>
  <c r="K40" i="1"/>
  <c r="J40" i="1"/>
  <c r="L39" i="1"/>
  <c r="K39" i="1"/>
  <c r="J39" i="1"/>
  <c r="L38" i="1"/>
  <c r="K38" i="1"/>
  <c r="J38" i="1"/>
  <c r="L37" i="1"/>
  <c r="J37" i="1"/>
  <c r="L36" i="1"/>
  <c r="K36" i="1"/>
  <c r="J36" i="1"/>
  <c r="L35" i="1"/>
  <c r="K35" i="1"/>
  <c r="J35"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H8" i="1"/>
  <c r="J7" i="1"/>
  <c r="H7" i="1"/>
  <c r="J6" i="1"/>
  <c r="H6" i="1"/>
  <c r="U30" i="6" l="1"/>
  <c r="Q19" i="5"/>
  <c r="Q20" i="5"/>
  <c r="Q21" i="5"/>
  <c r="Q22" i="5"/>
  <c r="Q23" i="5"/>
  <c r="Q24" i="5"/>
  <c r="Q25" i="5"/>
  <c r="Q26" i="5"/>
  <c r="Q27" i="5"/>
  <c r="L6" i="11"/>
  <c r="K8" i="11"/>
  <c r="T30" i="6"/>
  <c r="S30" i="6"/>
  <c r="J6" i="11"/>
  <c r="J10" i="11"/>
  <c r="L10" i="11"/>
  <c r="L8" i="11" l="1"/>
  <c r="L12" i="11"/>
</calcChain>
</file>

<file path=xl/sharedStrings.xml><?xml version="1.0" encoding="utf-8"?>
<sst xmlns="http://schemas.openxmlformats.org/spreadsheetml/2006/main" count="2480" uniqueCount="1007">
  <si>
    <t>１．令和４年中の交通事故の概要</t>
    <rPh sb="2" eb="4">
      <t>レイワ</t>
    </rPh>
    <rPh sb="5" eb="6">
      <t>ネン</t>
    </rPh>
    <rPh sb="6" eb="7">
      <t>チュウ</t>
    </rPh>
    <rPh sb="8" eb="12">
      <t>コウツウジコ</t>
    </rPh>
    <rPh sb="13" eb="15">
      <t>ガイヨウ</t>
    </rPh>
    <phoneticPr fontId="3"/>
  </si>
  <si>
    <r>
      <rPr>
        <sz val="11"/>
        <rFont val="BIZ UDPゴシック"/>
        <family val="3"/>
        <charset val="128"/>
      </rPr>
      <t>交通事故発生状況</t>
    </r>
    <rPh sb="0" eb="2">
      <t>コウツウ</t>
    </rPh>
    <rPh sb="2" eb="4">
      <t>ジコ</t>
    </rPh>
    <rPh sb="4" eb="6">
      <t>ハッセイ</t>
    </rPh>
    <rPh sb="6" eb="8">
      <t>ジョウキョウ</t>
    </rPh>
    <phoneticPr fontId="3"/>
  </si>
  <si>
    <r>
      <rPr>
        <sz val="9"/>
        <rFont val="BIZ UDPゴシック"/>
        <family val="3"/>
        <charset val="128"/>
      </rPr>
      <t>（件数：件／死者数・負傷者数：人）</t>
    </r>
    <rPh sb="1" eb="3">
      <t>ケンスウ</t>
    </rPh>
    <rPh sb="4" eb="5">
      <t>ケン</t>
    </rPh>
    <rPh sb="6" eb="9">
      <t>シシャスウ</t>
    </rPh>
    <rPh sb="10" eb="13">
      <t>フショウシャ</t>
    </rPh>
    <rPh sb="13" eb="14">
      <t>スウ</t>
    </rPh>
    <rPh sb="15" eb="16">
      <t>ニン</t>
    </rPh>
    <phoneticPr fontId="3"/>
  </si>
  <si>
    <r>
      <rPr>
        <sz val="11"/>
        <rFont val="BIZ UDPゴシック"/>
        <family val="3"/>
        <charset val="128"/>
      </rPr>
      <t>年別</t>
    </r>
    <rPh sb="0" eb="2">
      <t>ネンベツ</t>
    </rPh>
    <phoneticPr fontId="3"/>
  </si>
  <si>
    <t>令和4年</t>
    <rPh sb="0" eb="2">
      <t>レイワ</t>
    </rPh>
    <rPh sb="3" eb="4">
      <t>ネン</t>
    </rPh>
    <phoneticPr fontId="3"/>
  </si>
  <si>
    <t>令和3年</t>
    <rPh sb="0" eb="2">
      <t>レイワ</t>
    </rPh>
    <rPh sb="3" eb="4">
      <t>ネン</t>
    </rPh>
    <phoneticPr fontId="3"/>
  </si>
  <si>
    <r>
      <rPr>
        <sz val="11"/>
        <rFont val="BIZ UDPゴシック"/>
        <family val="3"/>
        <charset val="128"/>
      </rPr>
      <t>前年比較</t>
    </r>
    <rPh sb="0" eb="2">
      <t>ゼンネン</t>
    </rPh>
    <rPh sb="2" eb="4">
      <t>ヒカク</t>
    </rPh>
    <phoneticPr fontId="3"/>
  </si>
  <si>
    <r>
      <rPr>
        <sz val="11"/>
        <rFont val="BIZ UDPゴシック"/>
        <family val="3"/>
        <charset val="128"/>
      </rPr>
      <t>区分</t>
    </r>
    <rPh sb="0" eb="2">
      <t>クブン</t>
    </rPh>
    <phoneticPr fontId="3"/>
  </si>
  <si>
    <r>
      <rPr>
        <sz val="11"/>
        <rFont val="BIZ UDPゴシック"/>
        <family val="3"/>
        <charset val="128"/>
      </rPr>
      <t>増▲減</t>
    </r>
    <rPh sb="0" eb="1">
      <t>ゾウ</t>
    </rPh>
    <rPh sb="2" eb="3">
      <t>ゲン</t>
    </rPh>
    <phoneticPr fontId="3"/>
  </si>
  <si>
    <r>
      <rPr>
        <sz val="11"/>
        <rFont val="BIZ UDPゴシック"/>
        <family val="3"/>
        <charset val="128"/>
      </rPr>
      <t>増減率％</t>
    </r>
    <rPh sb="0" eb="2">
      <t>ゾウゲン</t>
    </rPh>
    <rPh sb="2" eb="3">
      <t>リツ</t>
    </rPh>
    <phoneticPr fontId="3"/>
  </si>
  <si>
    <r>
      <rPr>
        <sz val="11"/>
        <rFont val="BIZ UDPゴシック"/>
        <family val="3"/>
        <charset val="128"/>
      </rPr>
      <t>大
阪
市
域
内</t>
    </r>
    <rPh sb="0" eb="1">
      <t>ダイ</t>
    </rPh>
    <rPh sb="2" eb="3">
      <t>サカ</t>
    </rPh>
    <rPh sb="4" eb="5">
      <t>シ</t>
    </rPh>
    <rPh sb="6" eb="7">
      <t>イキ</t>
    </rPh>
    <rPh sb="8" eb="9">
      <t>ナイ</t>
    </rPh>
    <phoneticPr fontId="3"/>
  </si>
  <si>
    <r>
      <rPr>
        <sz val="11"/>
        <rFont val="BIZ UDPゴシック"/>
        <family val="3"/>
        <charset val="128"/>
      </rPr>
      <t>件　　数</t>
    </r>
    <rPh sb="0" eb="1">
      <t>ケン</t>
    </rPh>
    <rPh sb="3" eb="4">
      <t>スウ</t>
    </rPh>
    <phoneticPr fontId="3"/>
  </si>
  <si>
    <r>
      <rPr>
        <sz val="11"/>
        <rFont val="BIZ UDPゴシック"/>
        <family val="3"/>
        <charset val="128"/>
      </rPr>
      <t>死者数</t>
    </r>
    <rPh sb="0" eb="2">
      <t>シシャ</t>
    </rPh>
    <rPh sb="2" eb="3">
      <t>スウ</t>
    </rPh>
    <phoneticPr fontId="3"/>
  </si>
  <si>
    <r>
      <rPr>
        <sz val="11"/>
        <rFont val="BIZ UDPゴシック"/>
        <family val="3"/>
        <charset val="128"/>
      </rPr>
      <t>総数</t>
    </r>
    <rPh sb="0" eb="1">
      <t>ソウ</t>
    </rPh>
    <rPh sb="1" eb="2">
      <t>スウ</t>
    </rPh>
    <phoneticPr fontId="3"/>
  </si>
  <si>
    <r>
      <rPr>
        <sz val="11"/>
        <rFont val="BIZ UDPゴシック"/>
        <family val="3"/>
        <charset val="128"/>
      </rPr>
      <t>内子ども</t>
    </r>
    <rPh sb="0" eb="1">
      <t>ウチ</t>
    </rPh>
    <rPh sb="1" eb="2">
      <t>コ</t>
    </rPh>
    <phoneticPr fontId="3"/>
  </si>
  <si>
    <t>-</t>
    <phoneticPr fontId="3"/>
  </si>
  <si>
    <r>
      <rPr>
        <sz val="11"/>
        <rFont val="BIZ UDPゴシック"/>
        <family val="3"/>
        <charset val="128"/>
      </rPr>
      <t>内高齢者</t>
    </r>
    <rPh sb="0" eb="1">
      <t>ウチ</t>
    </rPh>
    <rPh sb="1" eb="4">
      <t>コウレイシャ</t>
    </rPh>
    <phoneticPr fontId="3"/>
  </si>
  <si>
    <r>
      <rPr>
        <sz val="11"/>
        <rFont val="BIZ UDPゴシック"/>
        <family val="3"/>
        <charset val="128"/>
      </rPr>
      <t>負傷者数</t>
    </r>
    <rPh sb="0" eb="1">
      <t>フ</t>
    </rPh>
    <rPh sb="1" eb="3">
      <t>ショウシャ</t>
    </rPh>
    <rPh sb="3" eb="4">
      <t>スウ</t>
    </rPh>
    <phoneticPr fontId="3"/>
  </si>
  <si>
    <r>
      <rPr>
        <sz val="11"/>
        <rFont val="BIZ UDPゴシック"/>
        <family val="3"/>
        <charset val="128"/>
      </rPr>
      <t>総数</t>
    </r>
  </si>
  <si>
    <r>
      <rPr>
        <sz val="11"/>
        <rFont val="BIZ UDPゴシック"/>
        <family val="3"/>
        <charset val="128"/>
      </rPr>
      <t>大
阪
府
全
域</t>
    </r>
    <rPh sb="0" eb="1">
      <t>ダイ</t>
    </rPh>
    <rPh sb="2" eb="3">
      <t>サカ</t>
    </rPh>
    <rPh sb="4" eb="5">
      <t>フ</t>
    </rPh>
    <rPh sb="6" eb="7">
      <t>ゼン</t>
    </rPh>
    <rPh sb="8" eb="9">
      <t>イキ</t>
    </rPh>
    <phoneticPr fontId="3"/>
  </si>
  <si>
    <r>
      <rPr>
        <sz val="11"/>
        <rFont val="BIZ UDPゴシック"/>
        <family val="3"/>
        <charset val="128"/>
      </rPr>
      <t>全
国</t>
    </r>
    <rPh sb="0" eb="1">
      <t>ゼン</t>
    </rPh>
    <rPh sb="2" eb="3">
      <t>クニ</t>
    </rPh>
    <phoneticPr fontId="3"/>
  </si>
  <si>
    <r>
      <rPr>
        <sz val="11"/>
        <rFont val="BIZ UDPゴシック"/>
        <family val="3"/>
        <charset val="128"/>
      </rPr>
      <t>死者数</t>
    </r>
    <rPh sb="0" eb="1">
      <t>シ</t>
    </rPh>
    <rPh sb="1" eb="2">
      <t>モノ</t>
    </rPh>
    <rPh sb="2" eb="3">
      <t>スウ</t>
    </rPh>
    <phoneticPr fontId="3"/>
  </si>
  <si>
    <r>
      <rPr>
        <sz val="11"/>
        <rFont val="BIZ UDPゴシック"/>
        <family val="3"/>
        <charset val="128"/>
      </rPr>
      <t>負傷者数</t>
    </r>
    <rPh sb="0" eb="1">
      <t>フ</t>
    </rPh>
    <rPh sb="1" eb="2">
      <t>キズ</t>
    </rPh>
    <rPh sb="2" eb="3">
      <t>モノ</t>
    </rPh>
    <rPh sb="3" eb="4">
      <t>スウ</t>
    </rPh>
    <phoneticPr fontId="3"/>
  </si>
  <si>
    <r>
      <t>(</t>
    </r>
    <r>
      <rPr>
        <sz val="11"/>
        <rFont val="BIZ UDPゴシック"/>
        <family val="3"/>
        <charset val="128"/>
      </rPr>
      <t>注</t>
    </r>
    <r>
      <rPr>
        <sz val="11"/>
        <rFont val="Arial"/>
        <family val="2"/>
      </rPr>
      <t>)</t>
    </r>
    <r>
      <rPr>
        <sz val="11"/>
        <rFont val="BIZ UDPゴシック"/>
        <family val="3"/>
        <charset val="128"/>
      </rPr>
      <t>大阪市域内は高速道路等を除く。</t>
    </r>
    <phoneticPr fontId="3"/>
  </si>
  <si>
    <r>
      <rPr>
        <sz val="11"/>
        <rFont val="BIZ UDPゴシック"/>
        <family val="3"/>
        <charset val="128"/>
      </rPr>
      <t>交通事故死者（大阪市域内）</t>
    </r>
    <rPh sb="0" eb="2">
      <t>コウツウ</t>
    </rPh>
    <rPh sb="2" eb="4">
      <t>ジコ</t>
    </rPh>
    <rPh sb="4" eb="6">
      <t>シシャ</t>
    </rPh>
    <rPh sb="7" eb="10">
      <t>オオサカシ</t>
    </rPh>
    <rPh sb="10" eb="12">
      <t>イキナイ</t>
    </rPh>
    <phoneticPr fontId="3"/>
  </si>
  <si>
    <r>
      <t>(</t>
    </r>
    <r>
      <rPr>
        <sz val="9"/>
        <rFont val="BIZ UDPゴシック"/>
        <family val="3"/>
        <charset val="128"/>
      </rPr>
      <t>人）</t>
    </r>
    <rPh sb="1" eb="2">
      <t>ヒト</t>
    </rPh>
    <phoneticPr fontId="3"/>
  </si>
  <si>
    <r>
      <rPr>
        <sz val="11"/>
        <rFont val="BIZ UDPゴシック"/>
        <family val="3"/>
        <charset val="128"/>
      </rPr>
      <t>前年比</t>
    </r>
    <rPh sb="0" eb="2">
      <t>ゼンネン</t>
    </rPh>
    <rPh sb="2" eb="3">
      <t>ヒ</t>
    </rPh>
    <phoneticPr fontId="3"/>
  </si>
  <si>
    <r>
      <rPr>
        <sz val="11"/>
        <rFont val="BIZ UDPゴシック"/>
        <family val="3"/>
        <charset val="128"/>
      </rPr>
      <t>増　▲　減</t>
    </r>
    <rPh sb="0" eb="1">
      <t>ゾウ</t>
    </rPh>
    <rPh sb="4" eb="5">
      <t>ゲン</t>
    </rPh>
    <phoneticPr fontId="3"/>
  </si>
  <si>
    <r>
      <rPr>
        <sz val="11"/>
        <rFont val="BIZ UDPゴシック"/>
        <family val="3"/>
        <charset val="128"/>
      </rPr>
      <t>増減率（％）</t>
    </r>
    <rPh sb="0" eb="2">
      <t>ゾウゲン</t>
    </rPh>
    <rPh sb="2" eb="3">
      <t>リツ</t>
    </rPh>
    <phoneticPr fontId="3"/>
  </si>
  <si>
    <r>
      <rPr>
        <sz val="11"/>
        <rFont val="BIZ UDPゴシック"/>
        <family val="3"/>
        <charset val="128"/>
      </rPr>
      <t>世代別</t>
    </r>
    <rPh sb="0" eb="3">
      <t>セダイベツ</t>
    </rPh>
    <phoneticPr fontId="3"/>
  </si>
  <si>
    <r>
      <rPr>
        <sz val="11"/>
        <rFont val="BIZ UDPゴシック"/>
        <family val="3"/>
        <charset val="128"/>
      </rPr>
      <t>高齢者</t>
    </r>
    <rPh sb="0" eb="3">
      <t>コウレイシャ</t>
    </rPh>
    <phoneticPr fontId="3"/>
  </si>
  <si>
    <r>
      <rPr>
        <sz val="11"/>
        <rFont val="BIZ UDPゴシック"/>
        <family val="3"/>
        <charset val="128"/>
      </rPr>
      <t>子ども</t>
    </r>
    <rPh sb="0" eb="1">
      <t>コ</t>
    </rPh>
    <phoneticPr fontId="3"/>
  </si>
  <si>
    <r>
      <rPr>
        <sz val="11"/>
        <rFont val="BIZ UDPゴシック"/>
        <family val="3"/>
        <charset val="128"/>
      </rPr>
      <t>その他</t>
    </r>
    <rPh sb="2" eb="3">
      <t>タ</t>
    </rPh>
    <phoneticPr fontId="3"/>
  </si>
  <si>
    <r>
      <rPr>
        <sz val="11"/>
        <rFont val="BIZ UDPゴシック"/>
        <family val="3"/>
        <charset val="128"/>
      </rPr>
      <t>状態別</t>
    </r>
    <rPh sb="0" eb="2">
      <t>ジョウタイ</t>
    </rPh>
    <rPh sb="2" eb="3">
      <t>ベツ</t>
    </rPh>
    <phoneticPr fontId="3"/>
  </si>
  <si>
    <r>
      <rPr>
        <sz val="11"/>
        <rFont val="BIZ UDPゴシック"/>
        <family val="3"/>
        <charset val="128"/>
      </rPr>
      <t>自動車乗車中</t>
    </r>
    <rPh sb="0" eb="3">
      <t>ジドウシャ</t>
    </rPh>
    <rPh sb="3" eb="6">
      <t>ジョウシャチュウ</t>
    </rPh>
    <phoneticPr fontId="3"/>
  </si>
  <si>
    <r>
      <rPr>
        <sz val="9"/>
        <rFont val="BIZ UDPゴシック"/>
        <family val="3"/>
        <charset val="128"/>
      </rPr>
      <t>うちシートベルト非着用</t>
    </r>
    <rPh sb="8" eb="9">
      <t>ヒ</t>
    </rPh>
    <rPh sb="9" eb="11">
      <t>チャクヨウ</t>
    </rPh>
    <phoneticPr fontId="3"/>
  </si>
  <si>
    <r>
      <rPr>
        <sz val="11"/>
        <rFont val="BIZ UDPゴシック"/>
        <family val="3"/>
        <charset val="128"/>
      </rPr>
      <t>自転車乗車中</t>
    </r>
    <rPh sb="0" eb="3">
      <t>ジテンシャ</t>
    </rPh>
    <rPh sb="3" eb="6">
      <t>ジョウシャチュウ</t>
    </rPh>
    <phoneticPr fontId="3"/>
  </si>
  <si>
    <r>
      <rPr>
        <sz val="11"/>
        <rFont val="BIZ UDPゴシック"/>
        <family val="3"/>
        <charset val="128"/>
      </rPr>
      <t>原付乗車中</t>
    </r>
    <rPh sb="0" eb="2">
      <t>ゲンツキ</t>
    </rPh>
    <rPh sb="2" eb="5">
      <t>ジョウシャチュウ</t>
    </rPh>
    <phoneticPr fontId="3"/>
  </si>
  <si>
    <r>
      <rPr>
        <sz val="11"/>
        <rFont val="BIZ UDPゴシック"/>
        <family val="3"/>
        <charset val="128"/>
      </rPr>
      <t>自動二輪車乗車中</t>
    </r>
    <rPh sb="0" eb="2">
      <t>ジドウ</t>
    </rPh>
    <rPh sb="2" eb="5">
      <t>ニリンシャ</t>
    </rPh>
    <rPh sb="5" eb="8">
      <t>ジョウシャチュウ</t>
    </rPh>
    <phoneticPr fontId="3"/>
  </si>
  <si>
    <r>
      <rPr>
        <sz val="11"/>
        <rFont val="BIZ UDPゴシック"/>
        <family val="3"/>
        <charset val="128"/>
      </rPr>
      <t>類型別</t>
    </r>
    <rPh sb="0" eb="2">
      <t>ルイケイ</t>
    </rPh>
    <rPh sb="2" eb="3">
      <t>ベツ</t>
    </rPh>
    <phoneticPr fontId="3"/>
  </si>
  <si>
    <r>
      <rPr>
        <sz val="11"/>
        <rFont val="BIZ UDPゴシック"/>
        <family val="3"/>
        <charset val="128"/>
      </rPr>
      <t>人対車両</t>
    </r>
    <rPh sb="0" eb="1">
      <t>ヒト</t>
    </rPh>
    <rPh sb="1" eb="2">
      <t>タイ</t>
    </rPh>
    <rPh sb="2" eb="4">
      <t>シャリョウ</t>
    </rPh>
    <phoneticPr fontId="3"/>
  </si>
  <si>
    <r>
      <rPr>
        <sz val="11"/>
        <rFont val="BIZ UDPゴシック"/>
        <family val="3"/>
        <charset val="128"/>
      </rPr>
      <t>車両相互</t>
    </r>
    <rPh sb="0" eb="2">
      <t>シャリョウ</t>
    </rPh>
    <rPh sb="2" eb="4">
      <t>ソウゴ</t>
    </rPh>
    <phoneticPr fontId="3"/>
  </si>
  <si>
    <r>
      <rPr>
        <sz val="11"/>
        <rFont val="BIZ UDPゴシック"/>
        <family val="3"/>
        <charset val="128"/>
      </rPr>
      <t>車両単独</t>
    </r>
    <rPh sb="0" eb="2">
      <t>シャリョウ</t>
    </rPh>
    <rPh sb="2" eb="4">
      <t>タンドク</t>
    </rPh>
    <phoneticPr fontId="3"/>
  </si>
  <si>
    <r>
      <rPr>
        <sz val="11"/>
        <rFont val="BIZ UDPゴシック"/>
        <family val="3"/>
        <charset val="128"/>
      </rPr>
      <t>列車</t>
    </r>
    <rPh sb="0" eb="2">
      <t>レッシャ</t>
    </rPh>
    <phoneticPr fontId="3"/>
  </si>
  <si>
    <t>２．交通事故の推移</t>
    <rPh sb="2" eb="4">
      <t>コウツウ</t>
    </rPh>
    <rPh sb="4" eb="6">
      <t>ジコ</t>
    </rPh>
    <rPh sb="7" eb="9">
      <t>スイイ</t>
    </rPh>
    <phoneticPr fontId="3"/>
  </si>
  <si>
    <r>
      <rPr>
        <sz val="12"/>
        <rFont val="Arial Unicode MS"/>
        <family val="3"/>
        <charset val="128"/>
      </rPr>
      <t>（１）交通事故の年別推移（昭和４５年以降）</t>
    </r>
    <rPh sb="3" eb="5">
      <t>コウツウ</t>
    </rPh>
    <rPh sb="5" eb="7">
      <t>ジコ</t>
    </rPh>
    <rPh sb="8" eb="10">
      <t>ネンベツ</t>
    </rPh>
    <rPh sb="10" eb="12">
      <t>スイイ</t>
    </rPh>
    <rPh sb="13" eb="15">
      <t>ショウワ</t>
    </rPh>
    <rPh sb="17" eb="20">
      <t>ネンイコウ</t>
    </rPh>
    <phoneticPr fontId="3"/>
  </si>
  <si>
    <r>
      <rPr>
        <sz val="11"/>
        <rFont val="Arial Unicode MS"/>
        <family val="3"/>
        <charset val="128"/>
      </rPr>
      <t>年次別交通事故推移</t>
    </r>
    <rPh sb="0" eb="2">
      <t>ネンジ</t>
    </rPh>
    <rPh sb="2" eb="3">
      <t>ベツ</t>
    </rPh>
    <rPh sb="3" eb="5">
      <t>コウツウ</t>
    </rPh>
    <rPh sb="5" eb="7">
      <t>ジコ</t>
    </rPh>
    <rPh sb="7" eb="9">
      <t>スイイ</t>
    </rPh>
    <phoneticPr fontId="3"/>
  </si>
  <si>
    <r>
      <rPr>
        <sz val="11"/>
        <rFont val="Arial Unicode MS"/>
        <family val="3"/>
        <charset val="128"/>
      </rPr>
      <t>区分</t>
    </r>
    <rPh sb="0" eb="2">
      <t>クブン</t>
    </rPh>
    <phoneticPr fontId="3"/>
  </si>
  <si>
    <r>
      <rPr>
        <sz val="11"/>
        <rFont val="Arial Unicode MS"/>
        <family val="3"/>
        <charset val="128"/>
      </rPr>
      <t>大阪市域内</t>
    </r>
    <rPh sb="0" eb="3">
      <t>オオサカシ</t>
    </rPh>
    <rPh sb="3" eb="5">
      <t>イキナイ</t>
    </rPh>
    <phoneticPr fontId="3"/>
  </si>
  <si>
    <r>
      <rPr>
        <sz val="11"/>
        <rFont val="Arial Unicode MS"/>
        <family val="3"/>
        <charset val="128"/>
      </rPr>
      <t>大阪府全域</t>
    </r>
    <rPh sb="0" eb="3">
      <t>オオサカフ</t>
    </rPh>
    <rPh sb="3" eb="5">
      <t>ゼンイキ</t>
    </rPh>
    <phoneticPr fontId="3"/>
  </si>
  <si>
    <r>
      <rPr>
        <sz val="11"/>
        <rFont val="Arial Unicode MS"/>
        <family val="3"/>
        <charset val="128"/>
      </rPr>
      <t>全　　　国</t>
    </r>
    <rPh sb="0" eb="1">
      <t>ゼン</t>
    </rPh>
    <rPh sb="4" eb="5">
      <t>クニ</t>
    </rPh>
    <phoneticPr fontId="3"/>
  </si>
  <si>
    <r>
      <rPr>
        <sz val="11"/>
        <rFont val="Arial Unicode MS"/>
        <family val="3"/>
        <charset val="128"/>
      </rPr>
      <t>年別</t>
    </r>
    <rPh sb="0" eb="2">
      <t>ネンベツ</t>
    </rPh>
    <phoneticPr fontId="3"/>
  </si>
  <si>
    <r>
      <rPr>
        <sz val="9"/>
        <rFont val="Arial Unicode MS"/>
        <family val="3"/>
        <charset val="128"/>
      </rPr>
      <t>件数</t>
    </r>
    <rPh sb="0" eb="2">
      <t>ケンスウ</t>
    </rPh>
    <phoneticPr fontId="3"/>
  </si>
  <si>
    <r>
      <rPr>
        <sz val="9"/>
        <rFont val="Arial Unicode MS"/>
        <family val="3"/>
        <charset val="128"/>
      </rPr>
      <t>死者数</t>
    </r>
    <rPh sb="0" eb="2">
      <t>シシャ</t>
    </rPh>
    <rPh sb="2" eb="3">
      <t>スウ</t>
    </rPh>
    <phoneticPr fontId="3"/>
  </si>
  <si>
    <r>
      <rPr>
        <sz val="9"/>
        <rFont val="Arial Unicode MS"/>
        <family val="3"/>
        <charset val="128"/>
      </rPr>
      <t>負傷者数</t>
    </r>
    <rPh sb="1" eb="2">
      <t>キズ</t>
    </rPh>
    <rPh sb="2" eb="3">
      <t>シャ</t>
    </rPh>
    <rPh sb="3" eb="4">
      <t>スウ</t>
    </rPh>
    <phoneticPr fontId="3"/>
  </si>
  <si>
    <t>S45</t>
    <phoneticPr fontId="3"/>
  </si>
  <si>
    <r>
      <rPr>
        <sz val="11"/>
        <rFont val="Arial Unicode MS"/>
        <family val="3"/>
        <charset val="128"/>
      </rPr>
      <t>１次</t>
    </r>
    <rPh sb="1" eb="2">
      <t>ジ</t>
    </rPh>
    <phoneticPr fontId="3"/>
  </si>
  <si>
    <t>S46</t>
    <phoneticPr fontId="3"/>
  </si>
  <si>
    <t>S47</t>
    <phoneticPr fontId="3"/>
  </si>
  <si>
    <t>S48</t>
    <phoneticPr fontId="3"/>
  </si>
  <si>
    <t>S49</t>
    <phoneticPr fontId="3"/>
  </si>
  <si>
    <t>S50</t>
    <phoneticPr fontId="3"/>
  </si>
  <si>
    <r>
      <rPr>
        <sz val="11"/>
        <rFont val="Arial Unicode MS"/>
        <family val="3"/>
        <charset val="128"/>
      </rPr>
      <t>２次</t>
    </r>
    <rPh sb="1" eb="2">
      <t>ジ</t>
    </rPh>
    <phoneticPr fontId="3"/>
  </si>
  <si>
    <t>S51</t>
    <phoneticPr fontId="3"/>
  </si>
  <si>
    <t>ー</t>
    <phoneticPr fontId="3"/>
  </si>
  <si>
    <t>S52</t>
    <phoneticPr fontId="3"/>
  </si>
  <si>
    <t>S53</t>
    <phoneticPr fontId="3"/>
  </si>
  <si>
    <t>S54</t>
    <phoneticPr fontId="3"/>
  </si>
  <si>
    <t>S55</t>
    <phoneticPr fontId="3"/>
  </si>
  <si>
    <r>
      <rPr>
        <sz val="11"/>
        <rFont val="Arial Unicode MS"/>
        <family val="3"/>
        <charset val="128"/>
      </rPr>
      <t>３次</t>
    </r>
    <rPh sb="1" eb="2">
      <t>ジ</t>
    </rPh>
    <phoneticPr fontId="3"/>
  </si>
  <si>
    <t>S56</t>
    <phoneticPr fontId="3"/>
  </si>
  <si>
    <t>S57</t>
    <phoneticPr fontId="3"/>
  </si>
  <si>
    <t>S58</t>
    <phoneticPr fontId="3"/>
  </si>
  <si>
    <t>S59</t>
    <phoneticPr fontId="3"/>
  </si>
  <si>
    <t>S60</t>
    <phoneticPr fontId="3"/>
  </si>
  <si>
    <r>
      <rPr>
        <sz val="11"/>
        <rFont val="Arial Unicode MS"/>
        <family val="3"/>
        <charset val="128"/>
      </rPr>
      <t>４次</t>
    </r>
    <rPh sb="1" eb="2">
      <t>ジ</t>
    </rPh>
    <phoneticPr fontId="3"/>
  </si>
  <si>
    <t>S61</t>
    <phoneticPr fontId="3"/>
  </si>
  <si>
    <t>S62</t>
    <phoneticPr fontId="3"/>
  </si>
  <si>
    <t>S63</t>
    <phoneticPr fontId="3"/>
  </si>
  <si>
    <r>
      <t>H</t>
    </r>
    <r>
      <rPr>
        <sz val="11"/>
        <rFont val="Arial Unicode MS"/>
        <family val="3"/>
        <charset val="128"/>
      </rPr>
      <t>元</t>
    </r>
    <rPh sb="1" eb="2">
      <t>ガン</t>
    </rPh>
    <phoneticPr fontId="3"/>
  </si>
  <si>
    <t>H2</t>
    <phoneticPr fontId="3"/>
  </si>
  <si>
    <r>
      <rPr>
        <sz val="11"/>
        <rFont val="Arial Unicode MS"/>
        <family val="3"/>
        <charset val="128"/>
      </rPr>
      <t>５次</t>
    </r>
    <rPh sb="1" eb="2">
      <t>ジ</t>
    </rPh>
    <phoneticPr fontId="3"/>
  </si>
  <si>
    <t>H3</t>
    <phoneticPr fontId="3"/>
  </si>
  <si>
    <t>H4</t>
    <phoneticPr fontId="3"/>
  </si>
  <si>
    <t>H5</t>
    <phoneticPr fontId="3"/>
  </si>
  <si>
    <t>H6</t>
    <phoneticPr fontId="3"/>
  </si>
  <si>
    <t>H7</t>
    <phoneticPr fontId="3"/>
  </si>
  <si>
    <r>
      <rPr>
        <sz val="11"/>
        <rFont val="Arial Unicode MS"/>
        <family val="3"/>
        <charset val="128"/>
      </rPr>
      <t>６次</t>
    </r>
    <rPh sb="1" eb="2">
      <t>ジ</t>
    </rPh>
    <phoneticPr fontId="3"/>
  </si>
  <si>
    <t>H8</t>
    <phoneticPr fontId="3"/>
  </si>
  <si>
    <t>H9</t>
    <phoneticPr fontId="3"/>
  </si>
  <si>
    <t>H10</t>
    <phoneticPr fontId="3"/>
  </si>
  <si>
    <t>H11</t>
    <phoneticPr fontId="3"/>
  </si>
  <si>
    <t>H12</t>
    <phoneticPr fontId="3"/>
  </si>
  <si>
    <r>
      <rPr>
        <sz val="11"/>
        <rFont val="Arial Unicode MS"/>
        <family val="3"/>
        <charset val="128"/>
      </rPr>
      <t>７次</t>
    </r>
    <rPh sb="1" eb="2">
      <t>ジ</t>
    </rPh>
    <phoneticPr fontId="3"/>
  </si>
  <si>
    <t>H13</t>
    <phoneticPr fontId="3"/>
  </si>
  <si>
    <t>H14</t>
    <phoneticPr fontId="3"/>
  </si>
  <si>
    <t>H15</t>
    <phoneticPr fontId="3"/>
  </si>
  <si>
    <t>H16</t>
    <phoneticPr fontId="3"/>
  </si>
  <si>
    <t>H17</t>
    <phoneticPr fontId="3"/>
  </si>
  <si>
    <r>
      <rPr>
        <sz val="11"/>
        <rFont val="Arial Unicode MS"/>
        <family val="3"/>
        <charset val="128"/>
      </rPr>
      <t>８次</t>
    </r>
    <rPh sb="1" eb="2">
      <t>ジ</t>
    </rPh>
    <phoneticPr fontId="3"/>
  </si>
  <si>
    <t>H18</t>
    <phoneticPr fontId="3"/>
  </si>
  <si>
    <t>H19</t>
    <phoneticPr fontId="3"/>
  </si>
  <si>
    <t>H20</t>
    <phoneticPr fontId="3"/>
  </si>
  <si>
    <t>H21</t>
    <phoneticPr fontId="3"/>
  </si>
  <si>
    <t>H22</t>
    <phoneticPr fontId="3"/>
  </si>
  <si>
    <r>
      <rPr>
        <sz val="11"/>
        <rFont val="Arial Unicode MS"/>
        <family val="3"/>
        <charset val="128"/>
      </rPr>
      <t>９次</t>
    </r>
    <rPh sb="1" eb="2">
      <t>ツギ</t>
    </rPh>
    <phoneticPr fontId="3"/>
  </si>
  <si>
    <t>H23</t>
    <phoneticPr fontId="3"/>
  </si>
  <si>
    <t>H24</t>
    <phoneticPr fontId="3"/>
  </si>
  <si>
    <t>H25</t>
    <phoneticPr fontId="3"/>
  </si>
  <si>
    <t>H26</t>
    <phoneticPr fontId="3"/>
  </si>
  <si>
    <t>H27</t>
    <phoneticPr fontId="3"/>
  </si>
  <si>
    <r>
      <t>10</t>
    </r>
    <r>
      <rPr>
        <sz val="11"/>
        <rFont val="Arial Unicode MS"/>
        <family val="3"/>
        <charset val="128"/>
      </rPr>
      <t>次</t>
    </r>
    <rPh sb="2" eb="3">
      <t>ジ</t>
    </rPh>
    <phoneticPr fontId="3"/>
  </si>
  <si>
    <t>H28</t>
    <phoneticPr fontId="3"/>
  </si>
  <si>
    <t>H29</t>
    <phoneticPr fontId="3"/>
  </si>
  <si>
    <t>H30</t>
    <phoneticPr fontId="3"/>
  </si>
  <si>
    <r>
      <t>R</t>
    </r>
    <r>
      <rPr>
        <sz val="11"/>
        <rFont val="Arial Unicode MS"/>
        <family val="3"/>
        <charset val="128"/>
      </rPr>
      <t>元</t>
    </r>
    <rPh sb="1" eb="2">
      <t>モト</t>
    </rPh>
    <phoneticPr fontId="3"/>
  </si>
  <si>
    <r>
      <t>R</t>
    </r>
    <r>
      <rPr>
        <sz val="11"/>
        <rFont val="ＭＳ Ｐゴシック"/>
        <family val="3"/>
        <charset val="128"/>
      </rPr>
      <t>２</t>
    </r>
    <phoneticPr fontId="3"/>
  </si>
  <si>
    <r>
      <t>11</t>
    </r>
    <r>
      <rPr>
        <sz val="11"/>
        <rFont val="ＭＳ Ｐゴシック"/>
        <family val="3"/>
        <charset val="128"/>
      </rPr>
      <t>次</t>
    </r>
    <rPh sb="2" eb="3">
      <t>ツギ</t>
    </rPh>
    <phoneticPr fontId="3"/>
  </si>
  <si>
    <r>
      <t>R</t>
    </r>
    <r>
      <rPr>
        <sz val="11"/>
        <rFont val="ＭＳ Ｐゴシック"/>
        <family val="3"/>
        <charset val="128"/>
      </rPr>
      <t>３</t>
    </r>
    <phoneticPr fontId="3"/>
  </si>
  <si>
    <t>R4</t>
    <phoneticPr fontId="3"/>
  </si>
  <si>
    <r>
      <rPr>
        <sz val="11"/>
        <rFont val="Arial Unicode MS"/>
        <family val="3"/>
        <charset val="128"/>
      </rPr>
      <t>負傷者数</t>
    </r>
  </si>
  <si>
    <r>
      <rPr>
        <sz val="11"/>
        <rFont val="Arial Unicode MS"/>
        <family val="3"/>
        <charset val="128"/>
      </rPr>
      <t>死者数</t>
    </r>
  </si>
  <si>
    <r>
      <rPr>
        <sz val="11"/>
        <rFont val="Arial Unicode MS"/>
        <family val="3"/>
        <charset val="128"/>
      </rPr>
      <t>件数</t>
    </r>
    <rPh sb="0" eb="1">
      <t>ケン</t>
    </rPh>
    <rPh sb="1" eb="2">
      <t>スウ</t>
    </rPh>
    <phoneticPr fontId="3"/>
  </si>
  <si>
    <r>
      <rPr>
        <sz val="11"/>
        <rFont val="Arial Unicode MS"/>
        <family val="3"/>
        <charset val="128"/>
      </rPr>
      <t>負傷者数</t>
    </r>
    <rPh sb="0" eb="1">
      <t>フ</t>
    </rPh>
    <rPh sb="1" eb="2">
      <t>キズ</t>
    </rPh>
    <rPh sb="2" eb="3">
      <t>モノ</t>
    </rPh>
    <rPh sb="3" eb="4">
      <t>スウ</t>
    </rPh>
    <phoneticPr fontId="3"/>
  </si>
  <si>
    <r>
      <rPr>
        <sz val="11"/>
        <rFont val="Arial Unicode MS"/>
        <family val="3"/>
        <charset val="128"/>
      </rPr>
      <t>死者数</t>
    </r>
    <rPh sb="0" eb="1">
      <t>シ</t>
    </rPh>
    <rPh sb="1" eb="2">
      <t>モノ</t>
    </rPh>
    <rPh sb="2" eb="3">
      <t>スウ</t>
    </rPh>
    <phoneticPr fontId="3"/>
  </si>
  <si>
    <r>
      <rPr>
        <sz val="11"/>
        <rFont val="Arial Unicode MS"/>
        <family val="3"/>
        <charset val="128"/>
      </rPr>
      <t>大阪市域内</t>
    </r>
    <rPh sb="0" eb="3">
      <t>オオサカシ</t>
    </rPh>
    <rPh sb="3" eb="4">
      <t>イキ</t>
    </rPh>
    <rPh sb="4" eb="5">
      <t>ナイ</t>
    </rPh>
    <phoneticPr fontId="3"/>
  </si>
  <si>
    <r>
      <rPr>
        <sz val="11"/>
        <rFont val="Arial Unicode MS"/>
        <family val="3"/>
        <charset val="128"/>
      </rPr>
      <t>増減率　　％</t>
    </r>
    <rPh sb="0" eb="2">
      <t>ゾウゲン</t>
    </rPh>
    <rPh sb="2" eb="3">
      <t>リツ</t>
    </rPh>
    <phoneticPr fontId="3"/>
  </si>
  <si>
    <r>
      <rPr>
        <sz val="11"/>
        <rFont val="Arial Unicode MS"/>
        <family val="3"/>
        <charset val="128"/>
      </rPr>
      <t>増▲減</t>
    </r>
    <rPh sb="0" eb="1">
      <t>ゾウ</t>
    </rPh>
    <rPh sb="2" eb="3">
      <t>ゲン</t>
    </rPh>
    <phoneticPr fontId="3"/>
  </si>
  <si>
    <r>
      <rPr>
        <sz val="11"/>
        <rFont val="Arial Unicode MS"/>
        <family val="3"/>
        <charset val="128"/>
      </rPr>
      <t>（</t>
    </r>
    <r>
      <rPr>
        <sz val="11"/>
        <rFont val="Arial"/>
        <family val="2"/>
      </rPr>
      <t>1970</t>
    </r>
    <r>
      <rPr>
        <sz val="11"/>
        <rFont val="Arial Unicode MS"/>
        <family val="3"/>
        <charset val="128"/>
      </rPr>
      <t>年）</t>
    </r>
    <rPh sb="5" eb="6">
      <t>ネン</t>
    </rPh>
    <phoneticPr fontId="3"/>
  </si>
  <si>
    <r>
      <rPr>
        <sz val="11"/>
        <rFont val="Arial Unicode MS"/>
        <family val="3"/>
        <charset val="128"/>
      </rPr>
      <t>（</t>
    </r>
    <r>
      <rPr>
        <sz val="11"/>
        <rFont val="Arial"/>
        <family val="2"/>
      </rPr>
      <t>2021</t>
    </r>
    <r>
      <rPr>
        <sz val="11"/>
        <rFont val="Arial Unicode MS"/>
        <family val="3"/>
        <charset val="128"/>
      </rPr>
      <t>年）</t>
    </r>
    <rPh sb="5" eb="6">
      <t>ネン</t>
    </rPh>
    <phoneticPr fontId="3"/>
  </si>
  <si>
    <r>
      <rPr>
        <sz val="11"/>
        <rFont val="Arial Unicode MS"/>
        <family val="3"/>
        <charset val="128"/>
      </rPr>
      <t>昭和</t>
    </r>
    <r>
      <rPr>
        <sz val="11"/>
        <rFont val="Arial"/>
        <family val="2"/>
      </rPr>
      <t>45</t>
    </r>
    <r>
      <rPr>
        <sz val="11"/>
        <rFont val="Arial Unicode MS"/>
        <family val="3"/>
        <charset val="128"/>
      </rPr>
      <t>年との対比</t>
    </r>
    <rPh sb="0" eb="2">
      <t>ショウワ</t>
    </rPh>
    <rPh sb="4" eb="5">
      <t>ネン</t>
    </rPh>
    <rPh sb="7" eb="9">
      <t>タイヒ</t>
    </rPh>
    <phoneticPr fontId="3"/>
  </si>
  <si>
    <r>
      <rPr>
        <sz val="11"/>
        <rFont val="Arial Unicode MS"/>
        <family val="3"/>
        <charset val="128"/>
      </rPr>
      <t>昭和</t>
    </r>
    <r>
      <rPr>
        <sz val="11"/>
        <rFont val="Arial"/>
        <family val="2"/>
      </rPr>
      <t>45</t>
    </r>
    <r>
      <rPr>
        <sz val="11"/>
        <rFont val="Arial Unicode MS"/>
        <family val="3"/>
        <charset val="128"/>
      </rPr>
      <t>年</t>
    </r>
    <rPh sb="0" eb="2">
      <t>ショウワ</t>
    </rPh>
    <rPh sb="4" eb="5">
      <t>ネン</t>
    </rPh>
    <phoneticPr fontId="3"/>
  </si>
  <si>
    <r>
      <rPr>
        <sz val="9"/>
        <rFont val="Arial Unicode MS"/>
        <family val="3"/>
        <charset val="128"/>
      </rPr>
      <t>（件数：件／死者数・負傷者数：人）</t>
    </r>
    <phoneticPr fontId="3"/>
  </si>
  <si>
    <r>
      <rPr>
        <sz val="11"/>
        <rFont val="Arial Unicode MS"/>
        <family val="3"/>
        <charset val="128"/>
      </rPr>
      <t>昭和４５年との比較</t>
    </r>
    <rPh sb="0" eb="2">
      <t>ショウワ</t>
    </rPh>
    <rPh sb="4" eb="5">
      <t>ネン</t>
    </rPh>
    <rPh sb="7" eb="9">
      <t>ヒカク</t>
    </rPh>
    <phoneticPr fontId="3"/>
  </si>
  <si>
    <r>
      <rPr>
        <sz val="12"/>
        <rFont val="Arial Unicode MS"/>
        <family val="3"/>
        <charset val="128"/>
      </rPr>
      <t>（２）交通情勢の推移</t>
    </r>
    <rPh sb="3" eb="5">
      <t>コウツウ</t>
    </rPh>
    <rPh sb="5" eb="7">
      <t>ジョウセイ</t>
    </rPh>
    <rPh sb="8" eb="10">
      <t>スイイ</t>
    </rPh>
    <phoneticPr fontId="3"/>
  </si>
  <si>
    <t>人口と交通事故死傷者の推移</t>
    <rPh sb="0" eb="2">
      <t>ジンコウ</t>
    </rPh>
    <rPh sb="3" eb="5">
      <t>コウツウ</t>
    </rPh>
    <rPh sb="5" eb="7">
      <t>ジコ</t>
    </rPh>
    <rPh sb="7" eb="10">
      <t>シショウシャ</t>
    </rPh>
    <rPh sb="11" eb="13">
      <t>スイイ</t>
    </rPh>
    <phoneticPr fontId="3"/>
  </si>
  <si>
    <r>
      <rPr>
        <sz val="11"/>
        <rFont val="Arial Unicode MS"/>
        <family val="3"/>
        <charset val="128"/>
      </rPr>
      <t>人　　口</t>
    </r>
    <rPh sb="0" eb="1">
      <t>ヒト</t>
    </rPh>
    <rPh sb="3" eb="4">
      <t>クチ</t>
    </rPh>
    <phoneticPr fontId="3"/>
  </si>
  <si>
    <r>
      <rPr>
        <sz val="11"/>
        <rFont val="Arial Unicode MS"/>
        <family val="3"/>
        <charset val="128"/>
      </rPr>
      <t>１０万人当り</t>
    </r>
    <rPh sb="2" eb="4">
      <t>マンニン</t>
    </rPh>
    <rPh sb="4" eb="5">
      <t>アタ</t>
    </rPh>
    <phoneticPr fontId="3"/>
  </si>
  <si>
    <r>
      <t>(</t>
    </r>
    <r>
      <rPr>
        <sz val="9"/>
        <rFont val="Arial Unicode MS"/>
        <family val="3"/>
        <charset val="128"/>
      </rPr>
      <t>人</t>
    </r>
    <r>
      <rPr>
        <sz val="9"/>
        <rFont val="Arial"/>
        <family val="2"/>
      </rPr>
      <t>)</t>
    </r>
    <rPh sb="1" eb="2">
      <t>ニン</t>
    </rPh>
    <phoneticPr fontId="3"/>
  </si>
  <si>
    <r>
      <rPr>
        <sz val="9"/>
        <rFont val="Arial Unicode MS"/>
        <family val="3"/>
        <charset val="128"/>
      </rPr>
      <t>指数</t>
    </r>
    <rPh sb="0" eb="2">
      <t>シスウ</t>
    </rPh>
    <phoneticPr fontId="3"/>
  </si>
  <si>
    <r>
      <rPr>
        <sz val="9"/>
        <rFont val="Arial Unicode MS"/>
        <family val="3"/>
        <charset val="128"/>
      </rPr>
      <t>負傷者数</t>
    </r>
    <rPh sb="0" eb="1">
      <t>フ</t>
    </rPh>
    <rPh sb="1" eb="2">
      <t>キズ</t>
    </rPh>
    <rPh sb="2" eb="3">
      <t>モノ</t>
    </rPh>
    <rPh sb="3" eb="4">
      <t>スウ</t>
    </rPh>
    <phoneticPr fontId="3"/>
  </si>
  <si>
    <r>
      <t>H</t>
    </r>
    <r>
      <rPr>
        <sz val="11"/>
        <rFont val="Arial Unicode MS"/>
        <family val="3"/>
        <charset val="128"/>
      </rPr>
      <t>元</t>
    </r>
    <rPh sb="1" eb="2">
      <t>モト</t>
    </rPh>
    <phoneticPr fontId="3"/>
  </si>
  <si>
    <t>R2</t>
    <phoneticPr fontId="3"/>
  </si>
  <si>
    <t>R3</t>
    <phoneticPr fontId="3"/>
  </si>
  <si>
    <r>
      <rPr>
        <sz val="11"/>
        <rFont val="Arial Unicode MS"/>
        <family val="3"/>
        <charset val="128"/>
      </rPr>
      <t>各年１０月１日現在</t>
    </r>
    <phoneticPr fontId="3"/>
  </si>
  <si>
    <t>３．令和4年中の大阪市の交通事故の発生状況</t>
    <rPh sb="2" eb="4">
      <t>レイワ</t>
    </rPh>
    <rPh sb="5" eb="6">
      <t>ネン</t>
    </rPh>
    <rPh sb="6" eb="7">
      <t>チュウ</t>
    </rPh>
    <rPh sb="8" eb="11">
      <t>オオサカシ</t>
    </rPh>
    <rPh sb="12" eb="14">
      <t>コウツウ</t>
    </rPh>
    <rPh sb="14" eb="16">
      <t>ジコ</t>
    </rPh>
    <rPh sb="17" eb="19">
      <t>ハッセイ</t>
    </rPh>
    <rPh sb="19" eb="21">
      <t>ジョウキョウ</t>
    </rPh>
    <phoneticPr fontId="3"/>
  </si>
  <si>
    <r>
      <rPr>
        <sz val="12"/>
        <rFont val="Arial Unicode MS"/>
        <family val="3"/>
        <charset val="128"/>
      </rPr>
      <t>（１）月別</t>
    </r>
    <rPh sb="3" eb="4">
      <t>ツキ</t>
    </rPh>
    <rPh sb="4" eb="5">
      <t>ベツ</t>
    </rPh>
    <phoneticPr fontId="3"/>
  </si>
  <si>
    <r>
      <rPr>
        <sz val="11"/>
        <rFont val="Arial Unicode MS"/>
        <family val="3"/>
        <charset val="128"/>
      </rPr>
      <t>月別交通事故発生状況</t>
    </r>
    <rPh sb="0" eb="1">
      <t>ツキ</t>
    </rPh>
    <rPh sb="1" eb="2">
      <t>ベツ</t>
    </rPh>
    <rPh sb="2" eb="4">
      <t>コウツウ</t>
    </rPh>
    <rPh sb="4" eb="6">
      <t>ジコ</t>
    </rPh>
    <rPh sb="6" eb="8">
      <t>ハッセイ</t>
    </rPh>
    <rPh sb="8" eb="10">
      <t>ジョウキョウ</t>
    </rPh>
    <phoneticPr fontId="3"/>
  </si>
  <si>
    <r>
      <rPr>
        <sz val="9"/>
        <rFont val="Arial Unicode MS"/>
        <family val="3"/>
        <charset val="128"/>
      </rPr>
      <t>月別</t>
    </r>
    <rPh sb="0" eb="2">
      <t>ツキベツ</t>
    </rPh>
    <phoneticPr fontId="3"/>
  </si>
  <si>
    <r>
      <rPr>
        <sz val="11"/>
        <rFont val="Arial Unicode MS"/>
        <family val="3"/>
        <charset val="128"/>
      </rPr>
      <t>総数</t>
    </r>
    <rPh sb="0" eb="2">
      <t>ソウスウ</t>
    </rPh>
    <phoneticPr fontId="3"/>
  </si>
  <si>
    <r>
      <rPr>
        <sz val="9"/>
        <rFont val="Arial Unicode MS"/>
        <family val="3"/>
        <charset val="128"/>
      </rPr>
      <t>区分</t>
    </r>
    <rPh sb="0" eb="2">
      <t>クブン</t>
    </rPh>
    <phoneticPr fontId="3"/>
  </si>
  <si>
    <t>大阪市域内</t>
    <rPh sb="0" eb="2">
      <t>オオサカ</t>
    </rPh>
    <rPh sb="2" eb="4">
      <t>シイキ</t>
    </rPh>
    <rPh sb="4" eb="5">
      <t>ナイ</t>
    </rPh>
    <phoneticPr fontId="3"/>
  </si>
  <si>
    <r>
      <rPr>
        <sz val="11"/>
        <rFont val="Arial Unicode MS"/>
        <family val="3"/>
        <charset val="128"/>
      </rPr>
      <t>件数</t>
    </r>
    <rPh sb="0" eb="2">
      <t>ケンスウ</t>
    </rPh>
    <phoneticPr fontId="3"/>
  </si>
  <si>
    <r>
      <rPr>
        <sz val="11"/>
        <rFont val="Arial Unicode MS"/>
        <family val="3"/>
        <charset val="128"/>
      </rPr>
      <t>死者数</t>
    </r>
    <rPh sb="0" eb="2">
      <t>シシャ</t>
    </rPh>
    <rPh sb="2" eb="3">
      <t>スウ</t>
    </rPh>
    <phoneticPr fontId="3"/>
  </si>
  <si>
    <r>
      <rPr>
        <sz val="11"/>
        <rFont val="Arial Unicode MS"/>
        <family val="3"/>
        <charset val="128"/>
      </rPr>
      <t>内子ども</t>
    </r>
    <rPh sb="0" eb="1">
      <t>ウチ</t>
    </rPh>
    <rPh sb="1" eb="2">
      <t>コ</t>
    </rPh>
    <phoneticPr fontId="3"/>
  </si>
  <si>
    <r>
      <rPr>
        <sz val="11"/>
        <rFont val="Arial Unicode MS"/>
        <family val="3"/>
        <charset val="128"/>
      </rPr>
      <t>内高齢者</t>
    </r>
    <rPh sb="0" eb="1">
      <t>ウチ</t>
    </rPh>
    <rPh sb="1" eb="4">
      <t>コウレイシャ</t>
    </rPh>
    <phoneticPr fontId="3"/>
  </si>
  <si>
    <r>
      <rPr>
        <sz val="11"/>
        <rFont val="Arial Unicode MS"/>
        <family val="3"/>
        <charset val="128"/>
      </rPr>
      <t>負傷者数</t>
    </r>
    <rPh sb="0" eb="1">
      <t>フ</t>
    </rPh>
    <rPh sb="1" eb="3">
      <t>ショウシャ</t>
    </rPh>
    <rPh sb="3" eb="4">
      <t>スウ</t>
    </rPh>
    <phoneticPr fontId="3"/>
  </si>
  <si>
    <t>大阪市域外</t>
    <rPh sb="0" eb="2">
      <t>オオサカ</t>
    </rPh>
    <rPh sb="2" eb="3">
      <t>シ</t>
    </rPh>
    <rPh sb="3" eb="4">
      <t>イキ</t>
    </rPh>
    <rPh sb="4" eb="5">
      <t>ガイ</t>
    </rPh>
    <phoneticPr fontId="3"/>
  </si>
  <si>
    <t>大阪府全域</t>
    <rPh sb="0" eb="3">
      <t>オオサカフ</t>
    </rPh>
    <rPh sb="3" eb="5">
      <t>ゼンイキ</t>
    </rPh>
    <phoneticPr fontId="3"/>
  </si>
  <si>
    <r>
      <t>(</t>
    </r>
    <r>
      <rPr>
        <sz val="11"/>
        <rFont val="Arial Unicode MS"/>
        <family val="3"/>
        <charset val="128"/>
      </rPr>
      <t>注</t>
    </r>
    <r>
      <rPr>
        <sz val="11"/>
        <rFont val="Arial"/>
        <family val="2"/>
      </rPr>
      <t>)</t>
    </r>
    <rPh sb="1" eb="2">
      <t>チュウ</t>
    </rPh>
    <phoneticPr fontId="3"/>
  </si>
  <si>
    <r>
      <rPr>
        <sz val="11"/>
        <rFont val="Arial Unicode MS"/>
        <family val="3"/>
        <charset val="128"/>
      </rPr>
      <t>高速道路等は大阪市域外に計上。</t>
    </r>
    <rPh sb="0" eb="2">
      <t>コウソク</t>
    </rPh>
    <rPh sb="2" eb="4">
      <t>ドウロ</t>
    </rPh>
    <rPh sb="4" eb="5">
      <t>ナド</t>
    </rPh>
    <rPh sb="6" eb="8">
      <t>オオサカ</t>
    </rPh>
    <rPh sb="8" eb="10">
      <t>シイキ</t>
    </rPh>
    <rPh sb="10" eb="11">
      <t>ガイ</t>
    </rPh>
    <rPh sb="12" eb="14">
      <t>ケイジョウ</t>
    </rPh>
    <phoneticPr fontId="3"/>
  </si>
  <si>
    <r>
      <rPr>
        <sz val="11"/>
        <rFont val="Arial Unicode MS"/>
        <family val="3"/>
        <charset val="128"/>
      </rPr>
      <t>子ども及び高齢者は自身の数を計上。</t>
    </r>
    <rPh sb="0" eb="1">
      <t>コ</t>
    </rPh>
    <rPh sb="3" eb="4">
      <t>オヨ</t>
    </rPh>
    <rPh sb="5" eb="8">
      <t>コウレイシャ</t>
    </rPh>
    <rPh sb="9" eb="11">
      <t>ジシン</t>
    </rPh>
    <rPh sb="12" eb="13">
      <t>カズ</t>
    </rPh>
    <rPh sb="14" eb="16">
      <t>ケイジョウ</t>
    </rPh>
    <phoneticPr fontId="3"/>
  </si>
  <si>
    <r>
      <rPr>
        <sz val="12"/>
        <rFont val="ＭＳ ゴシック"/>
        <family val="3"/>
        <charset val="128"/>
      </rPr>
      <t>（２）行政区別</t>
    </r>
    <rPh sb="3" eb="6">
      <t>ギョウセイク</t>
    </rPh>
    <rPh sb="6" eb="7">
      <t>ベツ</t>
    </rPh>
    <phoneticPr fontId="3"/>
  </si>
  <si>
    <r>
      <rPr>
        <sz val="11"/>
        <rFont val="ＭＳ ゴシック"/>
        <family val="3"/>
        <charset val="128"/>
      </rPr>
      <t>行政区別発生状況</t>
    </r>
    <rPh sb="0" eb="2">
      <t>ギョウセイ</t>
    </rPh>
    <rPh sb="2" eb="4">
      <t>クベツ</t>
    </rPh>
    <rPh sb="4" eb="6">
      <t>ハッセイ</t>
    </rPh>
    <rPh sb="6" eb="8">
      <t>ジョウキョウ</t>
    </rPh>
    <phoneticPr fontId="3"/>
  </si>
  <si>
    <r>
      <rPr>
        <sz val="9"/>
        <rFont val="ＭＳ ゴシック"/>
        <family val="3"/>
        <charset val="128"/>
      </rPr>
      <t>（件数：件／死者数・負傷者数：人）</t>
    </r>
    <phoneticPr fontId="3"/>
  </si>
  <si>
    <r>
      <rPr>
        <sz val="11"/>
        <rFont val="ＭＳ ゴシック"/>
        <family val="3"/>
        <charset val="128"/>
      </rPr>
      <t>区別</t>
    </r>
    <rPh sb="0" eb="2">
      <t>クベツ</t>
    </rPh>
    <phoneticPr fontId="3"/>
  </si>
  <si>
    <r>
      <rPr>
        <sz val="11"/>
        <rFont val="ＭＳ ゴシック"/>
        <family val="3"/>
        <charset val="128"/>
      </rPr>
      <t>北</t>
    </r>
    <rPh sb="0" eb="1">
      <t>キタ</t>
    </rPh>
    <phoneticPr fontId="3"/>
  </si>
  <si>
    <r>
      <rPr>
        <sz val="11"/>
        <rFont val="ＭＳ ゴシック"/>
        <family val="3"/>
        <charset val="128"/>
      </rPr>
      <t>都島</t>
    </r>
    <rPh sb="0" eb="2">
      <t>ミヤコジマ</t>
    </rPh>
    <phoneticPr fontId="3"/>
  </si>
  <si>
    <r>
      <rPr>
        <sz val="11"/>
        <rFont val="ＭＳ ゴシック"/>
        <family val="3"/>
        <charset val="128"/>
      </rPr>
      <t>福島</t>
    </r>
    <rPh sb="0" eb="2">
      <t>フクシマ</t>
    </rPh>
    <phoneticPr fontId="3"/>
  </si>
  <si>
    <r>
      <rPr>
        <sz val="11"/>
        <rFont val="ＭＳ ゴシック"/>
        <family val="3"/>
        <charset val="128"/>
      </rPr>
      <t>此花</t>
    </r>
    <rPh sb="0" eb="2">
      <t>コノハナ</t>
    </rPh>
    <phoneticPr fontId="3"/>
  </si>
  <si>
    <r>
      <rPr>
        <sz val="11"/>
        <rFont val="ＭＳ ゴシック"/>
        <family val="3"/>
        <charset val="128"/>
      </rPr>
      <t>中央</t>
    </r>
    <rPh sb="0" eb="2">
      <t>チュウオウ</t>
    </rPh>
    <phoneticPr fontId="3"/>
  </si>
  <si>
    <r>
      <rPr>
        <sz val="11"/>
        <rFont val="ＭＳ ゴシック"/>
        <family val="3"/>
        <charset val="128"/>
      </rPr>
      <t>西</t>
    </r>
    <rPh sb="0" eb="1">
      <t>ニシ</t>
    </rPh>
    <phoneticPr fontId="3"/>
  </si>
  <si>
    <r>
      <rPr>
        <sz val="11"/>
        <rFont val="ＭＳ ゴシック"/>
        <family val="3"/>
        <charset val="128"/>
      </rPr>
      <t>港</t>
    </r>
    <rPh sb="0" eb="1">
      <t>ミナト</t>
    </rPh>
    <phoneticPr fontId="3"/>
  </si>
  <si>
    <r>
      <rPr>
        <sz val="11"/>
        <rFont val="ＭＳ ゴシック"/>
        <family val="3"/>
        <charset val="128"/>
      </rPr>
      <t>大正</t>
    </r>
    <rPh sb="0" eb="2">
      <t>タイショウ</t>
    </rPh>
    <phoneticPr fontId="3"/>
  </si>
  <si>
    <r>
      <rPr>
        <sz val="10"/>
        <rFont val="ＭＳ ゴシック"/>
        <family val="3"/>
        <charset val="128"/>
      </rPr>
      <t>天王寺</t>
    </r>
    <rPh sb="0" eb="3">
      <t>テンノウジ</t>
    </rPh>
    <phoneticPr fontId="3"/>
  </si>
  <si>
    <r>
      <rPr>
        <sz val="11"/>
        <rFont val="ＭＳ ゴシック"/>
        <family val="3"/>
        <charset val="128"/>
      </rPr>
      <t>浪速</t>
    </r>
    <rPh sb="0" eb="2">
      <t>ナニワ</t>
    </rPh>
    <phoneticPr fontId="3"/>
  </si>
  <si>
    <r>
      <rPr>
        <sz val="10"/>
        <rFont val="ＭＳ ゴシック"/>
        <family val="3"/>
        <charset val="128"/>
      </rPr>
      <t>西淀川</t>
    </r>
    <rPh sb="0" eb="3">
      <t>ニシヨドガワ</t>
    </rPh>
    <phoneticPr fontId="3"/>
  </si>
  <si>
    <r>
      <rPr>
        <sz val="11"/>
        <rFont val="ＭＳ ゴシック"/>
        <family val="3"/>
        <charset val="128"/>
      </rPr>
      <t>淀川</t>
    </r>
    <rPh sb="0" eb="2">
      <t>ヨドガワ</t>
    </rPh>
    <phoneticPr fontId="3"/>
  </si>
  <si>
    <r>
      <rPr>
        <sz val="10"/>
        <rFont val="ＭＳ ゴシック"/>
        <family val="3"/>
        <charset val="128"/>
      </rPr>
      <t>東淀川</t>
    </r>
    <rPh sb="0" eb="1">
      <t>ヒガシ</t>
    </rPh>
    <rPh sb="1" eb="3">
      <t>ヨドガワ</t>
    </rPh>
    <phoneticPr fontId="3"/>
  </si>
  <si>
    <r>
      <rPr>
        <sz val="11"/>
        <rFont val="ＭＳ ゴシック"/>
        <family val="3"/>
        <charset val="128"/>
      </rPr>
      <t>区分</t>
    </r>
    <rPh sb="0" eb="2">
      <t>クブン</t>
    </rPh>
    <phoneticPr fontId="3"/>
  </si>
  <si>
    <r>
      <rPr>
        <sz val="11"/>
        <rFont val="ＭＳ Ｐゴシック"/>
        <family val="3"/>
        <charset val="128"/>
      </rPr>
      <t>人口</t>
    </r>
    <rPh sb="0" eb="2">
      <t>ジンコウ</t>
    </rPh>
    <phoneticPr fontId="3"/>
  </si>
  <si>
    <r>
      <rPr>
        <sz val="11"/>
        <rFont val="ＭＳ Ｐゴシック"/>
        <family val="3"/>
        <charset val="128"/>
      </rPr>
      <t>件数</t>
    </r>
    <rPh sb="0" eb="2">
      <t>ケンスウ</t>
    </rPh>
    <phoneticPr fontId="3"/>
  </si>
  <si>
    <r>
      <rPr>
        <sz val="11"/>
        <rFont val="ＭＳ Ｐゴシック"/>
        <family val="3"/>
        <charset val="128"/>
      </rPr>
      <t>死者</t>
    </r>
    <rPh sb="0" eb="2">
      <t>シシャ</t>
    </rPh>
    <phoneticPr fontId="3"/>
  </si>
  <si>
    <r>
      <rPr>
        <sz val="11"/>
        <rFont val="ＭＳ Ｐゴシック"/>
        <family val="3"/>
        <charset val="128"/>
      </rPr>
      <t>傷者</t>
    </r>
    <rPh sb="0" eb="2">
      <t>ショウシャ</t>
    </rPh>
    <phoneticPr fontId="3"/>
  </si>
  <si>
    <r>
      <rPr>
        <sz val="11"/>
        <rFont val="ＭＳ ゴシック"/>
        <family val="3"/>
        <charset val="128"/>
      </rPr>
      <t>件数</t>
    </r>
    <rPh sb="0" eb="2">
      <t>ケンスウ</t>
    </rPh>
    <phoneticPr fontId="3"/>
  </si>
  <si>
    <r>
      <rPr>
        <sz val="11"/>
        <rFont val="ＭＳ Ｐゴシック"/>
        <family val="3"/>
        <charset val="128"/>
      </rPr>
      <t>北</t>
    </r>
    <rPh sb="0" eb="1">
      <t>キタ</t>
    </rPh>
    <phoneticPr fontId="3"/>
  </si>
  <si>
    <r>
      <rPr>
        <sz val="11"/>
        <rFont val="ＭＳ ゴシック"/>
        <family val="3"/>
        <charset val="128"/>
      </rPr>
      <t>死者数</t>
    </r>
    <rPh sb="0" eb="3">
      <t>シシャスウ</t>
    </rPh>
    <phoneticPr fontId="3"/>
  </si>
  <si>
    <r>
      <rPr>
        <sz val="11"/>
        <rFont val="ＭＳ Ｐゴシック"/>
        <family val="3"/>
        <charset val="128"/>
      </rPr>
      <t>都島</t>
    </r>
    <rPh sb="0" eb="2">
      <t>ミヤコジマ</t>
    </rPh>
    <phoneticPr fontId="3"/>
  </si>
  <si>
    <r>
      <rPr>
        <sz val="11"/>
        <rFont val="ＭＳ ゴシック"/>
        <family val="3"/>
        <charset val="128"/>
      </rPr>
      <t>負傷者数</t>
    </r>
    <rPh sb="0" eb="1">
      <t>フ</t>
    </rPh>
    <rPh sb="1" eb="3">
      <t>ショウシャ</t>
    </rPh>
    <rPh sb="3" eb="4">
      <t>スウ</t>
    </rPh>
    <phoneticPr fontId="3"/>
  </si>
  <si>
    <r>
      <rPr>
        <sz val="11"/>
        <rFont val="ＭＳ Ｐゴシック"/>
        <family val="3"/>
        <charset val="128"/>
      </rPr>
      <t>福島</t>
    </r>
    <rPh sb="0" eb="2">
      <t>フクシマ</t>
    </rPh>
    <phoneticPr fontId="3"/>
  </si>
  <si>
    <r>
      <rPr>
        <sz val="11"/>
        <rFont val="ＭＳ Ｐゴシック"/>
        <family val="3"/>
        <charset val="128"/>
      </rPr>
      <t>此花</t>
    </r>
    <rPh sb="0" eb="2">
      <t>コノハナ</t>
    </rPh>
    <phoneticPr fontId="3"/>
  </si>
  <si>
    <r>
      <rPr>
        <sz val="11"/>
        <rFont val="ＭＳ ゴシック"/>
        <family val="3"/>
        <charset val="128"/>
      </rPr>
      <t>人口</t>
    </r>
    <rPh sb="0" eb="2">
      <t>ジンコウ</t>
    </rPh>
    <phoneticPr fontId="3"/>
  </si>
  <si>
    <r>
      <rPr>
        <sz val="11"/>
        <rFont val="ＭＳ Ｐゴシック"/>
        <family val="3"/>
        <charset val="128"/>
      </rPr>
      <t>中央</t>
    </r>
    <rPh sb="0" eb="2">
      <t>チュウオウ</t>
    </rPh>
    <phoneticPr fontId="3"/>
  </si>
  <si>
    <r>
      <rPr>
        <sz val="11"/>
        <rFont val="ＭＳ Ｐゴシック"/>
        <family val="3"/>
        <charset val="128"/>
      </rPr>
      <t>西</t>
    </r>
    <rPh sb="0" eb="1">
      <t>ニシ</t>
    </rPh>
    <phoneticPr fontId="3"/>
  </si>
  <si>
    <r>
      <rPr>
        <sz val="11"/>
        <rFont val="ＭＳ ゴシック"/>
        <family val="3"/>
        <charset val="128"/>
      </rPr>
      <t>東成</t>
    </r>
    <rPh sb="0" eb="2">
      <t>ヒガシナリ</t>
    </rPh>
    <phoneticPr fontId="3"/>
  </si>
  <si>
    <r>
      <rPr>
        <sz val="11"/>
        <rFont val="ＭＳ ゴシック"/>
        <family val="3"/>
        <charset val="128"/>
      </rPr>
      <t>生野</t>
    </r>
    <rPh sb="0" eb="2">
      <t>イクノ</t>
    </rPh>
    <phoneticPr fontId="3"/>
  </si>
  <si>
    <r>
      <rPr>
        <sz val="11"/>
        <rFont val="ＭＳ ゴシック"/>
        <family val="3"/>
        <charset val="128"/>
      </rPr>
      <t>旭</t>
    </r>
    <rPh sb="0" eb="1">
      <t>アサヒ</t>
    </rPh>
    <phoneticPr fontId="3"/>
  </si>
  <si>
    <r>
      <rPr>
        <sz val="11"/>
        <rFont val="ＭＳ ゴシック"/>
        <family val="3"/>
        <charset val="128"/>
      </rPr>
      <t>城東</t>
    </r>
    <rPh sb="0" eb="2">
      <t>ジョウトウ</t>
    </rPh>
    <phoneticPr fontId="3"/>
  </si>
  <si>
    <r>
      <rPr>
        <sz val="11"/>
        <rFont val="ＭＳ ゴシック"/>
        <family val="3"/>
        <charset val="128"/>
      </rPr>
      <t>鶴見</t>
    </r>
    <rPh sb="0" eb="2">
      <t>ツルミ</t>
    </rPh>
    <phoneticPr fontId="3"/>
  </si>
  <si>
    <r>
      <rPr>
        <sz val="10"/>
        <rFont val="ＭＳ ゴシック"/>
        <family val="3"/>
        <charset val="128"/>
      </rPr>
      <t>阿倍野</t>
    </r>
    <rPh sb="0" eb="3">
      <t>アベノ</t>
    </rPh>
    <phoneticPr fontId="3"/>
  </si>
  <si>
    <r>
      <rPr>
        <sz val="10"/>
        <rFont val="ＭＳ ゴシック"/>
        <family val="3"/>
        <charset val="128"/>
      </rPr>
      <t>住之江</t>
    </r>
    <rPh sb="0" eb="3">
      <t>スミノエ</t>
    </rPh>
    <phoneticPr fontId="3"/>
  </si>
  <si>
    <r>
      <rPr>
        <sz val="11"/>
        <rFont val="ＭＳ ゴシック"/>
        <family val="3"/>
        <charset val="128"/>
      </rPr>
      <t>住吉</t>
    </r>
    <rPh sb="0" eb="2">
      <t>スミヨシ</t>
    </rPh>
    <phoneticPr fontId="3"/>
  </si>
  <si>
    <r>
      <rPr>
        <sz val="10"/>
        <rFont val="ＭＳ ゴシック"/>
        <family val="3"/>
        <charset val="128"/>
      </rPr>
      <t>東住吉</t>
    </r>
    <rPh sb="0" eb="3">
      <t>ヒガシスミヨシ</t>
    </rPh>
    <phoneticPr fontId="3"/>
  </si>
  <si>
    <r>
      <rPr>
        <sz val="11"/>
        <rFont val="ＭＳ ゴシック"/>
        <family val="3"/>
        <charset val="128"/>
      </rPr>
      <t>平野</t>
    </r>
    <rPh sb="0" eb="2">
      <t>ヒラノ</t>
    </rPh>
    <phoneticPr fontId="3"/>
  </si>
  <si>
    <r>
      <rPr>
        <sz val="11"/>
        <rFont val="ＭＳ ゴシック"/>
        <family val="3"/>
        <charset val="128"/>
      </rPr>
      <t>西成</t>
    </r>
    <rPh sb="0" eb="2">
      <t>ニシナリ</t>
    </rPh>
    <phoneticPr fontId="3"/>
  </si>
  <si>
    <r>
      <rPr>
        <sz val="11"/>
        <rFont val="ＭＳ Ｐゴシック"/>
        <family val="3"/>
        <charset val="128"/>
      </rPr>
      <t>港</t>
    </r>
    <rPh sb="0" eb="1">
      <t>ミナト</t>
    </rPh>
    <phoneticPr fontId="3"/>
  </si>
  <si>
    <r>
      <rPr>
        <sz val="11"/>
        <color indexed="63"/>
        <rFont val="ＭＳ Ｐゴシック"/>
        <family val="3"/>
        <charset val="128"/>
      </rPr>
      <t>大正</t>
    </r>
    <rPh sb="0" eb="2">
      <t>タイショウ</t>
    </rPh>
    <phoneticPr fontId="3"/>
  </si>
  <si>
    <r>
      <rPr>
        <sz val="11"/>
        <rFont val="ＭＳ Ｐゴシック"/>
        <family val="3"/>
        <charset val="128"/>
      </rPr>
      <t>天王寺</t>
    </r>
    <rPh sb="0" eb="3">
      <t>テンノウジ</t>
    </rPh>
    <phoneticPr fontId="3"/>
  </si>
  <si>
    <r>
      <rPr>
        <sz val="11"/>
        <rFont val="ＭＳ Ｐゴシック"/>
        <family val="3"/>
        <charset val="128"/>
      </rPr>
      <t>浪速</t>
    </r>
    <rPh sb="0" eb="2">
      <t>ナニワ</t>
    </rPh>
    <phoneticPr fontId="3"/>
  </si>
  <si>
    <r>
      <rPr>
        <sz val="11"/>
        <rFont val="ＭＳ Ｐゴシック"/>
        <family val="3"/>
        <charset val="128"/>
      </rPr>
      <t>西淀川</t>
    </r>
    <rPh sb="0" eb="3">
      <t>ニシヨドガワ</t>
    </rPh>
    <phoneticPr fontId="3"/>
  </si>
  <si>
    <r>
      <rPr>
        <sz val="11"/>
        <rFont val="ＭＳ Ｐゴシック"/>
        <family val="3"/>
        <charset val="128"/>
      </rPr>
      <t>淀川</t>
    </r>
    <rPh sb="0" eb="2">
      <t>ヨドガワ</t>
    </rPh>
    <phoneticPr fontId="3"/>
  </si>
  <si>
    <r>
      <rPr>
        <sz val="11"/>
        <rFont val="ＭＳ Ｐゴシック"/>
        <family val="3"/>
        <charset val="128"/>
      </rPr>
      <t>東淀川</t>
    </r>
    <rPh sb="0" eb="3">
      <t>ヒガシヨドガワ</t>
    </rPh>
    <phoneticPr fontId="3"/>
  </si>
  <si>
    <r>
      <t>(</t>
    </r>
    <r>
      <rPr>
        <sz val="11"/>
        <rFont val="ＭＳ ゴシック"/>
        <family val="3"/>
        <charset val="128"/>
      </rPr>
      <t>注１</t>
    </r>
    <r>
      <rPr>
        <sz val="11"/>
        <rFont val="Arial"/>
        <family val="2"/>
      </rPr>
      <t>)</t>
    </r>
    <r>
      <rPr>
        <sz val="11"/>
        <rFont val="ＭＳ ゴシック"/>
        <family val="3"/>
        <charset val="128"/>
      </rPr>
      <t>高速道路等を除く。</t>
    </r>
    <rPh sb="1" eb="2">
      <t>チュウ</t>
    </rPh>
    <rPh sb="4" eb="6">
      <t>コウソク</t>
    </rPh>
    <rPh sb="6" eb="8">
      <t>ドウロ</t>
    </rPh>
    <rPh sb="8" eb="9">
      <t>トウ</t>
    </rPh>
    <rPh sb="10" eb="11">
      <t>ノゾ</t>
    </rPh>
    <phoneticPr fontId="3"/>
  </si>
  <si>
    <r>
      <rPr>
        <sz val="11"/>
        <rFont val="ＭＳ Ｐゴシック"/>
        <family val="3"/>
        <charset val="128"/>
      </rPr>
      <t>東成</t>
    </r>
    <rPh sb="0" eb="2">
      <t>ヒガシナリ</t>
    </rPh>
    <phoneticPr fontId="3"/>
  </si>
  <si>
    <r>
      <t>(</t>
    </r>
    <r>
      <rPr>
        <sz val="11"/>
        <rFont val="ＭＳ ゴシック"/>
        <family val="3"/>
        <charset val="128"/>
      </rPr>
      <t>注２</t>
    </r>
    <r>
      <rPr>
        <sz val="11"/>
        <rFont val="Arial"/>
        <family val="2"/>
      </rPr>
      <t>)</t>
    </r>
    <r>
      <rPr>
        <sz val="11"/>
        <rFont val="ＭＳ ゴシック"/>
        <family val="3"/>
        <charset val="128"/>
      </rPr>
      <t>人口は令和</t>
    </r>
    <r>
      <rPr>
        <sz val="11"/>
        <rFont val="Arial"/>
        <family val="2"/>
      </rPr>
      <t>4</t>
    </r>
    <r>
      <rPr>
        <sz val="11"/>
        <rFont val="ＭＳ ゴシック"/>
        <family val="3"/>
        <charset val="128"/>
      </rPr>
      <t>年</t>
    </r>
    <r>
      <rPr>
        <sz val="11"/>
        <rFont val="Arial"/>
        <family val="2"/>
      </rPr>
      <t>10</t>
    </r>
    <r>
      <rPr>
        <sz val="11"/>
        <rFont val="ＭＳ ゴシック"/>
        <family val="3"/>
        <charset val="128"/>
      </rPr>
      <t>月</t>
    </r>
    <r>
      <rPr>
        <sz val="11"/>
        <rFont val="Arial"/>
        <family val="2"/>
      </rPr>
      <t>1</t>
    </r>
    <r>
      <rPr>
        <sz val="11"/>
        <rFont val="ＭＳ ゴシック"/>
        <family val="3"/>
        <charset val="128"/>
      </rPr>
      <t>日現在の数値である。</t>
    </r>
    <rPh sb="1" eb="2">
      <t>チュウ</t>
    </rPh>
    <rPh sb="4" eb="6">
      <t>ジンコウ</t>
    </rPh>
    <rPh sb="7" eb="9">
      <t>レイワ</t>
    </rPh>
    <rPh sb="10" eb="11">
      <t>ネン</t>
    </rPh>
    <rPh sb="11" eb="12">
      <t>ヘイネン</t>
    </rPh>
    <rPh sb="13" eb="14">
      <t>ガツ</t>
    </rPh>
    <rPh sb="15" eb="16">
      <t>ニチ</t>
    </rPh>
    <rPh sb="16" eb="18">
      <t>ゲンザイ</t>
    </rPh>
    <rPh sb="19" eb="21">
      <t>スウチ</t>
    </rPh>
    <phoneticPr fontId="3"/>
  </si>
  <si>
    <r>
      <rPr>
        <sz val="11"/>
        <rFont val="ＭＳ Ｐゴシック"/>
        <family val="3"/>
        <charset val="128"/>
      </rPr>
      <t>生野</t>
    </r>
    <rPh sb="0" eb="2">
      <t>イクノ</t>
    </rPh>
    <phoneticPr fontId="3"/>
  </si>
  <si>
    <r>
      <rPr>
        <sz val="11"/>
        <rFont val="ＭＳ Ｐゴシック"/>
        <family val="3"/>
        <charset val="128"/>
      </rPr>
      <t>旭</t>
    </r>
    <rPh sb="0" eb="1">
      <t>アサヒ</t>
    </rPh>
    <phoneticPr fontId="3"/>
  </si>
  <si>
    <r>
      <rPr>
        <sz val="11"/>
        <rFont val="ＭＳ Ｐゴシック"/>
        <family val="3"/>
        <charset val="128"/>
      </rPr>
      <t>城東</t>
    </r>
    <rPh sb="0" eb="2">
      <t>ジョウトウ</t>
    </rPh>
    <phoneticPr fontId="3"/>
  </si>
  <si>
    <r>
      <rPr>
        <sz val="11"/>
        <rFont val="ＭＳ Ｐゴシック"/>
        <family val="3"/>
        <charset val="128"/>
      </rPr>
      <t>鶴見</t>
    </r>
    <rPh sb="0" eb="2">
      <t>ツルミ</t>
    </rPh>
    <phoneticPr fontId="3"/>
  </si>
  <si>
    <r>
      <rPr>
        <sz val="11"/>
        <rFont val="ＭＳ Ｐゴシック"/>
        <family val="3"/>
        <charset val="128"/>
      </rPr>
      <t>阿倍野</t>
    </r>
    <rPh sb="0" eb="3">
      <t>アベノ</t>
    </rPh>
    <phoneticPr fontId="3"/>
  </si>
  <si>
    <r>
      <rPr>
        <sz val="11"/>
        <rFont val="ＭＳ Ｐゴシック"/>
        <family val="3"/>
        <charset val="128"/>
      </rPr>
      <t>住之江</t>
    </r>
    <rPh sb="0" eb="3">
      <t>スミノエ</t>
    </rPh>
    <phoneticPr fontId="3"/>
  </si>
  <si>
    <r>
      <rPr>
        <sz val="11"/>
        <rFont val="ＭＳ Ｐゴシック"/>
        <family val="3"/>
        <charset val="128"/>
      </rPr>
      <t>住吉</t>
    </r>
    <rPh sb="0" eb="2">
      <t>スミヨシ</t>
    </rPh>
    <phoneticPr fontId="3"/>
  </si>
  <si>
    <r>
      <rPr>
        <sz val="11"/>
        <rFont val="ＭＳ Ｐゴシック"/>
        <family val="3"/>
        <charset val="128"/>
      </rPr>
      <t>東住吉</t>
    </r>
    <rPh sb="0" eb="3">
      <t>ヒガシスミヨシ</t>
    </rPh>
    <phoneticPr fontId="3"/>
  </si>
  <si>
    <r>
      <rPr>
        <sz val="11"/>
        <rFont val="ＭＳ Ｐゴシック"/>
        <family val="3"/>
        <charset val="128"/>
      </rPr>
      <t>平野</t>
    </r>
    <rPh sb="0" eb="2">
      <t>ヒラノ</t>
    </rPh>
    <phoneticPr fontId="3"/>
  </si>
  <si>
    <r>
      <rPr>
        <sz val="11"/>
        <rFont val="ＭＳ Ｐゴシック"/>
        <family val="3"/>
        <charset val="128"/>
      </rPr>
      <t>西成</t>
    </r>
    <rPh sb="0" eb="2">
      <t>ニシナリ</t>
    </rPh>
    <phoneticPr fontId="3"/>
  </si>
  <si>
    <r>
      <rPr>
        <sz val="11"/>
        <rFont val="ＭＳ Ｐゴシック"/>
        <family val="3"/>
        <charset val="128"/>
      </rPr>
      <t>合計</t>
    </r>
    <rPh sb="0" eb="2">
      <t>ゴウケイ</t>
    </rPh>
    <phoneticPr fontId="3"/>
  </si>
  <si>
    <r>
      <rPr>
        <sz val="12"/>
        <rFont val="ＭＳ ゴシック"/>
        <family val="3"/>
        <charset val="128"/>
      </rPr>
      <t>（３）道路種別</t>
    </r>
    <rPh sb="3" eb="5">
      <t>ドウロ</t>
    </rPh>
    <rPh sb="5" eb="6">
      <t>シュ</t>
    </rPh>
    <rPh sb="6" eb="7">
      <t>ベツ</t>
    </rPh>
    <phoneticPr fontId="3"/>
  </si>
  <si>
    <r>
      <rPr>
        <sz val="11"/>
        <rFont val="ＭＳ ゴシック"/>
        <family val="3"/>
        <charset val="128"/>
      </rPr>
      <t>　</t>
    </r>
    <phoneticPr fontId="3"/>
  </si>
  <si>
    <r>
      <rPr>
        <sz val="11"/>
        <rFont val="ＭＳ ゴシック"/>
        <family val="3"/>
        <charset val="128"/>
      </rPr>
      <t>種別</t>
    </r>
    <rPh sb="0" eb="2">
      <t>シュベツ</t>
    </rPh>
    <phoneticPr fontId="3"/>
  </si>
  <si>
    <r>
      <rPr>
        <sz val="11"/>
        <rFont val="ＭＳ ゴシック"/>
        <family val="3"/>
        <charset val="128"/>
      </rPr>
      <t>件数（件）</t>
    </r>
    <rPh sb="0" eb="2">
      <t>ケンスウ</t>
    </rPh>
    <rPh sb="3" eb="4">
      <t>ケン</t>
    </rPh>
    <phoneticPr fontId="3"/>
  </si>
  <si>
    <r>
      <rPr>
        <sz val="11"/>
        <rFont val="ＭＳ ゴシック"/>
        <family val="3"/>
        <charset val="128"/>
      </rPr>
      <t>死者数（人）</t>
    </r>
    <rPh sb="0" eb="3">
      <t>シシャスウ</t>
    </rPh>
    <rPh sb="4" eb="5">
      <t>ヒト</t>
    </rPh>
    <phoneticPr fontId="3"/>
  </si>
  <si>
    <r>
      <rPr>
        <sz val="11"/>
        <rFont val="ＭＳ ゴシック"/>
        <family val="3"/>
        <charset val="128"/>
      </rPr>
      <t>負傷者数（人）</t>
    </r>
    <rPh sb="0" eb="1">
      <t>フ</t>
    </rPh>
    <rPh sb="1" eb="2">
      <t>キズ</t>
    </rPh>
    <rPh sb="2" eb="3">
      <t>モノ</t>
    </rPh>
    <rPh sb="3" eb="4">
      <t>スウ</t>
    </rPh>
    <rPh sb="5" eb="6">
      <t>ヒト</t>
    </rPh>
    <phoneticPr fontId="3"/>
  </si>
  <si>
    <r>
      <rPr>
        <sz val="11"/>
        <rFont val="ＭＳ ゴシック"/>
        <family val="3"/>
        <charset val="128"/>
      </rPr>
      <t>一般国道</t>
    </r>
    <rPh sb="0" eb="2">
      <t>イッパン</t>
    </rPh>
    <rPh sb="2" eb="4">
      <t>コクドウ</t>
    </rPh>
    <phoneticPr fontId="3"/>
  </si>
  <si>
    <r>
      <rPr>
        <sz val="11"/>
        <rFont val="ＭＳ ゴシック"/>
        <family val="3"/>
        <charset val="128"/>
      </rPr>
      <t>主要地方道</t>
    </r>
    <rPh sb="0" eb="2">
      <t>シュヨウ</t>
    </rPh>
    <rPh sb="2" eb="4">
      <t>チホウ</t>
    </rPh>
    <rPh sb="4" eb="5">
      <t>ドウ</t>
    </rPh>
    <phoneticPr fontId="3"/>
  </si>
  <si>
    <r>
      <rPr>
        <sz val="11"/>
        <rFont val="ＭＳ ゴシック"/>
        <family val="3"/>
        <charset val="128"/>
      </rPr>
      <t>一般府道</t>
    </r>
    <rPh sb="0" eb="2">
      <t>イッパン</t>
    </rPh>
    <rPh sb="2" eb="3">
      <t>フ</t>
    </rPh>
    <rPh sb="3" eb="4">
      <t>ドウ</t>
    </rPh>
    <phoneticPr fontId="3"/>
  </si>
  <si>
    <r>
      <rPr>
        <sz val="11"/>
        <rFont val="ＭＳ ゴシック"/>
        <family val="3"/>
        <charset val="128"/>
      </rPr>
      <t>大阪市道</t>
    </r>
    <rPh sb="0" eb="3">
      <t>オオサカシ</t>
    </rPh>
    <rPh sb="3" eb="4">
      <t>ドウ</t>
    </rPh>
    <phoneticPr fontId="3"/>
  </si>
  <si>
    <r>
      <rPr>
        <sz val="11"/>
        <rFont val="ＭＳ ゴシック"/>
        <family val="3"/>
        <charset val="128"/>
      </rPr>
      <t>その他</t>
    </r>
    <rPh sb="2" eb="3">
      <t>タ</t>
    </rPh>
    <phoneticPr fontId="3"/>
  </si>
  <si>
    <t>.</t>
    <phoneticPr fontId="3"/>
  </si>
  <si>
    <r>
      <rPr>
        <sz val="11"/>
        <rFont val="ＭＳ Ｐゴシック"/>
        <family val="3"/>
        <charset val="128"/>
      </rPr>
      <t>路線別発生状況</t>
    </r>
    <rPh sb="0" eb="2">
      <t>ロセン</t>
    </rPh>
    <rPh sb="2" eb="3">
      <t>ベツ</t>
    </rPh>
    <rPh sb="3" eb="5">
      <t>ハッセイ</t>
    </rPh>
    <rPh sb="5" eb="7">
      <t>ジョウキョウ</t>
    </rPh>
    <phoneticPr fontId="3"/>
  </si>
  <si>
    <r>
      <rPr>
        <sz val="11"/>
        <rFont val="ＭＳ Ｐゴシック"/>
        <family val="3"/>
        <charset val="128"/>
      </rPr>
      <t>路　　線　　別</t>
    </r>
    <rPh sb="0" eb="1">
      <t>ミチ</t>
    </rPh>
    <rPh sb="3" eb="4">
      <t>セン</t>
    </rPh>
    <rPh sb="6" eb="7">
      <t>ベツ</t>
    </rPh>
    <phoneticPr fontId="3"/>
  </si>
  <si>
    <r>
      <rPr>
        <sz val="9"/>
        <rFont val="ＭＳ Ｐゴシック"/>
        <family val="3"/>
        <charset val="128"/>
      </rPr>
      <t>件数</t>
    </r>
    <rPh sb="0" eb="2">
      <t>ケンスウ</t>
    </rPh>
    <phoneticPr fontId="3"/>
  </si>
  <si>
    <r>
      <rPr>
        <sz val="9"/>
        <rFont val="ＭＳ Ｐゴシック"/>
        <family val="3"/>
        <charset val="128"/>
      </rPr>
      <t>死者数</t>
    </r>
    <rPh sb="0" eb="2">
      <t>シシャ</t>
    </rPh>
    <rPh sb="2" eb="3">
      <t>スウ</t>
    </rPh>
    <phoneticPr fontId="3"/>
  </si>
  <si>
    <r>
      <rPr>
        <sz val="9"/>
        <rFont val="ＭＳ Ｐゴシック"/>
        <family val="3"/>
        <charset val="128"/>
      </rPr>
      <t>負傷者数</t>
    </r>
    <rPh sb="0" eb="1">
      <t>フ</t>
    </rPh>
    <rPh sb="1" eb="2">
      <t>キズ</t>
    </rPh>
    <rPh sb="2" eb="3">
      <t>モノ</t>
    </rPh>
    <rPh sb="3" eb="4">
      <t>スウ</t>
    </rPh>
    <phoneticPr fontId="3"/>
  </si>
  <si>
    <r>
      <rPr>
        <sz val="9"/>
        <rFont val="ＭＳ Ｐゴシック"/>
        <family val="3"/>
        <charset val="128"/>
      </rPr>
      <t>件数</t>
    </r>
  </si>
  <si>
    <r>
      <rPr>
        <sz val="9"/>
        <rFont val="ＭＳ Ｐゴシック"/>
        <family val="3"/>
        <charset val="128"/>
      </rPr>
      <t>死者数</t>
    </r>
  </si>
  <si>
    <r>
      <rPr>
        <sz val="9"/>
        <rFont val="ＭＳ Ｐゴシック"/>
        <family val="3"/>
        <charset val="128"/>
      </rPr>
      <t>負傷者数</t>
    </r>
  </si>
  <si>
    <r>
      <rPr>
        <sz val="11"/>
        <rFont val="ＭＳ Ｐゴシック"/>
        <family val="3"/>
        <charset val="128"/>
      </rPr>
      <t>幹
線
道
路</t>
    </r>
    <rPh sb="0" eb="1">
      <t>ミキ</t>
    </rPh>
    <rPh sb="6" eb="7">
      <t>セン</t>
    </rPh>
    <rPh sb="12" eb="13">
      <t>ミチ</t>
    </rPh>
    <rPh sb="18" eb="19">
      <t>ロ</t>
    </rPh>
    <phoneticPr fontId="3"/>
  </si>
  <si>
    <r>
      <rPr>
        <sz val="11"/>
        <rFont val="ＭＳ Ｐゴシック"/>
        <family val="3"/>
        <charset val="128"/>
      </rPr>
      <t>国
道</t>
    </r>
    <rPh sb="0" eb="1">
      <t>クニ</t>
    </rPh>
    <rPh sb="6" eb="7">
      <t>ミチ</t>
    </rPh>
    <phoneticPr fontId="3"/>
  </si>
  <si>
    <r>
      <rPr>
        <sz val="10"/>
        <rFont val="ＭＳ Ｐゴシック"/>
        <family val="3"/>
        <charset val="128"/>
      </rPr>
      <t>　　１　号</t>
    </r>
    <rPh sb="4" eb="5">
      <t>ゴウ</t>
    </rPh>
    <phoneticPr fontId="3"/>
  </si>
  <si>
    <r>
      <rPr>
        <sz val="11"/>
        <rFont val="ＭＳ Ｐゴシック"/>
        <family val="3"/>
        <charset val="128"/>
      </rPr>
      <t>一
般
府
道</t>
    </r>
    <rPh sb="0" eb="1">
      <t>イチ</t>
    </rPh>
    <rPh sb="3" eb="4">
      <t>バン</t>
    </rPh>
    <rPh sb="6" eb="7">
      <t>フ</t>
    </rPh>
    <rPh sb="9" eb="10">
      <t>ドウ</t>
    </rPh>
    <phoneticPr fontId="3"/>
  </si>
  <si>
    <r>
      <rPr>
        <sz val="10"/>
        <rFont val="ＭＳ Ｐゴシック"/>
        <family val="3"/>
        <charset val="128"/>
      </rPr>
      <t>恵美須南森町線</t>
    </r>
    <rPh sb="0" eb="3">
      <t>エビス</t>
    </rPh>
    <rPh sb="3" eb="4">
      <t>ミナミ</t>
    </rPh>
    <rPh sb="4" eb="5">
      <t>モリ</t>
    </rPh>
    <rPh sb="5" eb="6">
      <t>マチ</t>
    </rPh>
    <rPh sb="6" eb="7">
      <t>セン</t>
    </rPh>
    <phoneticPr fontId="3"/>
  </si>
  <si>
    <r>
      <rPr>
        <sz val="10"/>
        <rFont val="ＭＳ Ｐゴシック"/>
        <family val="3"/>
        <charset val="128"/>
      </rPr>
      <t>　　２　号</t>
    </r>
    <rPh sb="4" eb="5">
      <t>ゴウ</t>
    </rPh>
    <phoneticPr fontId="3"/>
  </si>
  <si>
    <r>
      <rPr>
        <sz val="10"/>
        <rFont val="ＭＳ Ｐゴシック"/>
        <family val="3"/>
        <charset val="128"/>
      </rPr>
      <t>大阪枚岡奈良線</t>
    </r>
    <rPh sb="0" eb="2">
      <t>オオサカ</t>
    </rPh>
    <rPh sb="2" eb="4">
      <t>ヒラオカ</t>
    </rPh>
    <rPh sb="4" eb="6">
      <t>ナラ</t>
    </rPh>
    <rPh sb="6" eb="7">
      <t>セン</t>
    </rPh>
    <phoneticPr fontId="3"/>
  </si>
  <si>
    <r>
      <rPr>
        <sz val="10"/>
        <rFont val="ＭＳ Ｐゴシック"/>
        <family val="3"/>
        <charset val="128"/>
      </rPr>
      <t>　２５　号</t>
    </r>
    <rPh sb="4" eb="5">
      <t>ゴウ</t>
    </rPh>
    <phoneticPr fontId="3"/>
  </si>
  <si>
    <r>
      <rPr>
        <sz val="10"/>
        <rFont val="ＭＳ Ｐゴシック"/>
        <family val="3"/>
        <charset val="128"/>
      </rPr>
      <t>大阪八尾線</t>
    </r>
    <rPh sb="0" eb="2">
      <t>オオサカ</t>
    </rPh>
    <rPh sb="2" eb="4">
      <t>ヤオ</t>
    </rPh>
    <rPh sb="4" eb="5">
      <t>セン</t>
    </rPh>
    <phoneticPr fontId="3"/>
  </si>
  <si>
    <r>
      <rPr>
        <sz val="10"/>
        <rFont val="ＭＳ Ｐゴシック"/>
        <family val="3"/>
        <charset val="128"/>
      </rPr>
      <t>　２６　号</t>
    </r>
    <rPh sb="4" eb="5">
      <t>ゴウ</t>
    </rPh>
    <phoneticPr fontId="3"/>
  </si>
  <si>
    <r>
      <rPr>
        <sz val="10"/>
        <rFont val="ＭＳ Ｐゴシック"/>
        <family val="3"/>
        <charset val="128"/>
      </rPr>
      <t>石切大阪線</t>
    </r>
    <rPh sb="0" eb="2">
      <t>イシキリ</t>
    </rPh>
    <rPh sb="2" eb="4">
      <t>オオサカ</t>
    </rPh>
    <rPh sb="4" eb="5">
      <t>セン</t>
    </rPh>
    <phoneticPr fontId="3"/>
  </si>
  <si>
    <r>
      <rPr>
        <sz val="10"/>
        <rFont val="ＭＳ Ｐゴシック"/>
        <family val="3"/>
        <charset val="128"/>
      </rPr>
      <t>　４３　号</t>
    </r>
    <rPh sb="4" eb="5">
      <t>ゴウ</t>
    </rPh>
    <phoneticPr fontId="3"/>
  </si>
  <si>
    <r>
      <rPr>
        <sz val="10"/>
        <rFont val="ＭＳ Ｐゴシック"/>
        <family val="3"/>
        <charset val="128"/>
      </rPr>
      <t>住吉八尾線</t>
    </r>
    <rPh sb="0" eb="2">
      <t>スミヨシ</t>
    </rPh>
    <rPh sb="2" eb="4">
      <t>ヤオ</t>
    </rPh>
    <rPh sb="4" eb="5">
      <t>セン</t>
    </rPh>
    <phoneticPr fontId="3"/>
  </si>
  <si>
    <r>
      <rPr>
        <sz val="10"/>
        <rFont val="ＭＳ Ｐゴシック"/>
        <family val="3"/>
        <charset val="128"/>
      </rPr>
      <t>１６３　号</t>
    </r>
    <rPh sb="4" eb="5">
      <t>ゴウ</t>
    </rPh>
    <phoneticPr fontId="3"/>
  </si>
  <si>
    <r>
      <rPr>
        <sz val="10"/>
        <rFont val="ＭＳ Ｐゴシック"/>
        <family val="3"/>
        <charset val="128"/>
      </rPr>
      <t>大阪羽曳野線</t>
    </r>
    <rPh sb="0" eb="2">
      <t>オオサカ</t>
    </rPh>
    <rPh sb="2" eb="5">
      <t>ハビキノ</t>
    </rPh>
    <rPh sb="5" eb="6">
      <t>セン</t>
    </rPh>
    <phoneticPr fontId="3"/>
  </si>
  <si>
    <r>
      <rPr>
        <sz val="10"/>
        <rFont val="ＭＳ Ｐゴシック"/>
        <family val="3"/>
        <charset val="128"/>
      </rPr>
      <t>１７２　号</t>
    </r>
    <rPh sb="4" eb="5">
      <t>ゴウ</t>
    </rPh>
    <phoneticPr fontId="3"/>
  </si>
  <si>
    <r>
      <rPr>
        <sz val="10"/>
        <rFont val="ＭＳ Ｐゴシック"/>
        <family val="3"/>
        <charset val="128"/>
      </rPr>
      <t>熊野大阪線</t>
    </r>
    <rPh sb="0" eb="2">
      <t>クマノ</t>
    </rPh>
    <rPh sb="2" eb="4">
      <t>オオサカ</t>
    </rPh>
    <rPh sb="4" eb="5">
      <t>セン</t>
    </rPh>
    <phoneticPr fontId="3"/>
  </si>
  <si>
    <r>
      <rPr>
        <sz val="10"/>
        <rFont val="ＭＳ Ｐゴシック"/>
        <family val="3"/>
        <charset val="128"/>
      </rPr>
      <t>１７６　号</t>
    </r>
    <rPh sb="4" eb="5">
      <t>ゴウ</t>
    </rPh>
    <phoneticPr fontId="3"/>
  </si>
  <si>
    <r>
      <rPr>
        <sz val="10"/>
        <rFont val="ＭＳ Ｐゴシック"/>
        <family val="3"/>
        <charset val="128"/>
      </rPr>
      <t>平野守口線</t>
    </r>
    <rPh sb="0" eb="2">
      <t>ヒラノ</t>
    </rPh>
    <rPh sb="2" eb="4">
      <t>モリグチ</t>
    </rPh>
    <rPh sb="4" eb="5">
      <t>セン</t>
    </rPh>
    <phoneticPr fontId="3"/>
  </si>
  <si>
    <r>
      <rPr>
        <sz val="10"/>
        <rFont val="ＭＳ Ｐゴシック"/>
        <family val="3"/>
        <charset val="128"/>
      </rPr>
      <t>３０８　号</t>
    </r>
    <rPh sb="4" eb="5">
      <t>ゴウ</t>
    </rPh>
    <phoneticPr fontId="3"/>
  </si>
  <si>
    <r>
      <rPr>
        <sz val="10"/>
        <rFont val="ＭＳ Ｐゴシック"/>
        <family val="3"/>
        <charset val="128"/>
      </rPr>
      <t>その他</t>
    </r>
    <rPh sb="2" eb="3">
      <t>タ</t>
    </rPh>
    <phoneticPr fontId="3"/>
  </si>
  <si>
    <r>
      <rPr>
        <sz val="10"/>
        <rFont val="ＭＳ Ｐゴシック"/>
        <family val="3"/>
        <charset val="128"/>
      </rPr>
      <t>３０９　号</t>
    </r>
    <rPh sb="4" eb="5">
      <t>ゴウ</t>
    </rPh>
    <phoneticPr fontId="3"/>
  </si>
  <si>
    <r>
      <rPr>
        <sz val="11"/>
        <rFont val="ＭＳ Ｐゴシック"/>
        <family val="3"/>
        <charset val="128"/>
      </rPr>
      <t>大
阪
市
道</t>
    </r>
    <rPh sb="0" eb="1">
      <t>ダイ</t>
    </rPh>
    <rPh sb="4" eb="5">
      <t>サカ</t>
    </rPh>
    <rPh sb="8" eb="9">
      <t>イチ</t>
    </rPh>
    <rPh sb="12" eb="13">
      <t>ドウ</t>
    </rPh>
    <phoneticPr fontId="3"/>
  </si>
  <si>
    <r>
      <rPr>
        <sz val="10"/>
        <rFont val="ＭＳ Ｐゴシック"/>
        <family val="3"/>
        <charset val="128"/>
      </rPr>
      <t>堂島十三線</t>
    </r>
    <rPh sb="0" eb="2">
      <t>ドウジマ</t>
    </rPh>
    <rPh sb="2" eb="4">
      <t>ジュウソウ</t>
    </rPh>
    <rPh sb="4" eb="5">
      <t>セン</t>
    </rPh>
    <phoneticPr fontId="3"/>
  </si>
  <si>
    <r>
      <rPr>
        <sz val="10"/>
        <rFont val="ＭＳ Ｐゴシック"/>
        <family val="3"/>
        <charset val="128"/>
      </rPr>
      <t>４２３　号</t>
    </r>
    <rPh sb="4" eb="5">
      <t>ゴウ</t>
    </rPh>
    <phoneticPr fontId="3"/>
  </si>
  <si>
    <r>
      <rPr>
        <sz val="10"/>
        <rFont val="ＭＳ Ｐゴシック"/>
        <family val="3"/>
        <charset val="128"/>
      </rPr>
      <t>中之島桜川線</t>
    </r>
    <rPh sb="0" eb="3">
      <t>ナカノシマ</t>
    </rPh>
    <rPh sb="3" eb="5">
      <t>サクラガワ</t>
    </rPh>
    <rPh sb="5" eb="6">
      <t>セン</t>
    </rPh>
    <phoneticPr fontId="3"/>
  </si>
  <si>
    <r>
      <rPr>
        <sz val="10"/>
        <rFont val="ＭＳ Ｐゴシック"/>
        <family val="3"/>
        <charset val="128"/>
      </rPr>
      <t>４７９　号</t>
    </r>
    <rPh sb="4" eb="5">
      <t>ゴウ</t>
    </rPh>
    <phoneticPr fontId="3"/>
  </si>
  <si>
    <r>
      <rPr>
        <sz val="10"/>
        <rFont val="ＭＳ Ｐゴシック"/>
        <family val="3"/>
        <charset val="128"/>
      </rPr>
      <t>天満橋筋線</t>
    </r>
    <rPh sb="0" eb="3">
      <t>テンマバシ</t>
    </rPh>
    <rPh sb="3" eb="4">
      <t>スジ</t>
    </rPh>
    <rPh sb="4" eb="5">
      <t>セン</t>
    </rPh>
    <phoneticPr fontId="3"/>
  </si>
  <si>
    <r>
      <rPr>
        <sz val="11"/>
        <rFont val="ＭＳ Ｐゴシック"/>
        <family val="3"/>
        <charset val="128"/>
      </rPr>
      <t>主
要
地
方
道</t>
    </r>
    <phoneticPr fontId="3"/>
  </si>
  <si>
    <r>
      <rPr>
        <sz val="10"/>
        <rFont val="ＭＳ Ｐゴシック"/>
        <family val="3"/>
        <charset val="128"/>
      </rPr>
      <t>大阪中央環状線</t>
    </r>
    <rPh sb="0" eb="2">
      <t>オオサカ</t>
    </rPh>
    <rPh sb="2" eb="4">
      <t>チュウオウ</t>
    </rPh>
    <rPh sb="4" eb="7">
      <t>カンジョウセン</t>
    </rPh>
    <phoneticPr fontId="3"/>
  </si>
  <si>
    <r>
      <rPr>
        <sz val="10"/>
        <rFont val="ＭＳ Ｐゴシック"/>
        <family val="3"/>
        <charset val="128"/>
      </rPr>
      <t>都島阿倍野線</t>
    </r>
    <rPh sb="0" eb="2">
      <t>ミヤコジマ</t>
    </rPh>
    <rPh sb="2" eb="5">
      <t>アベノ</t>
    </rPh>
    <rPh sb="5" eb="6">
      <t>セン</t>
    </rPh>
    <phoneticPr fontId="3"/>
  </si>
  <si>
    <r>
      <rPr>
        <sz val="10"/>
        <rFont val="ＭＳ Ｐゴシック"/>
        <family val="3"/>
        <charset val="128"/>
      </rPr>
      <t>大阪和泉泉南線</t>
    </r>
    <rPh sb="0" eb="2">
      <t>オオサカ</t>
    </rPh>
    <rPh sb="2" eb="4">
      <t>イズミ</t>
    </rPh>
    <rPh sb="4" eb="6">
      <t>センナン</t>
    </rPh>
    <rPh sb="6" eb="7">
      <t>セン</t>
    </rPh>
    <phoneticPr fontId="3"/>
  </si>
  <si>
    <r>
      <rPr>
        <sz val="10"/>
        <rFont val="ＭＳ Ｐゴシック"/>
        <family val="3"/>
        <charset val="128"/>
      </rPr>
      <t>尼崎平野線</t>
    </r>
    <rPh sb="0" eb="2">
      <t>アマガサキ</t>
    </rPh>
    <rPh sb="2" eb="4">
      <t>ヒラノ</t>
    </rPh>
    <rPh sb="4" eb="5">
      <t>セン</t>
    </rPh>
    <phoneticPr fontId="3"/>
  </si>
  <si>
    <r>
      <rPr>
        <sz val="10"/>
        <rFont val="ＭＳ Ｐゴシック"/>
        <family val="3"/>
        <charset val="128"/>
      </rPr>
      <t>大阪高槻京都線</t>
    </r>
    <rPh sb="0" eb="2">
      <t>オオサカ</t>
    </rPh>
    <rPh sb="2" eb="4">
      <t>タカツキ</t>
    </rPh>
    <rPh sb="4" eb="6">
      <t>キョウト</t>
    </rPh>
    <rPh sb="6" eb="7">
      <t>セン</t>
    </rPh>
    <phoneticPr fontId="3"/>
  </si>
  <si>
    <r>
      <rPr>
        <sz val="10"/>
        <rFont val="ＭＳ Ｐゴシック"/>
        <family val="3"/>
        <charset val="128"/>
      </rPr>
      <t>津守阿倍野杭全線</t>
    </r>
    <rPh sb="0" eb="2">
      <t>ツモリ</t>
    </rPh>
    <rPh sb="2" eb="5">
      <t>アベノ</t>
    </rPh>
    <rPh sb="5" eb="7">
      <t>クマタ</t>
    </rPh>
    <rPh sb="7" eb="8">
      <t>セン</t>
    </rPh>
    <phoneticPr fontId="3"/>
  </si>
  <si>
    <r>
      <rPr>
        <sz val="10"/>
        <rFont val="ＭＳ Ｐゴシック"/>
        <family val="3"/>
        <charset val="128"/>
      </rPr>
      <t>大阪生駒線</t>
    </r>
    <rPh sb="0" eb="2">
      <t>オオサカ</t>
    </rPh>
    <rPh sb="2" eb="4">
      <t>イコマ</t>
    </rPh>
    <rPh sb="4" eb="5">
      <t>セン</t>
    </rPh>
    <phoneticPr fontId="3"/>
  </si>
  <si>
    <r>
      <rPr>
        <sz val="10"/>
        <rFont val="ＭＳ Ｐゴシック"/>
        <family val="3"/>
        <charset val="128"/>
      </rPr>
      <t>扇町線</t>
    </r>
    <rPh sb="0" eb="2">
      <t>オウギマチ</t>
    </rPh>
    <rPh sb="2" eb="3">
      <t>セン</t>
    </rPh>
    <phoneticPr fontId="3"/>
  </si>
  <si>
    <r>
      <rPr>
        <sz val="10"/>
        <rFont val="ＭＳ Ｐゴシック"/>
        <family val="3"/>
        <charset val="128"/>
      </rPr>
      <t>大阪池田線</t>
    </r>
    <rPh sb="0" eb="2">
      <t>オオサカ</t>
    </rPh>
    <rPh sb="2" eb="4">
      <t>イケダ</t>
    </rPh>
    <rPh sb="4" eb="5">
      <t>セン</t>
    </rPh>
    <phoneticPr fontId="3"/>
  </si>
  <si>
    <r>
      <rPr>
        <sz val="10"/>
        <rFont val="ＭＳ Ｐゴシック"/>
        <family val="3"/>
        <charset val="128"/>
      </rPr>
      <t>本町左専道線</t>
    </r>
    <rPh sb="0" eb="2">
      <t>ホンマチ</t>
    </rPh>
    <rPh sb="2" eb="3">
      <t>ヒダリ</t>
    </rPh>
    <rPh sb="3" eb="4">
      <t>セン</t>
    </rPh>
    <rPh sb="4" eb="5">
      <t>ミチ</t>
    </rPh>
    <rPh sb="5" eb="6">
      <t>セン</t>
    </rPh>
    <phoneticPr fontId="3"/>
  </si>
  <si>
    <r>
      <rPr>
        <sz val="10"/>
        <rFont val="ＭＳ Ｐゴシック"/>
        <family val="3"/>
        <charset val="128"/>
      </rPr>
      <t>大阪高石線</t>
    </r>
    <rPh sb="0" eb="2">
      <t>オオサカ</t>
    </rPh>
    <rPh sb="2" eb="4">
      <t>タカイシ</t>
    </rPh>
    <rPh sb="4" eb="5">
      <t>セン</t>
    </rPh>
    <phoneticPr fontId="3"/>
  </si>
  <si>
    <r>
      <rPr>
        <sz val="10"/>
        <rFont val="ＭＳ Ｐゴシック"/>
        <family val="3"/>
        <charset val="128"/>
      </rPr>
      <t>江戸堀北通線</t>
    </r>
    <rPh sb="0" eb="3">
      <t>エドボリ</t>
    </rPh>
    <rPh sb="3" eb="4">
      <t>キタ</t>
    </rPh>
    <rPh sb="4" eb="5">
      <t>トオ</t>
    </rPh>
    <rPh sb="5" eb="6">
      <t>セン</t>
    </rPh>
    <phoneticPr fontId="3"/>
  </si>
  <si>
    <r>
      <rPr>
        <sz val="10"/>
        <rFont val="ＭＳ Ｐゴシック"/>
        <family val="3"/>
        <charset val="128"/>
      </rPr>
      <t>大阪臨海線</t>
    </r>
    <rPh sb="0" eb="2">
      <t>オオサカ</t>
    </rPh>
    <rPh sb="2" eb="4">
      <t>リンカイ</t>
    </rPh>
    <rPh sb="4" eb="5">
      <t>セン</t>
    </rPh>
    <phoneticPr fontId="3"/>
  </si>
  <si>
    <r>
      <rPr>
        <sz val="10"/>
        <rFont val="ＭＳ Ｐゴシック"/>
        <family val="3"/>
        <charset val="128"/>
      </rPr>
      <t>西野田中津線</t>
    </r>
    <rPh sb="0" eb="1">
      <t>ニシ</t>
    </rPh>
    <rPh sb="1" eb="3">
      <t>ノダ</t>
    </rPh>
    <rPh sb="3" eb="5">
      <t>ナカツ</t>
    </rPh>
    <rPh sb="5" eb="6">
      <t>セン</t>
    </rPh>
    <phoneticPr fontId="3"/>
  </si>
  <si>
    <r>
      <rPr>
        <sz val="10"/>
        <rFont val="ＭＳ Ｐゴシック"/>
        <family val="3"/>
        <charset val="128"/>
      </rPr>
      <t>大阪伊丹線</t>
    </r>
    <rPh sb="0" eb="2">
      <t>オオサカ</t>
    </rPh>
    <rPh sb="2" eb="5">
      <t>イタミセン</t>
    </rPh>
    <phoneticPr fontId="3"/>
  </si>
  <si>
    <r>
      <rPr>
        <sz val="10"/>
        <rFont val="ＭＳ Ｐゴシック"/>
        <family val="3"/>
        <charset val="128"/>
      </rPr>
      <t>豊崎鷺洲線</t>
    </r>
    <rPh sb="0" eb="2">
      <t>トヨサキ</t>
    </rPh>
    <rPh sb="2" eb="4">
      <t>サギス</t>
    </rPh>
    <rPh sb="4" eb="5">
      <t>セン</t>
    </rPh>
    <phoneticPr fontId="3"/>
  </si>
  <si>
    <r>
      <rPr>
        <sz val="10"/>
        <rFont val="ＭＳ Ｐゴシック"/>
        <family val="3"/>
        <charset val="128"/>
      </rPr>
      <t>大阪高槻線</t>
    </r>
    <rPh sb="0" eb="2">
      <t>オオサカ</t>
    </rPh>
    <rPh sb="2" eb="4">
      <t>タカツキ</t>
    </rPh>
    <rPh sb="4" eb="5">
      <t>セン</t>
    </rPh>
    <phoneticPr fontId="3"/>
  </si>
  <si>
    <r>
      <rPr>
        <sz val="10"/>
        <rFont val="ＭＳ Ｐゴシック"/>
        <family val="3"/>
        <charset val="128"/>
      </rPr>
      <t>難波足代線</t>
    </r>
    <rPh sb="0" eb="2">
      <t>ナンバ</t>
    </rPh>
    <rPh sb="2" eb="4">
      <t>アジロ</t>
    </rPh>
    <rPh sb="4" eb="5">
      <t>セン</t>
    </rPh>
    <phoneticPr fontId="3"/>
  </si>
  <si>
    <r>
      <rPr>
        <sz val="10"/>
        <rFont val="ＭＳ Ｐゴシック"/>
        <family val="3"/>
        <charset val="128"/>
      </rPr>
      <t>旧大阪中央環状線</t>
    </r>
    <rPh sb="0" eb="1">
      <t>キュウ</t>
    </rPh>
    <rPh sb="1" eb="3">
      <t>オオサカ</t>
    </rPh>
    <rPh sb="3" eb="5">
      <t>チュウオウ</t>
    </rPh>
    <rPh sb="5" eb="8">
      <t>カンジョウセン</t>
    </rPh>
    <phoneticPr fontId="3"/>
  </si>
  <si>
    <r>
      <rPr>
        <sz val="10"/>
        <rFont val="ＭＳ Ｐゴシック"/>
        <family val="3"/>
        <charset val="128"/>
      </rPr>
      <t>安治川南岸線</t>
    </r>
    <rPh sb="0" eb="2">
      <t>アジ</t>
    </rPh>
    <rPh sb="2" eb="3">
      <t>カワ</t>
    </rPh>
    <rPh sb="3" eb="5">
      <t>ナンガン</t>
    </rPh>
    <rPh sb="5" eb="6">
      <t>セン</t>
    </rPh>
    <phoneticPr fontId="3"/>
  </si>
  <si>
    <r>
      <rPr>
        <sz val="10"/>
        <rFont val="ＭＳ Ｐゴシック"/>
        <family val="3"/>
        <charset val="128"/>
      </rPr>
      <t>大阪東大阪線</t>
    </r>
    <rPh sb="0" eb="2">
      <t>オオサカ</t>
    </rPh>
    <rPh sb="2" eb="3">
      <t>ヒガシ</t>
    </rPh>
    <rPh sb="3" eb="5">
      <t>オオサカ</t>
    </rPh>
    <rPh sb="5" eb="6">
      <t>セン</t>
    </rPh>
    <phoneticPr fontId="3"/>
  </si>
  <si>
    <r>
      <rPr>
        <sz val="10"/>
        <rFont val="ＭＳ Ｐゴシック"/>
        <family val="3"/>
        <charset val="128"/>
      </rPr>
      <t>大和川北岸線</t>
    </r>
    <rPh sb="0" eb="3">
      <t>ヤマトガワ</t>
    </rPh>
    <rPh sb="3" eb="5">
      <t>ホクガン</t>
    </rPh>
    <rPh sb="5" eb="6">
      <t>セン</t>
    </rPh>
    <phoneticPr fontId="3"/>
  </si>
  <si>
    <r>
      <rPr>
        <sz val="10"/>
        <rFont val="ＭＳ Ｐゴシック"/>
        <family val="3"/>
        <charset val="128"/>
      </rPr>
      <t>大阪狭山線</t>
    </r>
    <rPh sb="0" eb="2">
      <t>オオサカ</t>
    </rPh>
    <rPh sb="2" eb="4">
      <t>サヤマ</t>
    </rPh>
    <rPh sb="4" eb="5">
      <t>セン</t>
    </rPh>
    <phoneticPr fontId="3"/>
  </si>
  <si>
    <r>
      <rPr>
        <sz val="10"/>
        <rFont val="ＭＳ Ｐゴシック"/>
        <family val="3"/>
        <charset val="128"/>
      </rPr>
      <t>十三吹田線</t>
    </r>
    <rPh sb="0" eb="2">
      <t>ジュウソウ</t>
    </rPh>
    <rPh sb="2" eb="4">
      <t>スイタ</t>
    </rPh>
    <rPh sb="4" eb="5">
      <t>セン</t>
    </rPh>
    <phoneticPr fontId="3"/>
  </si>
  <si>
    <r>
      <rPr>
        <sz val="10"/>
        <rFont val="ＭＳ Ｐゴシック"/>
        <family val="3"/>
        <charset val="128"/>
      </rPr>
      <t>歌島豊里線</t>
    </r>
    <rPh sb="0" eb="2">
      <t>ウタジマ</t>
    </rPh>
    <rPh sb="2" eb="3">
      <t>トヨ</t>
    </rPh>
    <rPh sb="3" eb="4">
      <t>サト</t>
    </rPh>
    <rPh sb="4" eb="5">
      <t>セン</t>
    </rPh>
    <phoneticPr fontId="3"/>
  </si>
  <si>
    <r>
      <rPr>
        <sz val="10"/>
        <rFont val="ＭＳ Ｐゴシック"/>
        <family val="3"/>
        <charset val="128"/>
      </rPr>
      <t>大阪港八尾線</t>
    </r>
    <rPh sb="0" eb="3">
      <t>オオサカコウ</t>
    </rPh>
    <rPh sb="3" eb="5">
      <t>ヤオ</t>
    </rPh>
    <rPh sb="5" eb="6">
      <t>セン</t>
    </rPh>
    <phoneticPr fontId="3"/>
  </si>
  <si>
    <r>
      <rPr>
        <sz val="10"/>
        <rFont val="ＭＳ Ｐゴシック"/>
        <family val="3"/>
        <charset val="128"/>
      </rPr>
      <t>淀川北岸線</t>
    </r>
    <rPh sb="0" eb="2">
      <t>ヨドガワ</t>
    </rPh>
    <rPh sb="2" eb="4">
      <t>ホクガン</t>
    </rPh>
    <rPh sb="4" eb="5">
      <t>セン</t>
    </rPh>
    <phoneticPr fontId="3"/>
  </si>
  <si>
    <r>
      <rPr>
        <sz val="10"/>
        <rFont val="ＭＳ Ｐゴシック"/>
        <family val="3"/>
        <charset val="128"/>
      </rPr>
      <t>大阪環状線</t>
    </r>
    <rPh sb="0" eb="2">
      <t>オオサカ</t>
    </rPh>
    <rPh sb="2" eb="5">
      <t>カンジョウセン</t>
    </rPh>
    <phoneticPr fontId="3"/>
  </si>
  <si>
    <r>
      <rPr>
        <sz val="10"/>
        <rFont val="ＭＳ Ｐゴシック"/>
        <family val="3"/>
        <charset val="128"/>
      </rPr>
      <t>片町野江森小路線</t>
    </r>
    <rPh sb="0" eb="2">
      <t>カタマチ</t>
    </rPh>
    <rPh sb="2" eb="4">
      <t>ノエ</t>
    </rPh>
    <rPh sb="4" eb="5">
      <t>モリ</t>
    </rPh>
    <rPh sb="5" eb="7">
      <t>ショウジ</t>
    </rPh>
    <rPh sb="7" eb="8">
      <t>セン</t>
    </rPh>
    <phoneticPr fontId="3"/>
  </si>
  <si>
    <r>
      <rPr>
        <sz val="10"/>
        <rFont val="ＭＳ Ｐゴシック"/>
        <family val="3"/>
        <charset val="128"/>
      </rPr>
      <t>福島桜島線</t>
    </r>
    <rPh sb="0" eb="2">
      <t>フクシマ</t>
    </rPh>
    <rPh sb="2" eb="4">
      <t>サクラジマ</t>
    </rPh>
    <rPh sb="4" eb="5">
      <t>セン</t>
    </rPh>
    <phoneticPr fontId="3"/>
  </si>
  <si>
    <r>
      <rPr>
        <sz val="10"/>
        <rFont val="ＭＳ Ｐゴシック"/>
        <family val="3"/>
        <charset val="128"/>
      </rPr>
      <t>巽生野加美線</t>
    </r>
    <rPh sb="0" eb="1">
      <t>タツミ</t>
    </rPh>
    <rPh sb="1" eb="3">
      <t>イクノ</t>
    </rPh>
    <rPh sb="3" eb="5">
      <t>カミ</t>
    </rPh>
    <rPh sb="5" eb="6">
      <t>セン</t>
    </rPh>
    <phoneticPr fontId="3"/>
  </si>
  <si>
    <r>
      <rPr>
        <sz val="10"/>
        <rFont val="ＭＳ Ｐゴシック"/>
        <family val="3"/>
        <charset val="128"/>
      </rPr>
      <t>難波境川線</t>
    </r>
    <rPh sb="0" eb="2">
      <t>ナンバ</t>
    </rPh>
    <rPh sb="2" eb="4">
      <t>サカイガワ</t>
    </rPh>
    <rPh sb="4" eb="5">
      <t>セン</t>
    </rPh>
    <phoneticPr fontId="3"/>
  </si>
  <si>
    <r>
      <rPr>
        <sz val="10"/>
        <rFont val="ＭＳ Ｐゴシック"/>
        <family val="3"/>
        <charset val="128"/>
      </rPr>
      <t>桜川恵美須線</t>
    </r>
    <rPh sb="0" eb="2">
      <t>サクラガワ</t>
    </rPh>
    <rPh sb="2" eb="5">
      <t>エビス</t>
    </rPh>
    <rPh sb="5" eb="6">
      <t>セン</t>
    </rPh>
    <phoneticPr fontId="3"/>
  </si>
  <si>
    <r>
      <rPr>
        <sz val="10"/>
        <rFont val="ＭＳ Ｐゴシック"/>
        <family val="3"/>
        <charset val="128"/>
      </rPr>
      <t>天神橋天王寺線</t>
    </r>
    <rPh sb="0" eb="3">
      <t>テンジンバシ</t>
    </rPh>
    <rPh sb="3" eb="6">
      <t>テンノウジ</t>
    </rPh>
    <rPh sb="6" eb="7">
      <t>セン</t>
    </rPh>
    <phoneticPr fontId="3"/>
  </si>
  <si>
    <r>
      <rPr>
        <sz val="10"/>
        <rFont val="ＭＳ Ｐゴシック"/>
        <family val="3"/>
        <charset val="128"/>
      </rPr>
      <t>中野住道矢田線</t>
    </r>
    <rPh sb="0" eb="2">
      <t>ナカノ</t>
    </rPh>
    <rPh sb="2" eb="4">
      <t>スミノドウ</t>
    </rPh>
    <rPh sb="4" eb="6">
      <t>ヤタ</t>
    </rPh>
    <rPh sb="6" eb="7">
      <t>セン</t>
    </rPh>
    <phoneticPr fontId="3"/>
  </si>
  <si>
    <r>
      <rPr>
        <sz val="10"/>
        <rFont val="ＭＳ Ｐゴシック"/>
        <family val="3"/>
        <charset val="128"/>
      </rPr>
      <t>福町浜町線</t>
    </r>
    <rPh sb="0" eb="2">
      <t>フクマチ</t>
    </rPh>
    <rPh sb="2" eb="3">
      <t>ハマ</t>
    </rPh>
    <rPh sb="3" eb="4">
      <t>チョウ</t>
    </rPh>
    <rPh sb="4" eb="5">
      <t>セン</t>
    </rPh>
    <phoneticPr fontId="3"/>
  </si>
  <si>
    <r>
      <rPr>
        <sz val="10"/>
        <rFont val="ＭＳ Ｐゴシック"/>
        <family val="3"/>
        <charset val="128"/>
      </rPr>
      <t>都島茨田線</t>
    </r>
    <rPh sb="0" eb="2">
      <t>ミヤコジマ</t>
    </rPh>
    <rPh sb="2" eb="3">
      <t>イバラ</t>
    </rPh>
    <rPh sb="3" eb="4">
      <t>タ</t>
    </rPh>
    <rPh sb="4" eb="5">
      <t>セン</t>
    </rPh>
    <phoneticPr fontId="3"/>
  </si>
  <si>
    <r>
      <rPr>
        <sz val="10"/>
        <rFont val="ＭＳ Ｐゴシック"/>
        <family val="3"/>
        <charset val="128"/>
      </rPr>
      <t>築港深江線</t>
    </r>
    <rPh sb="0" eb="2">
      <t>チッコウ</t>
    </rPh>
    <rPh sb="2" eb="4">
      <t>フカエ</t>
    </rPh>
    <rPh sb="4" eb="5">
      <t>セン</t>
    </rPh>
    <phoneticPr fontId="3"/>
  </si>
  <si>
    <r>
      <rPr>
        <sz val="10"/>
        <rFont val="ＭＳ Ｐゴシック"/>
        <family val="3"/>
        <charset val="128"/>
      </rPr>
      <t>新庄長柄線</t>
    </r>
    <rPh sb="0" eb="2">
      <t>シンジョウ</t>
    </rPh>
    <rPh sb="2" eb="4">
      <t>ナガラ</t>
    </rPh>
    <rPh sb="4" eb="5">
      <t>セン</t>
    </rPh>
    <phoneticPr fontId="3"/>
  </si>
  <si>
    <r>
      <rPr>
        <sz val="10"/>
        <rFont val="ＭＳ Ｐゴシック"/>
        <family val="3"/>
        <charset val="128"/>
      </rPr>
      <t>南北線</t>
    </r>
    <rPh sb="0" eb="3">
      <t>ナンボクセン</t>
    </rPh>
    <phoneticPr fontId="3"/>
  </si>
  <si>
    <r>
      <rPr>
        <sz val="10"/>
        <rFont val="ＭＳ Ｐゴシック"/>
        <family val="3"/>
        <charset val="128"/>
      </rPr>
      <t>片町徳庵線</t>
    </r>
    <rPh sb="0" eb="2">
      <t>カタマチ</t>
    </rPh>
    <rPh sb="2" eb="4">
      <t>トクアン</t>
    </rPh>
    <rPh sb="4" eb="5">
      <t>セン</t>
    </rPh>
    <phoneticPr fontId="3"/>
  </si>
  <si>
    <r>
      <rPr>
        <sz val="10"/>
        <rFont val="ＭＳ Ｐゴシック"/>
        <family val="3"/>
        <charset val="128"/>
      </rPr>
      <t>中津太子橋線</t>
    </r>
    <rPh sb="0" eb="2">
      <t>ナカツ</t>
    </rPh>
    <rPh sb="2" eb="4">
      <t>タイシ</t>
    </rPh>
    <rPh sb="4" eb="5">
      <t>バシ</t>
    </rPh>
    <rPh sb="5" eb="6">
      <t>セン</t>
    </rPh>
    <phoneticPr fontId="3"/>
  </si>
  <si>
    <r>
      <rPr>
        <sz val="10"/>
        <rFont val="ＭＳ Ｐゴシック"/>
        <family val="3"/>
        <charset val="128"/>
      </rPr>
      <t>松島安治川線</t>
    </r>
    <rPh sb="0" eb="2">
      <t>マツシマ</t>
    </rPh>
    <rPh sb="2" eb="4">
      <t>アジ</t>
    </rPh>
    <rPh sb="4" eb="5">
      <t>ガワ</t>
    </rPh>
    <rPh sb="5" eb="6">
      <t>セン</t>
    </rPh>
    <phoneticPr fontId="3"/>
  </si>
  <si>
    <r>
      <rPr>
        <sz val="10"/>
        <rFont val="ＭＳ Ｐゴシック"/>
        <family val="3"/>
        <charset val="128"/>
      </rPr>
      <t>九条梅田線</t>
    </r>
    <rPh sb="0" eb="2">
      <t>クジョウ</t>
    </rPh>
    <rPh sb="2" eb="3">
      <t>ウメ</t>
    </rPh>
    <rPh sb="3" eb="4">
      <t>タ</t>
    </rPh>
    <rPh sb="4" eb="5">
      <t>セン</t>
    </rPh>
    <phoneticPr fontId="3"/>
  </si>
  <si>
    <r>
      <rPr>
        <sz val="8"/>
        <rFont val="ＭＳ Ｐゴシック"/>
        <family val="3"/>
        <charset val="128"/>
      </rPr>
      <t>天王寺方面東西</t>
    </r>
    <r>
      <rPr>
        <sz val="8"/>
        <rFont val="Arial"/>
        <family val="2"/>
      </rPr>
      <t>33</t>
    </r>
    <r>
      <rPr>
        <sz val="8"/>
        <rFont val="ＭＳ Ｐゴシック"/>
        <family val="3"/>
        <charset val="128"/>
      </rPr>
      <t>号線</t>
    </r>
    <rPh sb="0" eb="3">
      <t>テンノウジ</t>
    </rPh>
    <rPh sb="3" eb="5">
      <t>ホウメン</t>
    </rPh>
    <rPh sb="5" eb="7">
      <t>トウザイ</t>
    </rPh>
    <rPh sb="9" eb="10">
      <t>ゴウ</t>
    </rPh>
    <rPh sb="10" eb="11">
      <t>セン</t>
    </rPh>
    <phoneticPr fontId="3"/>
  </si>
  <si>
    <r>
      <rPr>
        <sz val="10"/>
        <rFont val="ＭＳ Ｐゴシック"/>
        <family val="3"/>
        <charset val="128"/>
      </rPr>
      <t>赤川天王寺線</t>
    </r>
    <rPh sb="0" eb="2">
      <t>アカガワ</t>
    </rPh>
    <rPh sb="2" eb="5">
      <t>テンノウジ</t>
    </rPh>
    <rPh sb="5" eb="6">
      <t>セン</t>
    </rPh>
    <phoneticPr fontId="3"/>
  </si>
  <si>
    <r>
      <rPr>
        <sz val="10"/>
        <rFont val="ＭＳ Ｐゴシック"/>
        <family val="3"/>
        <charset val="128"/>
      </rPr>
      <t>木津川平野線</t>
    </r>
    <rPh sb="0" eb="2">
      <t>キヅ</t>
    </rPh>
    <rPh sb="2" eb="3">
      <t>ガワ</t>
    </rPh>
    <rPh sb="3" eb="5">
      <t>ヒラノ</t>
    </rPh>
    <rPh sb="5" eb="6">
      <t>セン</t>
    </rPh>
    <phoneticPr fontId="3"/>
  </si>
  <si>
    <r>
      <rPr>
        <sz val="10"/>
        <rFont val="ＭＳ Ｐゴシック"/>
        <family val="3"/>
        <charset val="128"/>
      </rPr>
      <t>浜口南港線</t>
    </r>
    <rPh sb="0" eb="2">
      <t>ハマグチ</t>
    </rPh>
    <rPh sb="2" eb="4">
      <t>ナンコウ</t>
    </rPh>
    <rPh sb="4" eb="5">
      <t>セン</t>
    </rPh>
    <phoneticPr fontId="3"/>
  </si>
  <si>
    <r>
      <rPr>
        <sz val="10"/>
        <rFont val="ＭＳ Ｐゴシック"/>
        <family val="3"/>
        <charset val="128"/>
      </rPr>
      <t>松島南恩加島町線</t>
    </r>
    <rPh sb="0" eb="2">
      <t>マツシマ</t>
    </rPh>
    <rPh sb="2" eb="3">
      <t>ミナミ</t>
    </rPh>
    <rPh sb="3" eb="4">
      <t>オン</t>
    </rPh>
    <rPh sb="4" eb="7">
      <t>カシマチョウ</t>
    </rPh>
    <rPh sb="7" eb="8">
      <t>セン</t>
    </rPh>
    <phoneticPr fontId="3"/>
  </si>
  <si>
    <r>
      <rPr>
        <sz val="10"/>
        <rFont val="ＭＳ Ｐゴシック"/>
        <family val="3"/>
        <charset val="128"/>
      </rPr>
      <t>浪速鶴町線</t>
    </r>
    <rPh sb="0" eb="2">
      <t>ナニワ</t>
    </rPh>
    <rPh sb="2" eb="3">
      <t>ツル</t>
    </rPh>
    <rPh sb="3" eb="4">
      <t>マチ</t>
    </rPh>
    <rPh sb="4" eb="5">
      <t>セン</t>
    </rPh>
    <phoneticPr fontId="3"/>
  </si>
  <si>
    <r>
      <rPr>
        <sz val="10"/>
        <rFont val="ＭＳ Ｐゴシック"/>
        <family val="3"/>
        <charset val="128"/>
      </rPr>
      <t>船町通線</t>
    </r>
    <rPh sb="0" eb="2">
      <t>フナマチ</t>
    </rPh>
    <rPh sb="2" eb="3">
      <t>トオ</t>
    </rPh>
    <rPh sb="3" eb="4">
      <t>セン</t>
    </rPh>
    <phoneticPr fontId="3"/>
  </si>
  <si>
    <r>
      <rPr>
        <sz val="10"/>
        <rFont val="ＭＳ Ｐゴシック"/>
        <family val="3"/>
        <charset val="128"/>
      </rPr>
      <t>上新庄生野線</t>
    </r>
    <rPh sb="0" eb="1">
      <t>カミ</t>
    </rPh>
    <rPh sb="1" eb="3">
      <t>シンジョウ</t>
    </rPh>
    <rPh sb="3" eb="5">
      <t>イクノ</t>
    </rPh>
    <rPh sb="5" eb="6">
      <t>セン</t>
    </rPh>
    <phoneticPr fontId="3"/>
  </si>
  <si>
    <r>
      <rPr>
        <sz val="10"/>
        <rFont val="ＭＳ Ｐゴシック"/>
        <family val="3"/>
        <charset val="128"/>
      </rPr>
      <t>正蓮寺川北岸線</t>
    </r>
    <rPh sb="0" eb="1">
      <t>セイ</t>
    </rPh>
    <rPh sb="1" eb="2">
      <t>ハス</t>
    </rPh>
    <rPh sb="2" eb="4">
      <t>テラガワ</t>
    </rPh>
    <rPh sb="4" eb="6">
      <t>ホクガン</t>
    </rPh>
    <rPh sb="6" eb="7">
      <t>セン</t>
    </rPh>
    <phoneticPr fontId="3"/>
  </si>
  <si>
    <r>
      <rPr>
        <sz val="10"/>
        <rFont val="ＭＳ Ｐゴシック"/>
        <family val="3"/>
        <charset val="128"/>
      </rPr>
      <t>四天王寺巽線</t>
    </r>
    <rPh sb="0" eb="4">
      <t>シテンノウジ</t>
    </rPh>
    <rPh sb="4" eb="5">
      <t>タツミ</t>
    </rPh>
    <rPh sb="5" eb="6">
      <t>セン</t>
    </rPh>
    <phoneticPr fontId="3"/>
  </si>
  <si>
    <r>
      <rPr>
        <sz val="10"/>
        <rFont val="ＭＳ Ｐゴシック"/>
        <family val="3"/>
        <charset val="128"/>
      </rPr>
      <t>新木津川大橋</t>
    </r>
    <rPh sb="0" eb="1">
      <t>シン</t>
    </rPh>
    <rPh sb="1" eb="4">
      <t>キヅガワ</t>
    </rPh>
    <rPh sb="4" eb="6">
      <t>オオハシ</t>
    </rPh>
    <phoneticPr fontId="3"/>
  </si>
  <si>
    <r>
      <rPr>
        <sz val="11"/>
        <rFont val="ＭＳ Ｐゴシック"/>
        <family val="3"/>
        <charset val="128"/>
      </rPr>
      <t>幹線道路計</t>
    </r>
    <rPh sb="0" eb="2">
      <t>カンセン</t>
    </rPh>
    <rPh sb="2" eb="4">
      <t>ドウロ</t>
    </rPh>
    <rPh sb="4" eb="5">
      <t>ケイ</t>
    </rPh>
    <phoneticPr fontId="3"/>
  </si>
  <si>
    <r>
      <rPr>
        <sz val="11"/>
        <rFont val="ＭＳ Ｐゴシック"/>
        <family val="3"/>
        <charset val="128"/>
      </rPr>
      <t>その他</t>
    </r>
    <rPh sb="2" eb="3">
      <t>タ</t>
    </rPh>
    <phoneticPr fontId="3"/>
  </si>
  <si>
    <r>
      <rPr>
        <sz val="18"/>
        <color indexed="8"/>
        <rFont val="ＭＳ Ｐゴシック"/>
        <family val="3"/>
        <charset val="128"/>
      </rPr>
      <t>路線別発生状況概略図（件数）</t>
    </r>
    <rPh sb="0" eb="2">
      <t>ロセン</t>
    </rPh>
    <rPh sb="2" eb="3">
      <t>ベツ</t>
    </rPh>
    <rPh sb="3" eb="5">
      <t>ハッセイ</t>
    </rPh>
    <rPh sb="5" eb="7">
      <t>ジョウキョウ</t>
    </rPh>
    <rPh sb="7" eb="9">
      <t>ガイリャク</t>
    </rPh>
    <rPh sb="9" eb="10">
      <t>ズ</t>
    </rPh>
    <rPh sb="11" eb="13">
      <t>ケンスウ</t>
    </rPh>
    <phoneticPr fontId="3"/>
  </si>
  <si>
    <r>
      <rPr>
        <sz val="11"/>
        <rFont val="ＭＳ Ｐゴシック"/>
        <family val="3"/>
        <charset val="128"/>
      </rPr>
      <t>１号線</t>
    </r>
    <rPh sb="1" eb="3">
      <t>ゴウセン</t>
    </rPh>
    <phoneticPr fontId="3"/>
  </si>
  <si>
    <r>
      <rPr>
        <sz val="11"/>
        <rFont val="ＭＳ Ｐゴシック"/>
        <family val="3"/>
        <charset val="128"/>
      </rPr>
      <t>２号線</t>
    </r>
    <rPh sb="1" eb="3">
      <t>ゴウセン</t>
    </rPh>
    <phoneticPr fontId="3"/>
  </si>
  <si>
    <r>
      <rPr>
        <sz val="11"/>
        <rFont val="ＭＳ Ｐゴシック"/>
        <family val="3"/>
        <charset val="128"/>
      </rPr>
      <t>２５号線</t>
    </r>
    <rPh sb="2" eb="4">
      <t>ゴウセン</t>
    </rPh>
    <phoneticPr fontId="3"/>
  </si>
  <si>
    <r>
      <rPr>
        <sz val="11"/>
        <rFont val="ＭＳ Ｐゴシック"/>
        <family val="3"/>
        <charset val="128"/>
      </rPr>
      <t>２６号線</t>
    </r>
    <rPh sb="2" eb="4">
      <t>ゴウセン</t>
    </rPh>
    <phoneticPr fontId="3"/>
  </si>
  <si>
    <r>
      <rPr>
        <sz val="11"/>
        <rFont val="ＭＳ Ｐゴシック"/>
        <family val="3"/>
        <charset val="128"/>
      </rPr>
      <t>４３号線</t>
    </r>
    <rPh sb="2" eb="4">
      <t>ゴウセン</t>
    </rPh>
    <phoneticPr fontId="3"/>
  </si>
  <si>
    <r>
      <rPr>
        <sz val="11"/>
        <rFont val="ＭＳ Ｐゴシック"/>
        <family val="3"/>
        <charset val="128"/>
      </rPr>
      <t>１７６号線</t>
    </r>
    <rPh sb="3" eb="5">
      <t>ゴウセン</t>
    </rPh>
    <phoneticPr fontId="3"/>
  </si>
  <si>
    <r>
      <rPr>
        <sz val="11"/>
        <rFont val="ＭＳ Ｐゴシック"/>
        <family val="3"/>
        <charset val="128"/>
      </rPr>
      <t>３０８号線</t>
    </r>
    <rPh sb="3" eb="5">
      <t>ゴウセン</t>
    </rPh>
    <phoneticPr fontId="3"/>
  </si>
  <si>
    <r>
      <rPr>
        <sz val="11"/>
        <rFont val="ＭＳ Ｐゴシック"/>
        <family val="3"/>
        <charset val="128"/>
      </rPr>
      <t>４２３号線</t>
    </r>
    <rPh sb="3" eb="5">
      <t>ゴウセン</t>
    </rPh>
    <phoneticPr fontId="3"/>
  </si>
  <si>
    <r>
      <rPr>
        <sz val="11"/>
        <rFont val="ＭＳ Ｐゴシック"/>
        <family val="3"/>
        <charset val="128"/>
      </rPr>
      <t>４７９号線</t>
    </r>
    <rPh sb="3" eb="5">
      <t>ゴウセン</t>
    </rPh>
    <phoneticPr fontId="3"/>
  </si>
  <si>
    <r>
      <rPr>
        <sz val="11"/>
        <rFont val="ＭＳ Ｐゴシック"/>
        <family val="3"/>
        <charset val="128"/>
      </rPr>
      <t>大阪中央環状線</t>
    </r>
    <rPh sb="0" eb="2">
      <t>オオサカ</t>
    </rPh>
    <rPh sb="2" eb="4">
      <t>チュウオウ</t>
    </rPh>
    <rPh sb="4" eb="7">
      <t>カンジョウセン</t>
    </rPh>
    <phoneticPr fontId="3"/>
  </si>
  <si>
    <r>
      <rPr>
        <sz val="11"/>
        <rFont val="ＭＳ Ｐゴシック"/>
        <family val="3"/>
        <charset val="128"/>
      </rPr>
      <t>大阪和泉泉南線</t>
    </r>
    <rPh sb="0" eb="2">
      <t>オオサカ</t>
    </rPh>
    <rPh sb="2" eb="4">
      <t>イズミ</t>
    </rPh>
    <rPh sb="4" eb="6">
      <t>センナン</t>
    </rPh>
    <rPh sb="6" eb="7">
      <t>セン</t>
    </rPh>
    <phoneticPr fontId="3"/>
  </si>
  <si>
    <r>
      <rPr>
        <sz val="11"/>
        <rFont val="ＭＳ Ｐゴシック"/>
        <family val="3"/>
        <charset val="128"/>
      </rPr>
      <t>大阪高石線</t>
    </r>
    <rPh sb="0" eb="2">
      <t>オオサカ</t>
    </rPh>
    <rPh sb="2" eb="4">
      <t>タカイシ</t>
    </rPh>
    <rPh sb="4" eb="5">
      <t>セン</t>
    </rPh>
    <phoneticPr fontId="3"/>
  </si>
  <si>
    <r>
      <rPr>
        <sz val="11"/>
        <rFont val="ＭＳ Ｐゴシック"/>
        <family val="3"/>
        <charset val="128"/>
      </rPr>
      <t>大阪臨海線</t>
    </r>
    <rPh sb="0" eb="2">
      <t>オオサカ</t>
    </rPh>
    <rPh sb="2" eb="4">
      <t>リンカイ</t>
    </rPh>
    <rPh sb="4" eb="5">
      <t>セン</t>
    </rPh>
    <phoneticPr fontId="3"/>
  </si>
  <si>
    <r>
      <rPr>
        <sz val="11"/>
        <rFont val="ＭＳ Ｐゴシック"/>
        <family val="3"/>
        <charset val="128"/>
      </rPr>
      <t>大阪伊丹線</t>
    </r>
    <rPh sb="0" eb="2">
      <t>オオサカ</t>
    </rPh>
    <rPh sb="2" eb="4">
      <t>イタミ</t>
    </rPh>
    <rPh sb="4" eb="5">
      <t>セン</t>
    </rPh>
    <phoneticPr fontId="3"/>
  </si>
  <si>
    <r>
      <rPr>
        <sz val="11"/>
        <rFont val="ＭＳ Ｐゴシック"/>
        <family val="3"/>
        <charset val="128"/>
      </rPr>
      <t>築港深江線</t>
    </r>
    <rPh sb="0" eb="2">
      <t>チッコウ</t>
    </rPh>
    <rPh sb="2" eb="4">
      <t>フカエ</t>
    </rPh>
    <rPh sb="4" eb="5">
      <t>セン</t>
    </rPh>
    <phoneticPr fontId="3"/>
  </si>
  <si>
    <r>
      <rPr>
        <sz val="11"/>
        <rFont val="ＭＳ Ｐゴシック"/>
        <family val="3"/>
        <charset val="128"/>
      </rPr>
      <t>大阪枚岡奈良線</t>
    </r>
    <rPh sb="0" eb="2">
      <t>オオサカ</t>
    </rPh>
    <rPh sb="2" eb="4">
      <t>ヒラオカ</t>
    </rPh>
    <rPh sb="4" eb="6">
      <t>ナラ</t>
    </rPh>
    <rPh sb="6" eb="7">
      <t>セン</t>
    </rPh>
    <phoneticPr fontId="3"/>
  </si>
  <si>
    <r>
      <rPr>
        <sz val="11"/>
        <rFont val="ＭＳ Ｐゴシック"/>
        <family val="3"/>
        <charset val="128"/>
      </rPr>
      <t>道路種別、月別発生件数、死者数、傷者数</t>
    </r>
    <rPh sb="0" eb="2">
      <t>ドウロ</t>
    </rPh>
    <rPh sb="2" eb="4">
      <t>シュベツ</t>
    </rPh>
    <rPh sb="5" eb="7">
      <t>ツキベツ</t>
    </rPh>
    <rPh sb="7" eb="9">
      <t>ハッセイ</t>
    </rPh>
    <rPh sb="9" eb="11">
      <t>ケンスウ</t>
    </rPh>
    <rPh sb="12" eb="15">
      <t>シシャスウ</t>
    </rPh>
    <rPh sb="16" eb="18">
      <t>ショウシャ</t>
    </rPh>
    <rPh sb="18" eb="19">
      <t>スウ</t>
    </rPh>
    <phoneticPr fontId="3"/>
  </si>
  <si>
    <r>
      <rPr>
        <sz val="6"/>
        <rFont val="ＭＳ Ｐゴシック"/>
        <family val="3"/>
        <charset val="128"/>
      </rPr>
      <t>区分</t>
    </r>
    <rPh sb="0" eb="2">
      <t>クブン</t>
    </rPh>
    <phoneticPr fontId="3"/>
  </si>
  <si>
    <r>
      <rPr>
        <sz val="11"/>
        <rFont val="ＭＳ Ｐゴシック"/>
        <family val="3"/>
        <charset val="128"/>
      </rPr>
      <t>件　　数</t>
    </r>
    <rPh sb="0" eb="1">
      <t>ケン</t>
    </rPh>
    <rPh sb="3" eb="4">
      <t>カズ</t>
    </rPh>
    <phoneticPr fontId="3"/>
  </si>
  <si>
    <r>
      <rPr>
        <sz val="11"/>
        <rFont val="ＭＳ Ｐゴシック"/>
        <family val="3"/>
        <charset val="128"/>
      </rPr>
      <t>死　　者　　数</t>
    </r>
    <rPh sb="0" eb="1">
      <t>シ</t>
    </rPh>
    <rPh sb="3" eb="4">
      <t>シャ</t>
    </rPh>
    <rPh sb="6" eb="7">
      <t>スウ</t>
    </rPh>
    <phoneticPr fontId="3"/>
  </si>
  <si>
    <r>
      <rPr>
        <sz val="11"/>
        <rFont val="ＭＳ Ｐゴシック"/>
        <family val="3"/>
        <charset val="128"/>
      </rPr>
      <t>負　　傷　　者　　数</t>
    </r>
    <rPh sb="0" eb="1">
      <t>フ</t>
    </rPh>
    <rPh sb="3" eb="4">
      <t>キズ</t>
    </rPh>
    <rPh sb="6" eb="7">
      <t>シャ</t>
    </rPh>
    <rPh sb="9" eb="10">
      <t>スウ</t>
    </rPh>
    <phoneticPr fontId="3"/>
  </si>
  <si>
    <r>
      <rPr>
        <sz val="10"/>
        <rFont val="ＭＳ Ｐゴシック"/>
        <family val="3"/>
        <charset val="128"/>
      </rPr>
      <t>幹線道路</t>
    </r>
    <rPh sb="0" eb="2">
      <t>カンセン</t>
    </rPh>
    <rPh sb="2" eb="4">
      <t>ドウロ</t>
    </rPh>
    <phoneticPr fontId="3"/>
  </si>
  <si>
    <r>
      <rPr>
        <sz val="11"/>
        <rFont val="ＭＳ Ｐゴシック"/>
        <family val="3"/>
        <charset val="128"/>
      </rPr>
      <t>道路種別交通事故発生率推移</t>
    </r>
    <rPh sb="0" eb="2">
      <t>ドウロ</t>
    </rPh>
    <rPh sb="2" eb="4">
      <t>シュベツ</t>
    </rPh>
    <rPh sb="4" eb="6">
      <t>コウツウ</t>
    </rPh>
    <rPh sb="6" eb="8">
      <t>ジコ</t>
    </rPh>
    <rPh sb="8" eb="10">
      <t>ハッセイ</t>
    </rPh>
    <rPh sb="10" eb="11">
      <t>リツ</t>
    </rPh>
    <rPh sb="11" eb="13">
      <t>スイイ</t>
    </rPh>
    <phoneticPr fontId="3"/>
  </si>
  <si>
    <r>
      <rPr>
        <sz val="11"/>
        <rFont val="ＭＳ Ｐゴシック"/>
        <family val="3"/>
        <charset val="128"/>
      </rPr>
      <t>年別</t>
    </r>
    <rPh sb="0" eb="2">
      <t>ネンベツ</t>
    </rPh>
    <phoneticPr fontId="3"/>
  </si>
  <si>
    <r>
      <rPr>
        <sz val="11"/>
        <rFont val="ＭＳ Ｐゴシック"/>
        <family val="3"/>
        <charset val="128"/>
      </rPr>
      <t>昭和</t>
    </r>
    <r>
      <rPr>
        <sz val="11"/>
        <rFont val="Arial"/>
        <family val="2"/>
      </rPr>
      <t>46</t>
    </r>
    <rPh sb="0" eb="2">
      <t>ショウワ</t>
    </rPh>
    <phoneticPr fontId="3"/>
  </si>
  <si>
    <r>
      <rPr>
        <sz val="11"/>
        <rFont val="ＭＳ Ｐゴシック"/>
        <family val="3"/>
        <charset val="128"/>
      </rPr>
      <t>平成</t>
    </r>
    <r>
      <rPr>
        <sz val="11"/>
        <rFont val="Arial"/>
        <family val="2"/>
      </rPr>
      <t>29</t>
    </r>
    <rPh sb="0" eb="2">
      <t>ヘイセイ</t>
    </rPh>
    <phoneticPr fontId="3"/>
  </si>
  <si>
    <r>
      <rPr>
        <sz val="11"/>
        <rFont val="ＭＳ Ｐゴシック"/>
        <family val="3"/>
        <charset val="128"/>
      </rPr>
      <t>平成</t>
    </r>
    <r>
      <rPr>
        <sz val="11"/>
        <rFont val="Arial"/>
        <family val="2"/>
      </rPr>
      <t>30</t>
    </r>
    <rPh sb="0" eb="2">
      <t>ヘイセイ</t>
    </rPh>
    <phoneticPr fontId="3"/>
  </si>
  <si>
    <t>令和２</t>
    <rPh sb="0" eb="2">
      <t>レイワ</t>
    </rPh>
    <phoneticPr fontId="3"/>
  </si>
  <si>
    <t>令和４</t>
    <rPh sb="0" eb="2">
      <t>レイワ</t>
    </rPh>
    <phoneticPr fontId="3"/>
  </si>
  <si>
    <r>
      <rPr>
        <sz val="11"/>
        <rFont val="ＭＳ Ｐゴシック"/>
        <family val="3"/>
        <charset val="128"/>
      </rPr>
      <t>区分</t>
    </r>
    <rPh sb="0" eb="2">
      <t>クブン</t>
    </rPh>
    <phoneticPr fontId="3"/>
  </si>
  <si>
    <r>
      <rPr>
        <sz val="9"/>
        <rFont val="ＭＳ Ｐゴシック"/>
        <family val="3"/>
        <charset val="128"/>
      </rPr>
      <t>道路別</t>
    </r>
    <rPh sb="0" eb="2">
      <t>ドウロ</t>
    </rPh>
    <rPh sb="2" eb="3">
      <t>ベツ</t>
    </rPh>
    <phoneticPr fontId="3"/>
  </si>
  <si>
    <r>
      <rPr>
        <sz val="11"/>
        <rFont val="ＭＳ Ｐゴシック"/>
        <family val="3"/>
        <charset val="128"/>
      </rPr>
      <t>件
数</t>
    </r>
    <rPh sb="0" eb="1">
      <t>ケン</t>
    </rPh>
    <rPh sb="3" eb="4">
      <t>スウ</t>
    </rPh>
    <phoneticPr fontId="3"/>
  </si>
  <si>
    <r>
      <rPr>
        <sz val="10"/>
        <rFont val="ＭＳ Ｐゴシック"/>
        <family val="3"/>
        <charset val="128"/>
      </rPr>
      <t>幹線道路の事故率（％）</t>
    </r>
    <rPh sb="0" eb="2">
      <t>カンセン</t>
    </rPh>
    <rPh sb="2" eb="4">
      <t>ドウロ</t>
    </rPh>
    <rPh sb="5" eb="7">
      <t>ジコ</t>
    </rPh>
    <rPh sb="7" eb="8">
      <t>リツ</t>
    </rPh>
    <phoneticPr fontId="3"/>
  </si>
  <si>
    <r>
      <rPr>
        <sz val="11"/>
        <rFont val="ＭＳ Ｐゴシック"/>
        <family val="3"/>
        <charset val="128"/>
      </rPr>
      <t>死
者
数</t>
    </r>
    <rPh sb="0" eb="1">
      <t>シ</t>
    </rPh>
    <rPh sb="2" eb="3">
      <t>シャ</t>
    </rPh>
    <rPh sb="4" eb="5">
      <t>スウ</t>
    </rPh>
    <phoneticPr fontId="3"/>
  </si>
  <si>
    <r>
      <rPr>
        <sz val="11"/>
        <rFont val="ＭＳ Ｐゴシック"/>
        <family val="3"/>
        <charset val="128"/>
      </rPr>
      <t>負
傷
者
数</t>
    </r>
    <rPh sb="0" eb="1">
      <t>フ</t>
    </rPh>
    <rPh sb="2" eb="3">
      <t>キズ</t>
    </rPh>
    <rPh sb="4" eb="5">
      <t>モノ</t>
    </rPh>
    <rPh sb="6" eb="7">
      <t>スウ</t>
    </rPh>
    <phoneticPr fontId="3"/>
  </si>
  <si>
    <r>
      <t>(</t>
    </r>
    <r>
      <rPr>
        <sz val="11"/>
        <rFont val="ＭＳ Ｐゴシック"/>
        <family val="3"/>
        <charset val="128"/>
      </rPr>
      <t>注</t>
    </r>
    <r>
      <rPr>
        <sz val="11"/>
        <rFont val="Arial"/>
        <family val="2"/>
      </rPr>
      <t>)</t>
    </r>
    <rPh sb="1" eb="2">
      <t>チュウ</t>
    </rPh>
    <phoneticPr fontId="3"/>
  </si>
  <si>
    <r>
      <rPr>
        <sz val="12"/>
        <rFont val="ＭＳ Ｐゴシック"/>
        <family val="3"/>
        <charset val="128"/>
      </rPr>
      <t>（４）時間別</t>
    </r>
    <rPh sb="3" eb="5">
      <t>ジカン</t>
    </rPh>
    <rPh sb="5" eb="6">
      <t>ベツ</t>
    </rPh>
    <phoneticPr fontId="3"/>
  </si>
  <si>
    <r>
      <rPr>
        <sz val="11"/>
        <rFont val="ＭＳ Ｐゴシック"/>
        <family val="3"/>
        <charset val="128"/>
      </rPr>
      <t>昼・夜間別発生状況対前年比</t>
    </r>
    <rPh sb="0" eb="1">
      <t>ヒル</t>
    </rPh>
    <rPh sb="2" eb="4">
      <t>ヤカン</t>
    </rPh>
    <rPh sb="4" eb="5">
      <t>ベツ</t>
    </rPh>
    <rPh sb="5" eb="7">
      <t>ハッセイ</t>
    </rPh>
    <rPh sb="7" eb="9">
      <t>ジョウキョウ</t>
    </rPh>
    <rPh sb="9" eb="10">
      <t>タイ</t>
    </rPh>
    <rPh sb="10" eb="13">
      <t>ゼンネンヒ</t>
    </rPh>
    <phoneticPr fontId="3"/>
  </si>
  <si>
    <r>
      <rPr>
        <sz val="9"/>
        <rFont val="ＭＳ Ｐゴシック"/>
        <family val="3"/>
        <charset val="128"/>
      </rPr>
      <t>（件数：件／死者数・負傷者数：人）</t>
    </r>
    <phoneticPr fontId="3"/>
  </si>
  <si>
    <r>
      <rPr>
        <sz val="9"/>
        <rFont val="ＭＳ Ｐゴシック"/>
        <family val="3"/>
        <charset val="128"/>
      </rPr>
      <t>　　区　分</t>
    </r>
    <rPh sb="2" eb="3">
      <t>ク</t>
    </rPh>
    <rPh sb="4" eb="5">
      <t>ブン</t>
    </rPh>
    <phoneticPr fontId="3"/>
  </si>
  <si>
    <r>
      <rPr>
        <sz val="9"/>
        <rFont val="ＭＳ Ｐゴシック"/>
        <family val="3"/>
        <charset val="128"/>
      </rPr>
      <t>昼　　間</t>
    </r>
    <rPh sb="0" eb="1">
      <t>ヒル</t>
    </rPh>
    <rPh sb="3" eb="4">
      <t>アイダ</t>
    </rPh>
    <phoneticPr fontId="3"/>
  </si>
  <si>
    <r>
      <rPr>
        <sz val="9"/>
        <rFont val="ＭＳ Ｐゴシック"/>
        <family val="3"/>
        <charset val="128"/>
      </rPr>
      <t>夜　　間</t>
    </r>
    <rPh sb="0" eb="1">
      <t>ヨル</t>
    </rPh>
    <rPh sb="3" eb="4">
      <t>アイダ</t>
    </rPh>
    <phoneticPr fontId="3"/>
  </si>
  <si>
    <r>
      <rPr>
        <sz val="9"/>
        <rFont val="ＭＳ Ｐゴシック"/>
        <family val="3"/>
        <charset val="128"/>
      </rPr>
      <t>昼間の事故の割合（％）</t>
    </r>
    <rPh sb="0" eb="2">
      <t>ヒルマ</t>
    </rPh>
    <rPh sb="3" eb="5">
      <t>ジコ</t>
    </rPh>
    <rPh sb="6" eb="8">
      <t>ワリアイ</t>
    </rPh>
    <phoneticPr fontId="3"/>
  </si>
  <si>
    <r>
      <rPr>
        <sz val="9"/>
        <rFont val="ＭＳ Ｐゴシック"/>
        <family val="3"/>
        <charset val="128"/>
      </rPr>
      <t>幹線道路</t>
    </r>
    <rPh sb="0" eb="2">
      <t>カンセン</t>
    </rPh>
    <rPh sb="2" eb="4">
      <t>ドウロ</t>
    </rPh>
    <phoneticPr fontId="3"/>
  </si>
  <si>
    <r>
      <rPr>
        <sz val="9"/>
        <rFont val="ＭＳ Ｐゴシック"/>
        <family val="3"/>
        <charset val="128"/>
      </rPr>
      <t>その他</t>
    </r>
    <rPh sb="2" eb="3">
      <t>タ</t>
    </rPh>
    <phoneticPr fontId="3"/>
  </si>
  <si>
    <r>
      <rPr>
        <sz val="9"/>
        <rFont val="ＭＳ Ｐゴシック"/>
        <family val="3"/>
        <charset val="128"/>
      </rPr>
      <t>件
数</t>
    </r>
    <rPh sb="0" eb="1">
      <t>ケン</t>
    </rPh>
    <rPh sb="2" eb="3">
      <t>カズ</t>
    </rPh>
    <phoneticPr fontId="3"/>
  </si>
  <si>
    <r>
      <rPr>
        <sz val="9"/>
        <rFont val="ＭＳ Ｐゴシック"/>
        <family val="3"/>
        <charset val="128"/>
      </rPr>
      <t>死
者
数</t>
    </r>
    <rPh sb="0" eb="1">
      <t>シ</t>
    </rPh>
    <rPh sb="2" eb="3">
      <t>シャ</t>
    </rPh>
    <rPh sb="4" eb="5">
      <t>スウ</t>
    </rPh>
    <phoneticPr fontId="3"/>
  </si>
  <si>
    <r>
      <rPr>
        <sz val="9"/>
        <rFont val="ＭＳ Ｐゴシック"/>
        <family val="3"/>
        <charset val="128"/>
      </rPr>
      <t>負
傷
者
数</t>
    </r>
    <rPh sb="0" eb="1">
      <t>フ</t>
    </rPh>
    <rPh sb="2" eb="3">
      <t>キズ</t>
    </rPh>
    <rPh sb="4" eb="5">
      <t>モノ</t>
    </rPh>
    <rPh sb="6" eb="7">
      <t>スウ</t>
    </rPh>
    <phoneticPr fontId="3"/>
  </si>
  <si>
    <r>
      <t xml:space="preserve"> </t>
    </r>
    <r>
      <rPr>
        <sz val="12"/>
        <rFont val="ＭＳ Ｐゴシック"/>
        <family val="3"/>
        <charset val="128"/>
      </rPr>
      <t>時間別（幹線道路・その他）発生状況</t>
    </r>
    <phoneticPr fontId="3"/>
  </si>
  <si>
    <r>
      <rPr>
        <sz val="10"/>
        <rFont val="ＭＳ Ｐゴシック"/>
        <family val="3"/>
        <charset val="128"/>
      </rPr>
      <t>区分</t>
    </r>
    <rPh sb="0" eb="2">
      <t>クブン</t>
    </rPh>
    <phoneticPr fontId="3"/>
  </si>
  <si>
    <r>
      <t>(</t>
    </r>
    <r>
      <rPr>
        <sz val="11"/>
        <rFont val="ＭＳ Ｐゴシック"/>
        <family val="3"/>
        <charset val="128"/>
      </rPr>
      <t>件</t>
    </r>
    <r>
      <rPr>
        <sz val="11"/>
        <rFont val="Arial"/>
        <family val="2"/>
      </rPr>
      <t>)</t>
    </r>
    <rPh sb="1" eb="2">
      <t>ケン</t>
    </rPh>
    <phoneticPr fontId="3"/>
  </si>
  <si>
    <r>
      <rPr>
        <sz val="11"/>
        <rFont val="ＭＳ Ｐゴシック"/>
        <family val="3"/>
        <charset val="128"/>
      </rPr>
      <t>死　者　数</t>
    </r>
    <rPh sb="0" eb="1">
      <t>シ</t>
    </rPh>
    <rPh sb="2" eb="3">
      <t>モノ</t>
    </rPh>
    <rPh sb="4" eb="5">
      <t>スウ</t>
    </rPh>
    <phoneticPr fontId="3"/>
  </si>
  <si>
    <r>
      <t>(</t>
    </r>
    <r>
      <rPr>
        <sz val="11"/>
        <rFont val="ＭＳ Ｐゴシック"/>
        <family val="3"/>
        <charset val="128"/>
      </rPr>
      <t>人</t>
    </r>
    <r>
      <rPr>
        <sz val="11"/>
        <rFont val="Arial"/>
        <family val="2"/>
      </rPr>
      <t>)</t>
    </r>
    <rPh sb="1" eb="2">
      <t>ヒト</t>
    </rPh>
    <phoneticPr fontId="3"/>
  </si>
  <si>
    <r>
      <rPr>
        <sz val="11"/>
        <rFont val="ＭＳ Ｐゴシック"/>
        <family val="3"/>
        <charset val="128"/>
      </rPr>
      <t>負　傷　者　数</t>
    </r>
    <rPh sb="0" eb="1">
      <t>フ</t>
    </rPh>
    <rPh sb="2" eb="3">
      <t>キズ</t>
    </rPh>
    <rPh sb="4" eb="5">
      <t>シャ</t>
    </rPh>
    <rPh sb="6" eb="7">
      <t>スウ</t>
    </rPh>
    <phoneticPr fontId="3"/>
  </si>
  <si>
    <r>
      <t>(</t>
    </r>
    <r>
      <rPr>
        <sz val="11"/>
        <rFont val="ＭＳ Ｐゴシック"/>
        <family val="3"/>
        <charset val="128"/>
      </rPr>
      <t>人</t>
    </r>
    <r>
      <rPr>
        <sz val="11"/>
        <rFont val="Arial"/>
        <family val="2"/>
      </rPr>
      <t>)</t>
    </r>
    <phoneticPr fontId="3"/>
  </si>
  <si>
    <r>
      <rPr>
        <sz val="11"/>
        <rFont val="ＭＳ Ｐゴシック"/>
        <family val="3"/>
        <charset val="128"/>
      </rPr>
      <t>総</t>
    </r>
    <r>
      <rPr>
        <sz val="11"/>
        <rFont val="Arial"/>
        <family val="2"/>
      </rPr>
      <t xml:space="preserve">   </t>
    </r>
    <r>
      <rPr>
        <sz val="11"/>
        <rFont val="ＭＳ Ｐゴシック"/>
        <family val="3"/>
        <charset val="128"/>
      </rPr>
      <t>数</t>
    </r>
    <rPh sb="0" eb="1">
      <t>フサ</t>
    </rPh>
    <rPh sb="4" eb="5">
      <t>カズ</t>
    </rPh>
    <phoneticPr fontId="3"/>
  </si>
  <si>
    <r>
      <rPr>
        <sz val="10"/>
        <rFont val="ＭＳ Ｐゴシック"/>
        <family val="3"/>
        <charset val="128"/>
      </rPr>
      <t>時間</t>
    </r>
    <rPh sb="0" eb="2">
      <t>ジカン</t>
    </rPh>
    <phoneticPr fontId="3"/>
  </si>
  <si>
    <r>
      <rPr>
        <sz val="11"/>
        <rFont val="ＭＳ Ｐゴシック"/>
        <family val="3"/>
        <charset val="128"/>
      </rPr>
      <t>夜</t>
    </r>
    <rPh sb="0" eb="1">
      <t>ヨル</t>
    </rPh>
    <phoneticPr fontId="3"/>
  </si>
  <si>
    <r>
      <rPr>
        <sz val="11"/>
        <rFont val="ＭＳ Ｐゴシック"/>
        <family val="3"/>
        <charset val="128"/>
      </rPr>
      <t>間</t>
    </r>
    <rPh sb="0" eb="1">
      <t>アイダ</t>
    </rPh>
    <phoneticPr fontId="3"/>
  </si>
  <si>
    <r>
      <rPr>
        <sz val="11"/>
        <rFont val="ＭＳ Ｐゴシック"/>
        <family val="3"/>
        <charset val="128"/>
      </rPr>
      <t>昼間計</t>
    </r>
    <rPh sb="0" eb="2">
      <t>チュウカン</t>
    </rPh>
    <rPh sb="2" eb="3">
      <t>ケイ</t>
    </rPh>
    <phoneticPr fontId="3"/>
  </si>
  <si>
    <r>
      <rPr>
        <sz val="11"/>
        <rFont val="ＭＳ Ｐゴシック"/>
        <family val="3"/>
        <charset val="128"/>
      </rPr>
      <t>夜間計</t>
    </r>
    <rPh sb="0" eb="2">
      <t>ヤカン</t>
    </rPh>
    <rPh sb="2" eb="3">
      <t>ケイ</t>
    </rPh>
    <phoneticPr fontId="3"/>
  </si>
  <si>
    <r>
      <rPr>
        <sz val="11"/>
        <rFont val="ＭＳ Ｐゴシック"/>
        <family val="3"/>
        <charset val="128"/>
      </rPr>
      <t>総数</t>
    </r>
    <rPh sb="0" eb="2">
      <t>ソウスウ</t>
    </rPh>
    <phoneticPr fontId="3"/>
  </si>
  <si>
    <r>
      <rPr>
        <sz val="11"/>
        <rFont val="ＭＳ Ｐゴシック"/>
        <family val="3"/>
        <charset val="128"/>
      </rPr>
      <t>０時とは０時から午前１時までの間をいう。以下同じ。</t>
    </r>
    <rPh sb="1" eb="2">
      <t>ジ</t>
    </rPh>
    <rPh sb="5" eb="6">
      <t>ジ</t>
    </rPh>
    <rPh sb="8" eb="10">
      <t>ゴゼン</t>
    </rPh>
    <rPh sb="11" eb="12">
      <t>ジ</t>
    </rPh>
    <rPh sb="15" eb="16">
      <t>アイダ</t>
    </rPh>
    <rPh sb="20" eb="22">
      <t>イカ</t>
    </rPh>
    <rPh sb="22" eb="23">
      <t>オナ</t>
    </rPh>
    <phoneticPr fontId="3"/>
  </si>
  <si>
    <t>件　　数</t>
    <rPh sb="0" eb="1">
      <t>ケン</t>
    </rPh>
    <rPh sb="3" eb="4">
      <t>スウ</t>
    </rPh>
    <phoneticPr fontId="3"/>
  </si>
  <si>
    <r>
      <rPr>
        <sz val="11"/>
        <rFont val="ＭＳ Ｐゴシック"/>
        <family val="3"/>
        <charset val="128"/>
      </rPr>
      <t>内
重傷者数</t>
    </r>
    <rPh sb="0" eb="1">
      <t>ウチ</t>
    </rPh>
    <rPh sb="2" eb="6">
      <t>ジュウショウシャスウ</t>
    </rPh>
    <phoneticPr fontId="3"/>
  </si>
  <si>
    <r>
      <rPr>
        <sz val="6"/>
        <rFont val="ＭＳ Ｐゴシック"/>
        <family val="3"/>
        <charset val="128"/>
      </rPr>
      <t>月別　</t>
    </r>
    <r>
      <rPr>
        <sz val="6"/>
        <rFont val="Arial"/>
        <family val="2"/>
      </rPr>
      <t xml:space="preserve"> </t>
    </r>
    <r>
      <rPr>
        <sz val="6"/>
        <rFont val="ＭＳ Ｐゴシック"/>
        <family val="3"/>
        <charset val="128"/>
      </rPr>
      <t>　　　</t>
    </r>
    <r>
      <rPr>
        <sz val="6"/>
        <rFont val="Arial"/>
        <family val="2"/>
      </rPr>
      <t xml:space="preserve">  </t>
    </r>
    <r>
      <rPr>
        <sz val="6"/>
        <rFont val="ＭＳ Ｐゴシック"/>
        <family val="3"/>
        <charset val="128"/>
      </rPr>
      <t>道路別</t>
    </r>
    <rPh sb="0" eb="1">
      <t>ツキ</t>
    </rPh>
    <rPh sb="1" eb="2">
      <t>ベツ</t>
    </rPh>
    <rPh sb="9" eb="11">
      <t>ドウロ</t>
    </rPh>
    <rPh sb="11" eb="12">
      <t>ベツ</t>
    </rPh>
    <phoneticPr fontId="3"/>
  </si>
  <si>
    <t>　件　数</t>
    <rPh sb="1" eb="2">
      <t>ケン</t>
    </rPh>
    <rPh sb="3" eb="4">
      <t>カズ</t>
    </rPh>
    <phoneticPr fontId="3"/>
  </si>
  <si>
    <r>
      <t>(</t>
    </r>
    <r>
      <rPr>
        <sz val="11"/>
        <rFont val="ＭＳ Ｐゴシック"/>
        <family val="3"/>
        <charset val="128"/>
      </rPr>
      <t>人</t>
    </r>
    <r>
      <rPr>
        <sz val="11"/>
        <rFont val="Arial"/>
        <family val="2"/>
      </rPr>
      <t>)</t>
    </r>
    <phoneticPr fontId="3"/>
  </si>
  <si>
    <t>-</t>
    <phoneticPr fontId="3"/>
  </si>
  <si>
    <r>
      <t>226</t>
    </r>
    <r>
      <rPr>
        <sz val="11"/>
        <rFont val="ＭＳ Ｐゴシック"/>
        <family val="3"/>
        <charset val="128"/>
      </rPr>
      <t>件</t>
    </r>
    <rPh sb="3" eb="4">
      <t>ケン</t>
    </rPh>
    <phoneticPr fontId="3"/>
  </si>
  <si>
    <t>124件</t>
    <rPh sb="3" eb="4">
      <t>ケン</t>
    </rPh>
    <phoneticPr fontId="3"/>
  </si>
  <si>
    <t>302件</t>
    <rPh sb="3" eb="4">
      <t>ケン</t>
    </rPh>
    <phoneticPr fontId="3"/>
  </si>
  <si>
    <t>137件</t>
    <rPh sb="3" eb="4">
      <t>ケン</t>
    </rPh>
    <phoneticPr fontId="3"/>
  </si>
  <si>
    <t>112件</t>
    <rPh sb="3" eb="4">
      <t>ケン</t>
    </rPh>
    <phoneticPr fontId="3"/>
  </si>
  <si>
    <t>107件</t>
    <rPh sb="3" eb="4">
      <t>ケン</t>
    </rPh>
    <phoneticPr fontId="3"/>
  </si>
  <si>
    <t>114件</t>
    <rPh sb="3" eb="4">
      <t>ケン</t>
    </rPh>
    <phoneticPr fontId="3"/>
  </si>
  <si>
    <t>160件</t>
    <rPh sb="3" eb="4">
      <t>ケン</t>
    </rPh>
    <phoneticPr fontId="3"/>
  </si>
  <si>
    <t>325件</t>
    <rPh sb="3" eb="4">
      <t>ケン</t>
    </rPh>
    <phoneticPr fontId="3"/>
  </si>
  <si>
    <t>187件</t>
    <rPh sb="3" eb="4">
      <t>ケン</t>
    </rPh>
    <phoneticPr fontId="3"/>
  </si>
  <si>
    <t>111件</t>
    <rPh sb="3" eb="4">
      <t>ケン</t>
    </rPh>
    <phoneticPr fontId="3"/>
  </si>
  <si>
    <t>142件</t>
    <rPh sb="3" eb="4">
      <t>ケン</t>
    </rPh>
    <phoneticPr fontId="3"/>
  </si>
  <si>
    <t>132件</t>
    <rPh sb="3" eb="4">
      <t>ケン</t>
    </rPh>
    <phoneticPr fontId="3"/>
  </si>
  <si>
    <t>172件</t>
    <rPh sb="3" eb="4">
      <t>ケン</t>
    </rPh>
    <phoneticPr fontId="3"/>
  </si>
  <si>
    <t>145件</t>
    <rPh sb="3" eb="4">
      <t>ケン</t>
    </rPh>
    <phoneticPr fontId="3"/>
  </si>
  <si>
    <r>
      <t>(</t>
    </r>
    <r>
      <rPr>
        <sz val="11"/>
        <rFont val="ＭＳ Ｐゴシック"/>
        <family val="3"/>
        <charset val="128"/>
      </rPr>
      <t>注</t>
    </r>
    <r>
      <rPr>
        <sz val="11"/>
        <rFont val="Arial"/>
        <family val="2"/>
      </rPr>
      <t>)</t>
    </r>
    <phoneticPr fontId="3"/>
  </si>
  <si>
    <r>
      <rPr>
        <sz val="11"/>
        <rFont val="Arial Unicode MS"/>
        <family val="3"/>
        <charset val="128"/>
      </rPr>
      <t>　</t>
    </r>
    <r>
      <rPr>
        <sz val="11"/>
        <rFont val="Arial"/>
        <family val="2"/>
      </rPr>
      <t>(</t>
    </r>
    <r>
      <rPr>
        <sz val="11"/>
        <rFont val="Arial Unicode MS"/>
        <family val="3"/>
        <charset val="128"/>
      </rPr>
      <t>注</t>
    </r>
    <r>
      <rPr>
        <sz val="11"/>
        <rFont val="Arial"/>
        <family val="2"/>
      </rPr>
      <t>)</t>
    </r>
    <r>
      <rPr>
        <sz val="11"/>
        <rFont val="Arial Unicode MS"/>
        <family val="3"/>
        <charset val="128"/>
      </rPr>
      <t>大阪市域内は、高速道路等を除く。</t>
    </r>
    <rPh sb="2" eb="3">
      <t>チュウ</t>
    </rPh>
    <rPh sb="4" eb="7">
      <t>オオサカシ</t>
    </rPh>
    <rPh sb="7" eb="8">
      <t>イキ</t>
    </rPh>
    <rPh sb="8" eb="9">
      <t>ナイ</t>
    </rPh>
    <rPh sb="11" eb="13">
      <t>コウソク</t>
    </rPh>
    <rPh sb="13" eb="15">
      <t>ドウロ</t>
    </rPh>
    <rPh sb="15" eb="16">
      <t>ナド</t>
    </rPh>
    <rPh sb="17" eb="18">
      <t>ノゾ</t>
    </rPh>
    <phoneticPr fontId="3"/>
  </si>
  <si>
    <r>
      <rPr>
        <sz val="11"/>
        <rFont val="Arial Unicode MS"/>
        <family val="3"/>
        <charset val="128"/>
      </rPr>
      <t>　</t>
    </r>
    <r>
      <rPr>
        <sz val="11"/>
        <rFont val="Arial"/>
        <family val="2"/>
      </rPr>
      <t>(</t>
    </r>
    <r>
      <rPr>
        <sz val="11"/>
        <rFont val="Arial Unicode MS"/>
        <family val="3"/>
        <charset val="128"/>
      </rPr>
      <t>注</t>
    </r>
    <r>
      <rPr>
        <sz val="11"/>
        <rFont val="Arial"/>
        <family val="2"/>
      </rPr>
      <t>)</t>
    </r>
    <r>
      <rPr>
        <sz val="11"/>
        <rFont val="Arial Unicode MS"/>
        <family val="3"/>
        <charset val="128"/>
      </rPr>
      <t>大阪市域内の</t>
    </r>
    <r>
      <rPr>
        <sz val="11"/>
        <rFont val="Arial"/>
        <family val="2"/>
      </rPr>
      <t>S51</t>
    </r>
    <r>
      <rPr>
        <sz val="11"/>
        <rFont val="Arial Unicode MS"/>
        <family val="3"/>
        <charset val="128"/>
      </rPr>
      <t>「内重傷者数」は記録なし。</t>
    </r>
    <rPh sb="2" eb="3">
      <t>チュウ</t>
    </rPh>
    <rPh sb="4" eb="7">
      <t>オオサカシ</t>
    </rPh>
    <rPh sb="7" eb="8">
      <t>イキ</t>
    </rPh>
    <rPh sb="8" eb="9">
      <t>ナイ</t>
    </rPh>
    <rPh sb="14" eb="15">
      <t>ウチ</t>
    </rPh>
    <rPh sb="15" eb="18">
      <t>ジュウショウシャ</t>
    </rPh>
    <rPh sb="18" eb="19">
      <t>スウ</t>
    </rPh>
    <rPh sb="21" eb="23">
      <t>キロク</t>
    </rPh>
    <phoneticPr fontId="3"/>
  </si>
  <si>
    <r>
      <rPr>
        <sz val="12"/>
        <rFont val="ＭＳ Ｐゴシック"/>
        <family val="3"/>
        <charset val="128"/>
      </rPr>
      <t>（５）類型別</t>
    </r>
    <rPh sb="3" eb="5">
      <t>ルイケイ</t>
    </rPh>
    <rPh sb="5" eb="6">
      <t>ベツ</t>
    </rPh>
    <phoneticPr fontId="3"/>
  </si>
  <si>
    <r>
      <rPr>
        <sz val="12"/>
        <rFont val="ＭＳ Ｐゴシック"/>
        <family val="3"/>
        <charset val="128"/>
      </rPr>
      <t>類型別発生状況対前年比</t>
    </r>
    <rPh sb="0" eb="2">
      <t>ルイケイ</t>
    </rPh>
    <rPh sb="2" eb="3">
      <t>ベツ</t>
    </rPh>
    <rPh sb="3" eb="5">
      <t>ハッセイ</t>
    </rPh>
    <rPh sb="5" eb="7">
      <t>ジョウキョウ</t>
    </rPh>
    <rPh sb="7" eb="8">
      <t>タイ</t>
    </rPh>
    <rPh sb="8" eb="11">
      <t>ゼンネンヒ</t>
    </rPh>
    <phoneticPr fontId="3"/>
  </si>
  <si>
    <r>
      <rPr>
        <sz val="11"/>
        <rFont val="ＭＳ Ｐゴシック"/>
        <family val="3"/>
        <charset val="128"/>
      </rPr>
      <t>類型</t>
    </r>
    <rPh sb="0" eb="2">
      <t>ルイケイ</t>
    </rPh>
    <phoneticPr fontId="3"/>
  </si>
  <si>
    <r>
      <rPr>
        <sz val="11"/>
        <rFont val="ＭＳ Ｐゴシック"/>
        <family val="3"/>
        <charset val="128"/>
      </rPr>
      <t>人対車両</t>
    </r>
    <rPh sb="0" eb="1">
      <t>ジン</t>
    </rPh>
    <rPh sb="1" eb="2">
      <t>タイ</t>
    </rPh>
    <rPh sb="2" eb="4">
      <t>シャリョウ</t>
    </rPh>
    <phoneticPr fontId="3"/>
  </si>
  <si>
    <r>
      <rPr>
        <sz val="11"/>
        <rFont val="ＭＳ Ｐゴシック"/>
        <family val="3"/>
        <charset val="128"/>
      </rPr>
      <t>車両相互</t>
    </r>
    <rPh sb="0" eb="2">
      <t>シャリョウ</t>
    </rPh>
    <rPh sb="2" eb="4">
      <t>ソウゴ</t>
    </rPh>
    <phoneticPr fontId="3"/>
  </si>
  <si>
    <r>
      <rPr>
        <sz val="11"/>
        <rFont val="ＭＳ Ｐゴシック"/>
        <family val="3"/>
        <charset val="128"/>
      </rPr>
      <t>車両単独</t>
    </r>
    <rPh sb="0" eb="2">
      <t>シャリョウ</t>
    </rPh>
    <rPh sb="2" eb="4">
      <t>タンドク</t>
    </rPh>
    <phoneticPr fontId="3"/>
  </si>
  <si>
    <r>
      <rPr>
        <sz val="11"/>
        <rFont val="ＭＳ Ｐゴシック"/>
        <family val="3"/>
        <charset val="128"/>
      </rPr>
      <t>列車</t>
    </r>
    <rPh sb="0" eb="2">
      <t>レッシャ</t>
    </rPh>
    <phoneticPr fontId="3"/>
  </si>
  <si>
    <r>
      <t>R</t>
    </r>
    <r>
      <rPr>
        <sz val="11"/>
        <rFont val="ＭＳ Ｐゴシック"/>
        <family val="3"/>
        <charset val="128"/>
      </rPr>
      <t>４</t>
    </r>
    <phoneticPr fontId="3"/>
  </si>
  <si>
    <r>
      <rPr>
        <sz val="11"/>
        <rFont val="ＭＳ Ｐゴシック"/>
        <family val="3"/>
        <charset val="128"/>
      </rPr>
      <t>（件）</t>
    </r>
    <rPh sb="1" eb="2">
      <t>ケン</t>
    </rPh>
    <phoneticPr fontId="3"/>
  </si>
  <si>
    <r>
      <rPr>
        <sz val="11"/>
        <rFont val="ＭＳ Ｐゴシック"/>
        <family val="3"/>
        <charset val="128"/>
      </rPr>
      <t>増▲減</t>
    </r>
    <rPh sb="0" eb="1">
      <t>ゾウ</t>
    </rPh>
    <rPh sb="2" eb="3">
      <t>ゲン</t>
    </rPh>
    <phoneticPr fontId="3"/>
  </si>
  <si>
    <r>
      <rPr>
        <sz val="11"/>
        <rFont val="ＭＳ Ｐゴシック"/>
        <family val="3"/>
        <charset val="128"/>
      </rPr>
      <t>死者数</t>
    </r>
    <rPh sb="0" eb="2">
      <t>シシャ</t>
    </rPh>
    <rPh sb="2" eb="3">
      <t>スウ</t>
    </rPh>
    <phoneticPr fontId="3"/>
  </si>
  <si>
    <r>
      <rPr>
        <sz val="11"/>
        <rFont val="ＭＳ Ｐゴシック"/>
        <family val="3"/>
        <charset val="128"/>
      </rPr>
      <t>（人）</t>
    </r>
    <rPh sb="1" eb="2">
      <t>ヒト</t>
    </rPh>
    <phoneticPr fontId="3"/>
  </si>
  <si>
    <r>
      <rPr>
        <sz val="11"/>
        <rFont val="ＭＳ Ｐゴシック"/>
        <family val="3"/>
        <charset val="128"/>
      </rPr>
      <t>増▲減</t>
    </r>
    <phoneticPr fontId="3"/>
  </si>
  <si>
    <r>
      <rPr>
        <sz val="11"/>
        <rFont val="ＭＳ Ｐゴシック"/>
        <family val="3"/>
        <charset val="128"/>
      </rPr>
      <t>負傷者数</t>
    </r>
    <rPh sb="0" eb="3">
      <t>フショウシャ</t>
    </rPh>
    <rPh sb="3" eb="4">
      <t>スウ</t>
    </rPh>
    <phoneticPr fontId="3"/>
  </si>
  <si>
    <r>
      <rPr>
        <sz val="12"/>
        <rFont val="ＭＳ Ｐゴシック"/>
        <family val="3"/>
        <charset val="128"/>
      </rPr>
      <t>類型別・状態別発生状況</t>
    </r>
    <rPh sb="0" eb="2">
      <t>ルイケイ</t>
    </rPh>
    <rPh sb="2" eb="3">
      <t>ベツ</t>
    </rPh>
    <rPh sb="4" eb="6">
      <t>ジョウタイ</t>
    </rPh>
    <rPh sb="6" eb="7">
      <t>ベツ</t>
    </rPh>
    <rPh sb="7" eb="9">
      <t>ハッセイ</t>
    </rPh>
    <rPh sb="9" eb="11">
      <t>ジョウキョウ</t>
    </rPh>
    <phoneticPr fontId="3"/>
  </si>
  <si>
    <r>
      <rPr>
        <sz val="11"/>
        <rFont val="ＭＳ Ｐゴシック"/>
        <family val="3"/>
        <charset val="128"/>
      </rPr>
      <t>件</t>
    </r>
    <r>
      <rPr>
        <sz val="11"/>
        <rFont val="Arial"/>
        <family val="2"/>
      </rPr>
      <t xml:space="preserve">    </t>
    </r>
    <r>
      <rPr>
        <sz val="11"/>
        <rFont val="ＭＳ Ｐゴシック"/>
        <family val="3"/>
        <charset val="128"/>
      </rPr>
      <t>数</t>
    </r>
    <rPh sb="0" eb="1">
      <t>ケン</t>
    </rPh>
    <rPh sb="5" eb="6">
      <t>カズ</t>
    </rPh>
    <phoneticPr fontId="3"/>
  </si>
  <si>
    <r>
      <rPr>
        <sz val="11"/>
        <rFont val="ＭＳ Ｐゴシック"/>
        <family val="3"/>
        <charset val="128"/>
      </rPr>
      <t>負傷者数</t>
    </r>
    <rPh sb="0" eb="1">
      <t>フ</t>
    </rPh>
    <rPh sb="1" eb="2">
      <t>キズ</t>
    </rPh>
    <rPh sb="2" eb="3">
      <t>モノ</t>
    </rPh>
    <rPh sb="3" eb="4">
      <t>スウ</t>
    </rPh>
    <phoneticPr fontId="3"/>
  </si>
  <si>
    <t>内重傷者数</t>
    <rPh sb="0" eb="1">
      <t>ウチ</t>
    </rPh>
    <rPh sb="1" eb="5">
      <t>ジュウショウシャスウ</t>
    </rPh>
    <phoneticPr fontId="3"/>
  </si>
  <si>
    <r>
      <rPr>
        <sz val="9"/>
        <rFont val="ＭＳ Ｐゴシック"/>
        <family val="3"/>
        <charset val="128"/>
      </rPr>
      <t>類型別</t>
    </r>
    <rPh sb="0" eb="2">
      <t>ルイケイ</t>
    </rPh>
    <rPh sb="2" eb="3">
      <t>ベツ</t>
    </rPh>
    <phoneticPr fontId="3"/>
  </si>
  <si>
    <r>
      <rPr>
        <sz val="11"/>
        <rFont val="ＭＳ Ｐゴシック"/>
        <family val="3"/>
        <charset val="128"/>
      </rPr>
      <t>（人）</t>
    </r>
    <rPh sb="1" eb="2">
      <t>ニン</t>
    </rPh>
    <phoneticPr fontId="3"/>
  </si>
  <si>
    <r>
      <rPr>
        <sz val="11"/>
        <rFont val="ＭＳ Ｐゴシック"/>
        <family val="3"/>
        <charset val="128"/>
      </rPr>
      <t>　　総　　数</t>
    </r>
    <rPh sb="2" eb="3">
      <t>ソウ</t>
    </rPh>
    <rPh sb="5" eb="6">
      <t>スウ</t>
    </rPh>
    <phoneticPr fontId="3"/>
  </si>
  <si>
    <t>人対車両</t>
    <rPh sb="0" eb="1">
      <t>ヒト</t>
    </rPh>
    <rPh sb="1" eb="2">
      <t>タイ</t>
    </rPh>
    <rPh sb="2" eb="4">
      <t>シャリョウ</t>
    </rPh>
    <phoneticPr fontId="3"/>
  </si>
  <si>
    <r>
      <rPr>
        <sz val="11"/>
        <rFont val="ＭＳ Ｐゴシック"/>
        <family val="3"/>
        <charset val="128"/>
      </rPr>
      <t>対面通行中</t>
    </r>
    <rPh sb="0" eb="2">
      <t>タイメン</t>
    </rPh>
    <rPh sb="2" eb="5">
      <t>ツウコウチュウ</t>
    </rPh>
    <phoneticPr fontId="3"/>
  </si>
  <si>
    <r>
      <rPr>
        <sz val="11"/>
        <rFont val="ＭＳ Ｐゴシック"/>
        <family val="3"/>
        <charset val="128"/>
      </rPr>
      <t>背面通行中</t>
    </r>
    <rPh sb="0" eb="2">
      <t>ハイメン</t>
    </rPh>
    <rPh sb="2" eb="5">
      <t>ツウコウチュウ</t>
    </rPh>
    <phoneticPr fontId="3"/>
  </si>
  <si>
    <r>
      <rPr>
        <sz val="11"/>
        <rFont val="ＭＳ Ｐゴシック"/>
        <family val="3"/>
        <charset val="128"/>
      </rPr>
      <t>横
断
中</t>
    </r>
    <rPh sb="0" eb="1">
      <t>ヨコ</t>
    </rPh>
    <rPh sb="2" eb="3">
      <t>ダン</t>
    </rPh>
    <rPh sb="4" eb="5">
      <t>ナカ</t>
    </rPh>
    <phoneticPr fontId="3"/>
  </si>
  <si>
    <r>
      <rPr>
        <sz val="11"/>
        <rFont val="ＭＳ Ｐゴシック"/>
        <family val="3"/>
        <charset val="128"/>
      </rPr>
      <t>横断歩道</t>
    </r>
    <rPh sb="0" eb="2">
      <t>オウダン</t>
    </rPh>
    <rPh sb="2" eb="4">
      <t>ホドウ</t>
    </rPh>
    <phoneticPr fontId="3"/>
  </si>
  <si>
    <r>
      <rPr>
        <sz val="11"/>
        <rFont val="ＭＳ Ｐゴシック"/>
        <family val="3"/>
        <charset val="128"/>
      </rPr>
      <t>横断歩道付近</t>
    </r>
    <rPh sb="0" eb="2">
      <t>オウダン</t>
    </rPh>
    <rPh sb="2" eb="4">
      <t>ホドウ</t>
    </rPh>
    <rPh sb="4" eb="6">
      <t>フキン</t>
    </rPh>
    <phoneticPr fontId="3"/>
  </si>
  <si>
    <r>
      <rPr>
        <sz val="11"/>
        <rFont val="ＭＳ Ｐゴシック"/>
        <family val="3"/>
        <charset val="128"/>
      </rPr>
      <t>横断歩道橋付近</t>
    </r>
    <rPh sb="0" eb="2">
      <t>オウダン</t>
    </rPh>
    <rPh sb="2" eb="4">
      <t>ホドウ</t>
    </rPh>
    <rPh sb="4" eb="5">
      <t>ハシ</t>
    </rPh>
    <rPh sb="5" eb="7">
      <t>フキン</t>
    </rPh>
    <phoneticPr fontId="3"/>
  </si>
  <si>
    <r>
      <rPr>
        <sz val="11"/>
        <rFont val="ＭＳ Ｐゴシック"/>
        <family val="3"/>
        <charset val="128"/>
      </rPr>
      <t>路上遊戯中</t>
    </r>
    <rPh sb="0" eb="2">
      <t>ロジョウ</t>
    </rPh>
    <rPh sb="2" eb="5">
      <t>ユウギチュウ</t>
    </rPh>
    <phoneticPr fontId="3"/>
  </si>
  <si>
    <r>
      <rPr>
        <sz val="11"/>
        <rFont val="ＭＳ Ｐゴシック"/>
        <family val="3"/>
        <charset val="128"/>
      </rPr>
      <t>路上作業中</t>
    </r>
    <rPh sb="0" eb="2">
      <t>ロジョウ</t>
    </rPh>
    <rPh sb="2" eb="4">
      <t>サギョウ</t>
    </rPh>
    <rPh sb="4" eb="5">
      <t>チュウ</t>
    </rPh>
    <phoneticPr fontId="3"/>
  </si>
  <si>
    <r>
      <rPr>
        <sz val="11"/>
        <rFont val="ＭＳ Ｐゴシック"/>
        <family val="3"/>
        <charset val="128"/>
      </rPr>
      <t>路上停止中</t>
    </r>
    <rPh sb="0" eb="1">
      <t>ロ</t>
    </rPh>
    <rPh sb="1" eb="2">
      <t>ウエ</t>
    </rPh>
    <rPh sb="2" eb="4">
      <t>テイシ</t>
    </rPh>
    <rPh sb="4" eb="5">
      <t>チュウ</t>
    </rPh>
    <phoneticPr fontId="3"/>
  </si>
  <si>
    <t>車両相互</t>
    <rPh sb="0" eb="2">
      <t>シャリョウ</t>
    </rPh>
    <rPh sb="2" eb="4">
      <t>ソウゴ</t>
    </rPh>
    <phoneticPr fontId="3"/>
  </si>
  <si>
    <r>
      <rPr>
        <sz val="11"/>
        <rFont val="ＭＳ Ｐゴシック"/>
        <family val="3"/>
        <charset val="128"/>
      </rPr>
      <t>正面衝突</t>
    </r>
    <rPh sb="0" eb="2">
      <t>ショウメン</t>
    </rPh>
    <rPh sb="2" eb="4">
      <t>ショウトツ</t>
    </rPh>
    <phoneticPr fontId="3"/>
  </si>
  <si>
    <r>
      <rPr>
        <sz val="11"/>
        <rFont val="ＭＳ Ｐゴシック"/>
        <family val="3"/>
        <charset val="128"/>
      </rPr>
      <t>追
突</t>
    </r>
    <rPh sb="0" eb="1">
      <t>ツイ</t>
    </rPh>
    <rPh sb="2" eb="3">
      <t>ヅキ</t>
    </rPh>
    <phoneticPr fontId="3"/>
  </si>
  <si>
    <r>
      <rPr>
        <sz val="11"/>
        <rFont val="ＭＳ Ｐゴシック"/>
        <family val="3"/>
        <charset val="128"/>
      </rPr>
      <t>進行中</t>
    </r>
    <rPh sb="0" eb="3">
      <t>シンコウチュウ</t>
    </rPh>
    <phoneticPr fontId="3"/>
  </si>
  <si>
    <r>
      <rPr>
        <sz val="11"/>
        <rFont val="ＭＳ Ｐゴシック"/>
        <family val="3"/>
        <charset val="128"/>
      </rPr>
      <t>出会頭</t>
    </r>
    <rPh sb="0" eb="2">
      <t>デア</t>
    </rPh>
    <rPh sb="2" eb="3">
      <t>ガシラ</t>
    </rPh>
    <phoneticPr fontId="3"/>
  </si>
  <si>
    <r>
      <rPr>
        <sz val="11"/>
        <rFont val="ＭＳ Ｐゴシック"/>
        <family val="3"/>
        <charset val="128"/>
      </rPr>
      <t>追越追抜時</t>
    </r>
    <rPh sb="0" eb="1">
      <t>オ</t>
    </rPh>
    <rPh sb="1" eb="2">
      <t>コ</t>
    </rPh>
    <rPh sb="2" eb="3">
      <t>オ</t>
    </rPh>
    <rPh sb="3" eb="4">
      <t>ヌ</t>
    </rPh>
    <rPh sb="4" eb="5">
      <t>ジ</t>
    </rPh>
    <phoneticPr fontId="3"/>
  </si>
  <si>
    <r>
      <rPr>
        <sz val="11"/>
        <rFont val="ＭＳ Ｐゴシック"/>
        <family val="3"/>
        <charset val="128"/>
      </rPr>
      <t>すれ違い時</t>
    </r>
    <rPh sb="2" eb="3">
      <t>チガ</t>
    </rPh>
    <rPh sb="4" eb="5">
      <t>ジ</t>
    </rPh>
    <phoneticPr fontId="3"/>
  </si>
  <si>
    <r>
      <rPr>
        <sz val="11"/>
        <rFont val="ＭＳ Ｐゴシック"/>
        <family val="3"/>
        <charset val="128"/>
      </rPr>
      <t>左折時</t>
    </r>
    <rPh sb="0" eb="2">
      <t>サセツ</t>
    </rPh>
    <rPh sb="2" eb="3">
      <t>ジ</t>
    </rPh>
    <phoneticPr fontId="3"/>
  </si>
  <si>
    <r>
      <rPr>
        <sz val="11"/>
        <rFont val="ＭＳ Ｐゴシック"/>
        <family val="3"/>
        <charset val="128"/>
      </rPr>
      <t>右折時</t>
    </r>
    <rPh sb="0" eb="2">
      <t>ウセツ</t>
    </rPh>
    <rPh sb="2" eb="3">
      <t>ジ</t>
    </rPh>
    <phoneticPr fontId="3"/>
  </si>
  <si>
    <t>車両単体</t>
    <rPh sb="0" eb="2">
      <t>シャリョウ</t>
    </rPh>
    <rPh sb="2" eb="4">
      <t>タンタイ</t>
    </rPh>
    <phoneticPr fontId="3"/>
  </si>
  <si>
    <r>
      <rPr>
        <sz val="11"/>
        <rFont val="ＭＳ Ｐゴシック"/>
        <family val="3"/>
        <charset val="128"/>
      </rPr>
      <t>工
作
物
衝
突</t>
    </r>
    <rPh sb="0" eb="1">
      <t>コウ</t>
    </rPh>
    <rPh sb="2" eb="3">
      <t>サク</t>
    </rPh>
    <rPh sb="4" eb="5">
      <t>モノ</t>
    </rPh>
    <rPh sb="6" eb="7">
      <t>ショウ</t>
    </rPh>
    <rPh sb="8" eb="9">
      <t>ヅキ</t>
    </rPh>
    <phoneticPr fontId="3"/>
  </si>
  <si>
    <r>
      <rPr>
        <sz val="11"/>
        <rFont val="ＭＳ Ｐゴシック"/>
        <family val="3"/>
        <charset val="128"/>
      </rPr>
      <t>電柱</t>
    </r>
    <rPh sb="0" eb="2">
      <t>デンチュウ</t>
    </rPh>
    <phoneticPr fontId="3"/>
  </si>
  <si>
    <r>
      <rPr>
        <sz val="11"/>
        <rFont val="ＭＳ Ｐゴシック"/>
        <family val="3"/>
        <charset val="128"/>
      </rPr>
      <t>標識</t>
    </r>
    <rPh sb="0" eb="2">
      <t>ヒョウシキ</t>
    </rPh>
    <phoneticPr fontId="3"/>
  </si>
  <si>
    <r>
      <rPr>
        <sz val="11"/>
        <rFont val="ＭＳ Ｐゴシック"/>
        <family val="3"/>
        <charset val="128"/>
      </rPr>
      <t>分離帯・安全島</t>
    </r>
    <rPh sb="0" eb="3">
      <t>ブンリタイ</t>
    </rPh>
    <rPh sb="4" eb="6">
      <t>アンゼン</t>
    </rPh>
    <rPh sb="6" eb="7">
      <t>シマ</t>
    </rPh>
    <phoneticPr fontId="3"/>
  </si>
  <si>
    <r>
      <rPr>
        <sz val="11"/>
        <rFont val="ＭＳ Ｐゴシック"/>
        <family val="3"/>
        <charset val="128"/>
      </rPr>
      <t>防護柵等</t>
    </r>
    <rPh sb="0" eb="2">
      <t>ボウゴ</t>
    </rPh>
    <rPh sb="2" eb="3">
      <t>サク</t>
    </rPh>
    <rPh sb="3" eb="4">
      <t>ナド</t>
    </rPh>
    <phoneticPr fontId="3"/>
  </si>
  <si>
    <r>
      <rPr>
        <sz val="11"/>
        <rFont val="ＭＳ Ｐゴシック"/>
        <family val="3"/>
        <charset val="128"/>
      </rPr>
      <t>路外逸脱</t>
    </r>
    <rPh sb="0" eb="1">
      <t>ロ</t>
    </rPh>
    <rPh sb="1" eb="2">
      <t>ガイ</t>
    </rPh>
    <rPh sb="2" eb="4">
      <t>イツダツ</t>
    </rPh>
    <phoneticPr fontId="3"/>
  </si>
  <si>
    <r>
      <rPr>
        <sz val="11"/>
        <rFont val="ＭＳ Ｐゴシック"/>
        <family val="3"/>
        <charset val="128"/>
      </rPr>
      <t>駐車車両衝突（運転者不在）</t>
    </r>
    <rPh sb="0" eb="2">
      <t>チュウシャ</t>
    </rPh>
    <rPh sb="2" eb="4">
      <t>シャリョウ</t>
    </rPh>
    <rPh sb="4" eb="6">
      <t>ショウトツ</t>
    </rPh>
    <rPh sb="7" eb="10">
      <t>ウンテンシャ</t>
    </rPh>
    <rPh sb="10" eb="12">
      <t>フザイ</t>
    </rPh>
    <phoneticPr fontId="3"/>
  </si>
  <si>
    <r>
      <rPr>
        <sz val="11"/>
        <rFont val="ＭＳ Ｐゴシック"/>
        <family val="3"/>
        <charset val="128"/>
      </rPr>
      <t>転倒</t>
    </r>
    <rPh sb="0" eb="2">
      <t>テントウ</t>
    </rPh>
    <phoneticPr fontId="3"/>
  </si>
  <si>
    <r>
      <rPr>
        <sz val="11"/>
        <rFont val="ＭＳ Ｐゴシック"/>
        <family val="3"/>
        <charset val="128"/>
      </rPr>
      <t>　　列　　車</t>
    </r>
    <rPh sb="2" eb="3">
      <t>レツ</t>
    </rPh>
    <rPh sb="5" eb="6">
      <t>クルマ</t>
    </rPh>
    <phoneticPr fontId="3"/>
  </si>
  <si>
    <r>
      <rPr>
        <sz val="12"/>
        <rFont val="ＭＳ Ｐゴシック"/>
        <family val="3"/>
        <charset val="128"/>
      </rPr>
      <t>信号有無別事故類型</t>
    </r>
    <rPh sb="0" eb="2">
      <t>シンゴウ</t>
    </rPh>
    <rPh sb="2" eb="4">
      <t>ウム</t>
    </rPh>
    <rPh sb="4" eb="5">
      <t>ベツ</t>
    </rPh>
    <rPh sb="5" eb="7">
      <t>ジコ</t>
    </rPh>
    <rPh sb="7" eb="9">
      <t>ルイケイ</t>
    </rPh>
    <phoneticPr fontId="3"/>
  </si>
  <si>
    <r>
      <rPr>
        <sz val="11"/>
        <rFont val="ＭＳ Ｐゴシック"/>
        <family val="3"/>
        <charset val="128"/>
      </rPr>
      <t>信号の有無</t>
    </r>
    <rPh sb="0" eb="2">
      <t>シンゴウ</t>
    </rPh>
    <rPh sb="3" eb="5">
      <t>ウム</t>
    </rPh>
    <phoneticPr fontId="3"/>
  </si>
  <si>
    <r>
      <rPr>
        <sz val="11"/>
        <rFont val="ＭＳ Ｐゴシック"/>
        <family val="3"/>
        <charset val="128"/>
      </rPr>
      <t>信</t>
    </r>
    <r>
      <rPr>
        <sz val="11"/>
        <rFont val="Arial"/>
        <family val="2"/>
      </rPr>
      <t xml:space="preserve">   </t>
    </r>
    <r>
      <rPr>
        <sz val="11"/>
        <rFont val="ＭＳ Ｐゴシック"/>
        <family val="3"/>
        <charset val="128"/>
      </rPr>
      <t>号</t>
    </r>
    <r>
      <rPr>
        <sz val="11"/>
        <rFont val="Arial"/>
        <family val="2"/>
      </rPr>
      <t xml:space="preserve">   </t>
    </r>
    <r>
      <rPr>
        <sz val="11"/>
        <rFont val="ＭＳ Ｐゴシック"/>
        <family val="3"/>
        <charset val="128"/>
      </rPr>
      <t>有</t>
    </r>
    <rPh sb="0" eb="1">
      <t>シン</t>
    </rPh>
    <rPh sb="4" eb="5">
      <t>ゴウ</t>
    </rPh>
    <rPh sb="8" eb="9">
      <t>ア</t>
    </rPh>
    <phoneticPr fontId="3"/>
  </si>
  <si>
    <r>
      <rPr>
        <sz val="11"/>
        <rFont val="ＭＳ Ｐゴシック"/>
        <family val="3"/>
        <charset val="128"/>
      </rPr>
      <t>信</t>
    </r>
    <r>
      <rPr>
        <sz val="11"/>
        <rFont val="Arial"/>
        <family val="2"/>
      </rPr>
      <t xml:space="preserve">   </t>
    </r>
    <r>
      <rPr>
        <sz val="11"/>
        <rFont val="ＭＳ Ｐゴシック"/>
        <family val="3"/>
        <charset val="128"/>
      </rPr>
      <t>号</t>
    </r>
    <r>
      <rPr>
        <sz val="11"/>
        <rFont val="Arial"/>
        <family val="2"/>
      </rPr>
      <t xml:space="preserve">   </t>
    </r>
    <r>
      <rPr>
        <sz val="11"/>
        <rFont val="ＭＳ Ｐゴシック"/>
        <family val="3"/>
        <charset val="128"/>
      </rPr>
      <t>無</t>
    </r>
    <rPh sb="0" eb="1">
      <t>シン</t>
    </rPh>
    <rPh sb="4" eb="5">
      <t>ゴウ</t>
    </rPh>
    <rPh sb="8" eb="9">
      <t>ナシ</t>
    </rPh>
    <phoneticPr fontId="3"/>
  </si>
  <si>
    <r>
      <rPr>
        <sz val="11"/>
        <rFont val="ＭＳ Ｐゴシック"/>
        <family val="3"/>
        <charset val="128"/>
      </rPr>
      <t>事</t>
    </r>
    <r>
      <rPr>
        <sz val="11"/>
        <rFont val="Arial"/>
        <family val="2"/>
      </rPr>
      <t xml:space="preserve">   </t>
    </r>
    <r>
      <rPr>
        <sz val="11"/>
        <rFont val="ＭＳ Ｐゴシック"/>
        <family val="3"/>
        <charset val="128"/>
      </rPr>
      <t>故</t>
    </r>
    <r>
      <rPr>
        <sz val="11"/>
        <rFont val="Arial"/>
        <family val="2"/>
      </rPr>
      <t xml:space="preserve">   </t>
    </r>
    <r>
      <rPr>
        <sz val="11"/>
        <rFont val="ＭＳ Ｐゴシック"/>
        <family val="3"/>
        <charset val="128"/>
      </rPr>
      <t>計</t>
    </r>
    <rPh sb="0" eb="1">
      <t>コト</t>
    </rPh>
    <rPh sb="4" eb="5">
      <t>ユエ</t>
    </rPh>
    <rPh sb="8" eb="9">
      <t>ケイ</t>
    </rPh>
    <phoneticPr fontId="3"/>
  </si>
  <si>
    <r>
      <rPr>
        <sz val="11"/>
        <rFont val="ＭＳ Ｐゴシック"/>
        <family val="3"/>
        <charset val="128"/>
      </rPr>
      <t>負傷者数</t>
    </r>
    <rPh sb="0" eb="1">
      <t>フ</t>
    </rPh>
    <rPh sb="1" eb="3">
      <t>ショウシャ</t>
    </rPh>
    <rPh sb="3" eb="4">
      <t>スウ</t>
    </rPh>
    <phoneticPr fontId="3"/>
  </si>
  <si>
    <r>
      <rPr>
        <sz val="11"/>
        <rFont val="ＭＳ Ｐゴシック"/>
        <family val="3"/>
        <charset val="128"/>
      </rPr>
      <t>件数</t>
    </r>
  </si>
  <si>
    <r>
      <rPr>
        <sz val="11"/>
        <rFont val="ＭＳ Ｐゴシック"/>
        <family val="3"/>
        <charset val="128"/>
      </rPr>
      <t>死者数</t>
    </r>
  </si>
  <si>
    <r>
      <rPr>
        <sz val="11"/>
        <rFont val="ＭＳ Ｐゴシック"/>
        <family val="3"/>
        <charset val="128"/>
      </rPr>
      <t>負傷者数</t>
    </r>
  </si>
  <si>
    <r>
      <rPr>
        <sz val="11"/>
        <rFont val="ＭＳ Ｐゴシック"/>
        <family val="3"/>
        <charset val="128"/>
      </rPr>
      <t>総　　　　数</t>
    </r>
    <rPh sb="0" eb="1">
      <t>フサ</t>
    </rPh>
    <rPh sb="5" eb="6">
      <t>カズ</t>
    </rPh>
    <phoneticPr fontId="3"/>
  </si>
  <si>
    <r>
      <rPr>
        <sz val="11"/>
        <rFont val="ＭＳ Ｐゴシック"/>
        <family val="3"/>
        <charset val="128"/>
      </rPr>
      <t>人</t>
    </r>
    <r>
      <rPr>
        <sz val="11"/>
        <rFont val="Arial"/>
        <family val="2"/>
      </rPr>
      <t xml:space="preserve">  </t>
    </r>
    <r>
      <rPr>
        <sz val="11"/>
        <rFont val="ＭＳ Ｐゴシック"/>
        <family val="3"/>
        <charset val="128"/>
      </rPr>
      <t>対</t>
    </r>
    <r>
      <rPr>
        <sz val="11"/>
        <rFont val="Arial"/>
        <family val="2"/>
      </rPr>
      <t xml:space="preserve">  </t>
    </r>
    <r>
      <rPr>
        <sz val="11"/>
        <rFont val="ＭＳ Ｐゴシック"/>
        <family val="3"/>
        <charset val="128"/>
      </rPr>
      <t>車</t>
    </r>
    <r>
      <rPr>
        <sz val="11"/>
        <rFont val="Arial"/>
        <family val="2"/>
      </rPr>
      <t xml:space="preserve">  </t>
    </r>
    <r>
      <rPr>
        <sz val="11"/>
        <rFont val="ＭＳ Ｐゴシック"/>
        <family val="3"/>
        <charset val="128"/>
      </rPr>
      <t>両</t>
    </r>
    <rPh sb="0" eb="1">
      <t>ジン</t>
    </rPh>
    <rPh sb="3" eb="4">
      <t>タイ</t>
    </rPh>
    <rPh sb="6" eb="7">
      <t>クルマ</t>
    </rPh>
    <rPh sb="9" eb="10">
      <t>リョウ</t>
    </rPh>
    <phoneticPr fontId="3"/>
  </si>
  <si>
    <r>
      <rPr>
        <sz val="11"/>
        <rFont val="ＭＳ Ｐゴシック"/>
        <family val="3"/>
        <charset val="128"/>
      </rPr>
      <t>横断歩道横断中</t>
    </r>
    <rPh sb="0" eb="2">
      <t>オウダン</t>
    </rPh>
    <rPh sb="2" eb="4">
      <t>ホドウ</t>
    </rPh>
    <rPh sb="4" eb="7">
      <t>オウダンチュウ</t>
    </rPh>
    <phoneticPr fontId="3"/>
  </si>
  <si>
    <r>
      <rPr>
        <sz val="11"/>
        <rFont val="ＭＳ Ｐゴシック"/>
        <family val="3"/>
        <charset val="128"/>
      </rPr>
      <t>その他横断中</t>
    </r>
    <rPh sb="2" eb="3">
      <t>タ</t>
    </rPh>
    <rPh sb="3" eb="6">
      <t>オウダンチュウ</t>
    </rPh>
    <phoneticPr fontId="3"/>
  </si>
  <si>
    <r>
      <rPr>
        <sz val="11"/>
        <rFont val="ＭＳ Ｐゴシック"/>
        <family val="3"/>
        <charset val="128"/>
      </rPr>
      <t>車</t>
    </r>
    <r>
      <rPr>
        <sz val="11"/>
        <rFont val="Arial"/>
        <family val="2"/>
      </rPr>
      <t xml:space="preserve">  </t>
    </r>
    <r>
      <rPr>
        <sz val="11"/>
        <rFont val="ＭＳ Ｐゴシック"/>
        <family val="3"/>
        <charset val="128"/>
      </rPr>
      <t>両</t>
    </r>
    <r>
      <rPr>
        <sz val="11"/>
        <rFont val="Arial"/>
        <family val="2"/>
      </rPr>
      <t xml:space="preserve">  </t>
    </r>
    <r>
      <rPr>
        <sz val="11"/>
        <rFont val="ＭＳ Ｐゴシック"/>
        <family val="3"/>
        <charset val="128"/>
      </rPr>
      <t>相</t>
    </r>
    <r>
      <rPr>
        <sz val="11"/>
        <rFont val="Arial"/>
        <family val="2"/>
      </rPr>
      <t xml:space="preserve">  </t>
    </r>
    <r>
      <rPr>
        <sz val="11"/>
        <rFont val="ＭＳ Ｐゴシック"/>
        <family val="3"/>
        <charset val="128"/>
      </rPr>
      <t>互</t>
    </r>
    <rPh sb="0" eb="1">
      <t>クルマ</t>
    </rPh>
    <rPh sb="3" eb="4">
      <t>リョウ</t>
    </rPh>
    <rPh sb="6" eb="7">
      <t>ソウ</t>
    </rPh>
    <rPh sb="9" eb="10">
      <t>ゴ</t>
    </rPh>
    <phoneticPr fontId="3"/>
  </si>
  <si>
    <r>
      <rPr>
        <sz val="11"/>
        <rFont val="ＭＳ Ｐゴシック"/>
        <family val="3"/>
        <charset val="128"/>
      </rPr>
      <t>出合頭</t>
    </r>
    <rPh sb="0" eb="2">
      <t>デアイ</t>
    </rPh>
    <rPh sb="2" eb="3">
      <t>ガシラ</t>
    </rPh>
    <phoneticPr fontId="3"/>
  </si>
  <si>
    <r>
      <rPr>
        <sz val="11"/>
        <rFont val="ＭＳ Ｐゴシック"/>
        <family val="3"/>
        <charset val="128"/>
      </rPr>
      <t>右折</t>
    </r>
    <rPh sb="0" eb="2">
      <t>ウセツ</t>
    </rPh>
    <phoneticPr fontId="3"/>
  </si>
  <si>
    <r>
      <rPr>
        <sz val="11"/>
        <rFont val="ＭＳ Ｐゴシック"/>
        <family val="3"/>
        <charset val="128"/>
      </rPr>
      <t>左折</t>
    </r>
    <rPh sb="0" eb="2">
      <t>サセツ</t>
    </rPh>
    <phoneticPr fontId="3"/>
  </si>
  <si>
    <r>
      <rPr>
        <sz val="11"/>
        <rFont val="ＭＳ Ｐゴシック"/>
        <family val="3"/>
        <charset val="128"/>
      </rPr>
      <t>追突</t>
    </r>
    <rPh sb="0" eb="2">
      <t>ツイトツ</t>
    </rPh>
    <phoneticPr fontId="3"/>
  </si>
  <si>
    <r>
      <rPr>
        <sz val="11"/>
        <rFont val="ＭＳ Ｐゴシック"/>
        <family val="3"/>
        <charset val="128"/>
      </rPr>
      <t>追い越し</t>
    </r>
    <rPh sb="0" eb="1">
      <t>オ</t>
    </rPh>
    <rPh sb="2" eb="3">
      <t>コ</t>
    </rPh>
    <phoneticPr fontId="3"/>
  </si>
  <si>
    <r>
      <rPr>
        <sz val="11"/>
        <rFont val="ＭＳ Ｐゴシック"/>
        <family val="3"/>
        <charset val="128"/>
      </rPr>
      <t>車</t>
    </r>
    <r>
      <rPr>
        <sz val="11"/>
        <rFont val="Arial"/>
        <family val="2"/>
      </rPr>
      <t xml:space="preserve">  </t>
    </r>
    <r>
      <rPr>
        <sz val="11"/>
        <rFont val="ＭＳ Ｐゴシック"/>
        <family val="3"/>
        <charset val="128"/>
      </rPr>
      <t>両</t>
    </r>
    <r>
      <rPr>
        <sz val="11"/>
        <rFont val="Arial"/>
        <family val="2"/>
      </rPr>
      <t xml:space="preserve">  </t>
    </r>
    <r>
      <rPr>
        <sz val="11"/>
        <rFont val="ＭＳ Ｐゴシック"/>
        <family val="3"/>
        <charset val="128"/>
      </rPr>
      <t>単</t>
    </r>
    <r>
      <rPr>
        <sz val="11"/>
        <rFont val="Arial"/>
        <family val="2"/>
      </rPr>
      <t xml:space="preserve">  </t>
    </r>
    <r>
      <rPr>
        <sz val="11"/>
        <rFont val="ＭＳ Ｐゴシック"/>
        <family val="3"/>
        <charset val="128"/>
      </rPr>
      <t>独</t>
    </r>
    <rPh sb="0" eb="1">
      <t>クルマ</t>
    </rPh>
    <rPh sb="3" eb="4">
      <t>リョウ</t>
    </rPh>
    <rPh sb="6" eb="7">
      <t>タン</t>
    </rPh>
    <rPh sb="9" eb="10">
      <t>ドク</t>
    </rPh>
    <phoneticPr fontId="3"/>
  </si>
  <si>
    <r>
      <rPr>
        <sz val="11"/>
        <rFont val="ＭＳ Ｐゴシック"/>
        <family val="3"/>
        <charset val="128"/>
      </rPr>
      <t>　</t>
    </r>
    <phoneticPr fontId="3"/>
  </si>
  <si>
    <r>
      <rPr>
        <sz val="11"/>
        <rFont val="ＭＳ Ｐゴシック"/>
        <family val="3"/>
        <charset val="128"/>
      </rPr>
      <t>工作物衝突</t>
    </r>
    <rPh sb="0" eb="3">
      <t>コウサクブツ</t>
    </rPh>
    <rPh sb="3" eb="5">
      <t>ショウトツ</t>
    </rPh>
    <phoneticPr fontId="3"/>
  </si>
  <si>
    <r>
      <rPr>
        <sz val="11"/>
        <rFont val="ＭＳ Ｐゴシック"/>
        <family val="3"/>
        <charset val="128"/>
      </rPr>
      <t>列</t>
    </r>
    <r>
      <rPr>
        <sz val="11"/>
        <rFont val="Arial"/>
        <family val="2"/>
      </rPr>
      <t xml:space="preserve">         </t>
    </r>
    <r>
      <rPr>
        <sz val="11"/>
        <rFont val="ＭＳ Ｐゴシック"/>
        <family val="3"/>
        <charset val="128"/>
      </rPr>
      <t>車</t>
    </r>
    <rPh sb="0" eb="1">
      <t>レツ</t>
    </rPh>
    <rPh sb="10" eb="11">
      <t>クルマ</t>
    </rPh>
    <phoneticPr fontId="3"/>
  </si>
  <si>
    <r>
      <rPr>
        <sz val="12"/>
        <rFont val="ＭＳ Ｐゴシック"/>
        <family val="3"/>
        <charset val="128"/>
      </rPr>
      <t>（６）法令違反別</t>
    </r>
    <rPh sb="3" eb="5">
      <t>ホウレイ</t>
    </rPh>
    <rPh sb="5" eb="7">
      <t>イハン</t>
    </rPh>
    <rPh sb="7" eb="8">
      <t>ベツ</t>
    </rPh>
    <phoneticPr fontId="3"/>
  </si>
  <si>
    <r>
      <rPr>
        <sz val="12"/>
        <rFont val="ＭＳ Ｐゴシック"/>
        <family val="3"/>
        <charset val="128"/>
      </rPr>
      <t>法令違反別発生状況（第１当事者の法令違反）</t>
    </r>
    <rPh sb="0" eb="2">
      <t>ホウレイ</t>
    </rPh>
    <rPh sb="2" eb="4">
      <t>イハン</t>
    </rPh>
    <rPh sb="4" eb="5">
      <t>ベツ</t>
    </rPh>
    <rPh sb="5" eb="7">
      <t>ハッセイ</t>
    </rPh>
    <rPh sb="7" eb="9">
      <t>ジョウキョウ</t>
    </rPh>
    <rPh sb="10" eb="11">
      <t>ダイ</t>
    </rPh>
    <rPh sb="12" eb="15">
      <t>トウジシャ</t>
    </rPh>
    <rPh sb="16" eb="18">
      <t>ホウレイ</t>
    </rPh>
    <rPh sb="18" eb="20">
      <t>イハン</t>
    </rPh>
    <phoneticPr fontId="3"/>
  </si>
  <si>
    <r>
      <rPr>
        <sz val="9"/>
        <rFont val="ＭＳ Ｐゴシック"/>
        <family val="3"/>
        <charset val="128"/>
      </rPr>
      <t>区分</t>
    </r>
    <rPh sb="0" eb="2">
      <t>クブン</t>
    </rPh>
    <phoneticPr fontId="3"/>
  </si>
  <si>
    <r>
      <rPr>
        <sz val="9"/>
        <rFont val="ＭＳ Ｐゴシック"/>
        <family val="3"/>
        <charset val="128"/>
      </rPr>
      <t>法令違反別</t>
    </r>
    <rPh sb="0" eb="2">
      <t>ホウレイ</t>
    </rPh>
    <rPh sb="2" eb="4">
      <t>イハン</t>
    </rPh>
    <rPh sb="4" eb="5">
      <t>ベツ</t>
    </rPh>
    <phoneticPr fontId="3"/>
  </si>
  <si>
    <r>
      <rPr>
        <sz val="11"/>
        <rFont val="ＭＳ Ｐゴシック"/>
        <family val="3"/>
        <charset val="128"/>
      </rPr>
      <t>信号無視</t>
    </r>
    <rPh sb="0" eb="2">
      <t>シンゴウ</t>
    </rPh>
    <rPh sb="2" eb="4">
      <t>ムシ</t>
    </rPh>
    <phoneticPr fontId="3"/>
  </si>
  <si>
    <r>
      <rPr>
        <sz val="11"/>
        <rFont val="ＭＳ Ｐゴシック"/>
        <family val="3"/>
        <charset val="128"/>
      </rPr>
      <t>通行禁止</t>
    </r>
    <rPh sb="0" eb="2">
      <t>ツウコウ</t>
    </rPh>
    <rPh sb="2" eb="4">
      <t>キンシ</t>
    </rPh>
    <phoneticPr fontId="3"/>
  </si>
  <si>
    <r>
      <rPr>
        <sz val="11"/>
        <rFont val="ＭＳ Ｐゴシック"/>
        <family val="3"/>
        <charset val="128"/>
      </rPr>
      <t>通行区分</t>
    </r>
    <rPh sb="0" eb="2">
      <t>ツウコウ</t>
    </rPh>
    <rPh sb="2" eb="4">
      <t>クブン</t>
    </rPh>
    <phoneticPr fontId="3"/>
  </si>
  <si>
    <r>
      <rPr>
        <sz val="11"/>
        <rFont val="ＭＳ Ｐゴシック"/>
        <family val="3"/>
        <charset val="128"/>
      </rPr>
      <t>車</t>
    </r>
    <rPh sb="0" eb="1">
      <t>シャ</t>
    </rPh>
    <phoneticPr fontId="3"/>
  </si>
  <si>
    <r>
      <rPr>
        <sz val="11"/>
        <rFont val="ＭＳ Ｐゴシック"/>
        <family val="3"/>
        <charset val="128"/>
      </rPr>
      <t>最高速度</t>
    </r>
    <rPh sb="0" eb="2">
      <t>サイコウ</t>
    </rPh>
    <rPh sb="2" eb="4">
      <t>ソクド</t>
    </rPh>
    <phoneticPr fontId="3"/>
  </si>
  <si>
    <r>
      <rPr>
        <sz val="11"/>
        <rFont val="ＭＳ Ｐゴシック"/>
        <family val="3"/>
        <charset val="128"/>
      </rPr>
      <t>横断等禁止</t>
    </r>
    <rPh sb="0" eb="2">
      <t>オウダン</t>
    </rPh>
    <rPh sb="2" eb="3">
      <t>トウ</t>
    </rPh>
    <rPh sb="3" eb="5">
      <t>キンシ</t>
    </rPh>
    <phoneticPr fontId="3"/>
  </si>
  <si>
    <r>
      <rPr>
        <sz val="11"/>
        <rFont val="ＭＳ Ｐゴシック"/>
        <family val="3"/>
        <charset val="128"/>
      </rPr>
      <t>進路変更禁止</t>
    </r>
    <rPh sb="0" eb="2">
      <t>シンロ</t>
    </rPh>
    <rPh sb="2" eb="4">
      <t>ヘンコウ</t>
    </rPh>
    <rPh sb="4" eb="6">
      <t>キンシ</t>
    </rPh>
    <phoneticPr fontId="3"/>
  </si>
  <si>
    <r>
      <rPr>
        <sz val="11"/>
        <rFont val="ＭＳ Ｐゴシック"/>
        <family val="3"/>
        <charset val="128"/>
      </rPr>
      <t>踏切不停止</t>
    </r>
    <rPh sb="0" eb="2">
      <t>フミキリ</t>
    </rPh>
    <rPh sb="2" eb="3">
      <t>フ</t>
    </rPh>
    <rPh sb="3" eb="5">
      <t>テイシ</t>
    </rPh>
    <phoneticPr fontId="3"/>
  </si>
  <si>
    <r>
      <rPr>
        <sz val="11"/>
        <rFont val="ＭＳ Ｐゴシック"/>
        <family val="3"/>
        <charset val="128"/>
      </rPr>
      <t>両</t>
    </r>
    <rPh sb="0" eb="1">
      <t>リョウ</t>
    </rPh>
    <phoneticPr fontId="3"/>
  </si>
  <si>
    <r>
      <rPr>
        <sz val="11"/>
        <rFont val="ＭＳ Ｐゴシック"/>
        <family val="3"/>
        <charset val="128"/>
      </rPr>
      <t>優先通行妨害</t>
    </r>
    <rPh sb="0" eb="2">
      <t>ユウセン</t>
    </rPh>
    <rPh sb="2" eb="4">
      <t>ツウコウ</t>
    </rPh>
    <rPh sb="4" eb="6">
      <t>ボウガイ</t>
    </rPh>
    <phoneticPr fontId="3"/>
  </si>
  <si>
    <r>
      <rPr>
        <sz val="11"/>
        <rFont val="ＭＳ Ｐゴシック"/>
        <family val="3"/>
        <charset val="128"/>
      </rPr>
      <t>交差点安全進行義務</t>
    </r>
    <rPh sb="0" eb="3">
      <t>コウサテン</t>
    </rPh>
    <rPh sb="3" eb="5">
      <t>アンゼン</t>
    </rPh>
    <rPh sb="5" eb="7">
      <t>シンコウ</t>
    </rPh>
    <rPh sb="7" eb="9">
      <t>ギム</t>
    </rPh>
    <phoneticPr fontId="3"/>
  </si>
  <si>
    <r>
      <rPr>
        <sz val="11"/>
        <rFont val="ＭＳ Ｐゴシック"/>
        <family val="3"/>
        <charset val="128"/>
      </rPr>
      <t>歩行者妨害</t>
    </r>
    <rPh sb="0" eb="3">
      <t>ホコウシャ</t>
    </rPh>
    <rPh sb="3" eb="5">
      <t>ボウガイ</t>
    </rPh>
    <phoneticPr fontId="3"/>
  </si>
  <si>
    <r>
      <rPr>
        <sz val="11"/>
        <rFont val="ＭＳ Ｐゴシック"/>
        <family val="3"/>
        <charset val="128"/>
      </rPr>
      <t>等</t>
    </r>
    <rPh sb="0" eb="1">
      <t>トウ</t>
    </rPh>
    <phoneticPr fontId="3"/>
  </si>
  <si>
    <r>
      <rPr>
        <sz val="11"/>
        <rFont val="ＭＳ Ｐゴシック"/>
        <family val="3"/>
        <charset val="128"/>
      </rPr>
      <t>徐行場所</t>
    </r>
    <rPh sb="0" eb="2">
      <t>ジョコウ</t>
    </rPh>
    <rPh sb="2" eb="4">
      <t>バショ</t>
    </rPh>
    <phoneticPr fontId="3"/>
  </si>
  <si>
    <r>
      <rPr>
        <sz val="11"/>
        <rFont val="ＭＳ Ｐゴシック"/>
        <family val="3"/>
        <charset val="128"/>
      </rPr>
      <t>指定場所一時不停止</t>
    </r>
    <rPh sb="0" eb="2">
      <t>シテイ</t>
    </rPh>
    <rPh sb="2" eb="4">
      <t>バショ</t>
    </rPh>
    <rPh sb="4" eb="6">
      <t>イチジ</t>
    </rPh>
    <rPh sb="6" eb="7">
      <t>フ</t>
    </rPh>
    <rPh sb="7" eb="9">
      <t>テイシ</t>
    </rPh>
    <phoneticPr fontId="3"/>
  </si>
  <si>
    <r>
      <rPr>
        <sz val="11"/>
        <rFont val="ＭＳ Ｐゴシック"/>
        <family val="3"/>
        <charset val="128"/>
      </rPr>
      <t>積載不適当</t>
    </r>
    <rPh sb="0" eb="2">
      <t>セキサイ</t>
    </rPh>
    <rPh sb="2" eb="5">
      <t>フテキトウ</t>
    </rPh>
    <phoneticPr fontId="3"/>
  </si>
  <si>
    <r>
      <rPr>
        <sz val="11"/>
        <rFont val="ＭＳ Ｐゴシック"/>
        <family val="3"/>
        <charset val="128"/>
      </rPr>
      <t>整備不良車両運転</t>
    </r>
    <rPh sb="0" eb="2">
      <t>セイビ</t>
    </rPh>
    <rPh sb="2" eb="4">
      <t>フリョウ</t>
    </rPh>
    <rPh sb="4" eb="6">
      <t>シャリョウ</t>
    </rPh>
    <rPh sb="6" eb="8">
      <t>ウンテン</t>
    </rPh>
    <phoneticPr fontId="3"/>
  </si>
  <si>
    <r>
      <rPr>
        <sz val="11"/>
        <rFont val="ＭＳ Ｐゴシック"/>
        <family val="3"/>
        <charset val="128"/>
      </rPr>
      <t>酒酔い運転</t>
    </r>
    <rPh sb="0" eb="2">
      <t>サケヨ</t>
    </rPh>
    <rPh sb="3" eb="5">
      <t>ウンテン</t>
    </rPh>
    <phoneticPr fontId="3"/>
  </si>
  <si>
    <r>
      <rPr>
        <sz val="11"/>
        <rFont val="ＭＳ Ｐゴシック"/>
        <family val="3"/>
        <charset val="128"/>
      </rPr>
      <t>過労運転</t>
    </r>
    <rPh sb="0" eb="2">
      <t>カロウ</t>
    </rPh>
    <rPh sb="2" eb="4">
      <t>ウンテン</t>
    </rPh>
    <phoneticPr fontId="3"/>
  </si>
  <si>
    <r>
      <rPr>
        <sz val="10"/>
        <rFont val="ＭＳ Ｐゴシック"/>
        <family val="3"/>
        <charset val="128"/>
      </rPr>
      <t>安全運転義務</t>
    </r>
    <rPh sb="0" eb="2">
      <t>アンゼン</t>
    </rPh>
    <rPh sb="2" eb="4">
      <t>ウンテン</t>
    </rPh>
    <rPh sb="4" eb="6">
      <t>ギム</t>
    </rPh>
    <phoneticPr fontId="3"/>
  </si>
  <si>
    <r>
      <rPr>
        <sz val="11"/>
        <rFont val="ＭＳ Ｐゴシック"/>
        <family val="3"/>
        <charset val="128"/>
      </rPr>
      <t>ハンドル等操作不適</t>
    </r>
    <rPh sb="4" eb="5">
      <t>トウ</t>
    </rPh>
    <rPh sb="5" eb="7">
      <t>ソウサ</t>
    </rPh>
    <rPh sb="7" eb="9">
      <t>フテキ</t>
    </rPh>
    <phoneticPr fontId="3"/>
  </si>
  <si>
    <r>
      <rPr>
        <sz val="11"/>
        <rFont val="ＭＳ Ｐゴシック"/>
        <family val="3"/>
        <charset val="128"/>
      </rPr>
      <t>前方不注意</t>
    </r>
    <rPh sb="0" eb="2">
      <t>ゼンポウ</t>
    </rPh>
    <rPh sb="2" eb="5">
      <t>フチュウイ</t>
    </rPh>
    <phoneticPr fontId="3"/>
  </si>
  <si>
    <r>
      <rPr>
        <sz val="11"/>
        <rFont val="ＭＳ Ｐゴシック"/>
        <family val="3"/>
        <charset val="128"/>
      </rPr>
      <t>動静不注意</t>
    </r>
    <rPh sb="0" eb="2">
      <t>ドウセイ</t>
    </rPh>
    <rPh sb="2" eb="5">
      <t>フチュウイ</t>
    </rPh>
    <phoneticPr fontId="3"/>
  </si>
  <si>
    <r>
      <rPr>
        <sz val="11"/>
        <rFont val="ＭＳ Ｐゴシック"/>
        <family val="3"/>
        <charset val="128"/>
      </rPr>
      <t>安全不確認</t>
    </r>
    <rPh sb="0" eb="2">
      <t>アンゼン</t>
    </rPh>
    <rPh sb="2" eb="3">
      <t>フ</t>
    </rPh>
    <rPh sb="3" eb="5">
      <t>カクニン</t>
    </rPh>
    <phoneticPr fontId="3"/>
  </si>
  <si>
    <r>
      <rPr>
        <sz val="11"/>
        <rFont val="ＭＳ Ｐゴシック"/>
        <family val="3"/>
        <charset val="128"/>
      </rPr>
      <t>その他の違反</t>
    </r>
    <rPh sb="2" eb="3">
      <t>タ</t>
    </rPh>
    <rPh sb="4" eb="6">
      <t>イハン</t>
    </rPh>
    <phoneticPr fontId="3"/>
  </si>
  <si>
    <r>
      <rPr>
        <sz val="11"/>
        <rFont val="ＭＳ Ｐゴシック"/>
        <family val="3"/>
        <charset val="128"/>
      </rPr>
      <t>歩</t>
    </r>
    <rPh sb="0" eb="1">
      <t>ホ</t>
    </rPh>
    <phoneticPr fontId="3"/>
  </si>
  <si>
    <r>
      <rPr>
        <sz val="9"/>
        <rFont val="ＭＳ Ｐゴシック"/>
        <family val="3"/>
        <charset val="128"/>
      </rPr>
      <t>横断</t>
    </r>
    <rPh sb="0" eb="2">
      <t>オウダン</t>
    </rPh>
    <phoneticPr fontId="3"/>
  </si>
  <si>
    <r>
      <rPr>
        <sz val="11"/>
        <rFont val="ＭＳ Ｐゴシック"/>
        <family val="3"/>
        <charset val="128"/>
      </rPr>
      <t>直前直後横断</t>
    </r>
    <rPh sb="0" eb="2">
      <t>チョクゼン</t>
    </rPh>
    <rPh sb="2" eb="4">
      <t>チョクゴ</t>
    </rPh>
    <rPh sb="4" eb="6">
      <t>オウダン</t>
    </rPh>
    <phoneticPr fontId="3"/>
  </si>
  <si>
    <r>
      <rPr>
        <sz val="11"/>
        <rFont val="ＭＳ Ｐゴシック"/>
        <family val="3"/>
        <charset val="128"/>
      </rPr>
      <t>禁止場所横断</t>
    </r>
    <rPh sb="0" eb="2">
      <t>キンシ</t>
    </rPh>
    <rPh sb="2" eb="4">
      <t>バショ</t>
    </rPh>
    <rPh sb="4" eb="6">
      <t>オウダン</t>
    </rPh>
    <phoneticPr fontId="3"/>
  </si>
  <si>
    <r>
      <rPr>
        <sz val="11"/>
        <rFont val="ＭＳ Ｐゴシック"/>
        <family val="3"/>
        <charset val="128"/>
      </rPr>
      <t>行</t>
    </r>
    <rPh sb="0" eb="1">
      <t>コウ</t>
    </rPh>
    <phoneticPr fontId="3"/>
  </si>
  <si>
    <r>
      <rPr>
        <sz val="11"/>
        <rFont val="ＭＳ Ｐゴシック"/>
        <family val="3"/>
        <charset val="128"/>
      </rPr>
      <t>斜め横断等</t>
    </r>
    <rPh sb="0" eb="1">
      <t>ナナ</t>
    </rPh>
    <rPh sb="2" eb="4">
      <t>オウダン</t>
    </rPh>
    <rPh sb="4" eb="5">
      <t>トウ</t>
    </rPh>
    <phoneticPr fontId="3"/>
  </si>
  <si>
    <r>
      <rPr>
        <sz val="11"/>
        <rFont val="ＭＳ Ｐゴシック"/>
        <family val="3"/>
        <charset val="128"/>
      </rPr>
      <t>寝そべり等</t>
    </r>
    <rPh sb="0" eb="1">
      <t>ネ</t>
    </rPh>
    <rPh sb="4" eb="5">
      <t>トウ</t>
    </rPh>
    <phoneticPr fontId="3"/>
  </si>
  <si>
    <r>
      <rPr>
        <sz val="11"/>
        <rFont val="ＭＳ Ｐゴシック"/>
        <family val="3"/>
        <charset val="128"/>
      </rPr>
      <t>者</t>
    </r>
    <rPh sb="0" eb="1">
      <t>シャ</t>
    </rPh>
    <phoneticPr fontId="3"/>
  </si>
  <si>
    <r>
      <rPr>
        <sz val="11"/>
        <rFont val="ＭＳ Ｐゴシック"/>
        <family val="3"/>
        <charset val="128"/>
      </rPr>
      <t>路上遊戯</t>
    </r>
    <rPh sb="0" eb="2">
      <t>ロジョウ</t>
    </rPh>
    <rPh sb="2" eb="4">
      <t>ユウギ</t>
    </rPh>
    <phoneticPr fontId="3"/>
  </si>
  <si>
    <r>
      <rPr>
        <sz val="11"/>
        <rFont val="ＭＳ Ｐゴシック"/>
        <family val="3"/>
        <charset val="128"/>
      </rPr>
      <t>飛び出し</t>
    </r>
    <rPh sb="0" eb="1">
      <t>ト</t>
    </rPh>
    <rPh sb="2" eb="3">
      <t>ダ</t>
    </rPh>
    <phoneticPr fontId="3"/>
  </si>
  <si>
    <r>
      <rPr>
        <sz val="11"/>
        <rFont val="ＭＳ Ｐゴシック"/>
        <family val="3"/>
        <charset val="128"/>
      </rPr>
      <t>第１当事者の違反によって起きた事故の件数及びその事故により生じた全死傷者数を計上。</t>
    </r>
    <rPh sb="0" eb="1">
      <t>ダイ</t>
    </rPh>
    <rPh sb="2" eb="5">
      <t>トウジシャ</t>
    </rPh>
    <rPh sb="6" eb="8">
      <t>イハン</t>
    </rPh>
    <rPh sb="12" eb="13">
      <t>オ</t>
    </rPh>
    <rPh sb="15" eb="17">
      <t>ジコ</t>
    </rPh>
    <rPh sb="18" eb="20">
      <t>ケンスウ</t>
    </rPh>
    <rPh sb="20" eb="21">
      <t>オヨ</t>
    </rPh>
    <rPh sb="24" eb="26">
      <t>ジコ</t>
    </rPh>
    <rPh sb="29" eb="30">
      <t>ショウ</t>
    </rPh>
    <rPh sb="32" eb="33">
      <t>ゼン</t>
    </rPh>
    <rPh sb="33" eb="35">
      <t>シショウ</t>
    </rPh>
    <rPh sb="35" eb="36">
      <t>シャ</t>
    </rPh>
    <rPh sb="36" eb="37">
      <t>スウ</t>
    </rPh>
    <rPh sb="38" eb="40">
      <t>ケイジョウ</t>
    </rPh>
    <phoneticPr fontId="3"/>
  </si>
  <si>
    <r>
      <rPr>
        <b/>
        <sz val="14"/>
        <rFont val="ＭＳ Ｐゴシック"/>
        <family val="3"/>
        <charset val="128"/>
      </rPr>
      <t>４．各種交通事故の実態</t>
    </r>
    <rPh sb="2" eb="4">
      <t>カクシュ</t>
    </rPh>
    <rPh sb="4" eb="6">
      <t>コウツウ</t>
    </rPh>
    <rPh sb="6" eb="8">
      <t>ジコ</t>
    </rPh>
    <rPh sb="9" eb="11">
      <t>ジッタイ</t>
    </rPh>
    <phoneticPr fontId="3"/>
  </si>
  <si>
    <r>
      <rPr>
        <sz val="12"/>
        <rFont val="ＭＳ Ｐゴシック"/>
        <family val="3"/>
        <charset val="128"/>
      </rPr>
      <t>　（１）各種死亡事故の推移</t>
    </r>
    <rPh sb="4" eb="6">
      <t>カクシュ</t>
    </rPh>
    <rPh sb="6" eb="8">
      <t>シボウ</t>
    </rPh>
    <rPh sb="8" eb="10">
      <t>ジコ</t>
    </rPh>
    <rPh sb="11" eb="13">
      <t>スイイ</t>
    </rPh>
    <phoneticPr fontId="3"/>
  </si>
  <si>
    <r>
      <rPr>
        <sz val="11"/>
        <rFont val="ＭＳ Ｐゴシック"/>
        <family val="3"/>
        <charset val="128"/>
      </rPr>
      <t>死者数の推移</t>
    </r>
    <rPh sb="0" eb="3">
      <t>シシャスウ</t>
    </rPh>
    <rPh sb="4" eb="6">
      <t>スイイ</t>
    </rPh>
    <phoneticPr fontId="3"/>
  </si>
  <si>
    <r>
      <rPr>
        <sz val="12"/>
        <rFont val="ＭＳ 明朝"/>
        <family val="1"/>
        <charset val="128"/>
      </rPr>
      <t>年別</t>
    </r>
    <rPh sb="0" eb="2">
      <t>ネンベツ</t>
    </rPh>
    <phoneticPr fontId="3"/>
  </si>
  <si>
    <r>
      <rPr>
        <sz val="11"/>
        <rFont val="ＭＳ Ｐゴシック"/>
        <family val="3"/>
        <charset val="128"/>
      </rPr>
      <t>元</t>
    </r>
    <rPh sb="0" eb="1">
      <t>ゲン</t>
    </rPh>
    <phoneticPr fontId="3"/>
  </si>
  <si>
    <r>
      <rPr>
        <sz val="12"/>
        <rFont val="ＭＳ 明朝"/>
        <family val="1"/>
        <charset val="128"/>
      </rPr>
      <t>区分</t>
    </r>
    <rPh sb="0" eb="2">
      <t>クブン</t>
    </rPh>
    <phoneticPr fontId="3"/>
  </si>
  <si>
    <r>
      <rPr>
        <sz val="12"/>
        <rFont val="ＭＳ 明朝"/>
        <family val="1"/>
        <charset val="128"/>
      </rPr>
      <t>合計</t>
    </r>
    <rPh sb="0" eb="2">
      <t>ゴウケイ</t>
    </rPh>
    <phoneticPr fontId="3"/>
  </si>
  <si>
    <r>
      <rPr>
        <sz val="12"/>
        <rFont val="ＭＳ 明朝"/>
        <family val="1"/>
        <charset val="128"/>
      </rPr>
      <t>高齢者</t>
    </r>
    <rPh sb="0" eb="3">
      <t>コウレイシャ</t>
    </rPh>
    <phoneticPr fontId="3"/>
  </si>
  <si>
    <r>
      <rPr>
        <sz val="12"/>
        <rFont val="ＭＳ 明朝"/>
        <family val="1"/>
        <charset val="128"/>
      </rPr>
      <t>子ども</t>
    </r>
    <rPh sb="0" eb="1">
      <t>コ</t>
    </rPh>
    <phoneticPr fontId="3"/>
  </si>
  <si>
    <r>
      <rPr>
        <sz val="12"/>
        <rFont val="ＭＳ 明朝"/>
        <family val="1"/>
        <charset val="128"/>
      </rPr>
      <t>歩行者</t>
    </r>
    <rPh sb="0" eb="3">
      <t>ホコウシャ</t>
    </rPh>
    <phoneticPr fontId="3"/>
  </si>
  <si>
    <r>
      <rPr>
        <sz val="12"/>
        <rFont val="ＭＳ 明朝"/>
        <family val="1"/>
        <charset val="128"/>
      </rPr>
      <t>自転車</t>
    </r>
    <rPh sb="0" eb="3">
      <t>ジテンシャ</t>
    </rPh>
    <phoneticPr fontId="3"/>
  </si>
  <si>
    <r>
      <rPr>
        <sz val="12"/>
        <rFont val="ＭＳ 明朝"/>
        <family val="1"/>
        <charset val="128"/>
      </rPr>
      <t>自動二輪</t>
    </r>
    <rPh sb="0" eb="2">
      <t>ジドウ</t>
    </rPh>
    <rPh sb="2" eb="4">
      <t>ニリン</t>
    </rPh>
    <phoneticPr fontId="3"/>
  </si>
  <si>
    <r>
      <rPr>
        <sz val="12"/>
        <rFont val="ＭＳ 明朝"/>
        <family val="1"/>
        <charset val="128"/>
      </rPr>
      <t>原付</t>
    </r>
    <rPh sb="0" eb="2">
      <t>ゲンツキ</t>
    </rPh>
    <phoneticPr fontId="3"/>
  </si>
  <si>
    <r>
      <rPr>
        <sz val="12"/>
        <rFont val="ＭＳ 明朝"/>
        <family val="1"/>
        <charset val="128"/>
      </rPr>
      <t>その他</t>
    </r>
    <rPh sb="2" eb="3">
      <t>タ</t>
    </rPh>
    <phoneticPr fontId="3"/>
  </si>
  <si>
    <r>
      <t xml:space="preserve"> </t>
    </r>
    <r>
      <rPr>
        <sz val="12"/>
        <rFont val="ＭＳ Ｐゴシック"/>
        <family val="3"/>
        <charset val="128"/>
      </rPr>
      <t>（２）高齢者の事故</t>
    </r>
    <rPh sb="4" eb="7">
      <t>コウレイシャ</t>
    </rPh>
    <rPh sb="8" eb="10">
      <t>ジコ</t>
    </rPh>
    <phoneticPr fontId="3"/>
  </si>
  <si>
    <r>
      <rPr>
        <sz val="12"/>
        <rFont val="ＭＳ Ｐゴシック"/>
        <family val="3"/>
        <charset val="128"/>
      </rPr>
      <t>　　高齢者の交通事故の推移</t>
    </r>
    <rPh sb="2" eb="5">
      <t>コウレイシャ</t>
    </rPh>
    <rPh sb="6" eb="8">
      <t>コウツウ</t>
    </rPh>
    <rPh sb="8" eb="10">
      <t>ジコ</t>
    </rPh>
    <rPh sb="11" eb="13">
      <t>スイイ</t>
    </rPh>
    <phoneticPr fontId="3"/>
  </si>
  <si>
    <r>
      <rPr>
        <sz val="11"/>
        <rFont val="ＭＳ Ｐゴシック"/>
        <family val="3"/>
        <charset val="128"/>
      </rPr>
      <t>昭和</t>
    </r>
    <r>
      <rPr>
        <sz val="11"/>
        <rFont val="Arial"/>
        <family val="2"/>
      </rPr>
      <t>45</t>
    </r>
    <rPh sb="0" eb="2">
      <t>ショウワ</t>
    </rPh>
    <phoneticPr fontId="3"/>
  </si>
  <si>
    <t>平成23</t>
  </si>
  <si>
    <t>平成24</t>
  </si>
  <si>
    <t>平成25</t>
  </si>
  <si>
    <t>平成26</t>
  </si>
  <si>
    <t>平成27</t>
  </si>
  <si>
    <t>平成28</t>
  </si>
  <si>
    <t>平成29</t>
  </si>
  <si>
    <t>平成30</t>
  </si>
  <si>
    <t>令和元</t>
  </si>
  <si>
    <t>令和2</t>
  </si>
  <si>
    <t>令和3</t>
  </si>
  <si>
    <r>
      <rPr>
        <sz val="11"/>
        <rFont val="ＭＳ Ｐゴシック"/>
        <family val="3"/>
        <charset val="128"/>
      </rPr>
      <t>死者数①（人）</t>
    </r>
    <rPh sb="0" eb="2">
      <t>シシャ</t>
    </rPh>
    <rPh sb="2" eb="3">
      <t>スウ</t>
    </rPh>
    <rPh sb="5" eb="6">
      <t>ヒト</t>
    </rPh>
    <phoneticPr fontId="3"/>
  </si>
  <si>
    <r>
      <rPr>
        <sz val="11"/>
        <rFont val="ＭＳ Ｐゴシック"/>
        <family val="3"/>
        <charset val="128"/>
      </rPr>
      <t>負傷者数（人）</t>
    </r>
    <rPh sb="0" eb="1">
      <t>フ</t>
    </rPh>
    <rPh sb="1" eb="2">
      <t>キズ</t>
    </rPh>
    <rPh sb="2" eb="3">
      <t>モノ</t>
    </rPh>
    <rPh sb="3" eb="4">
      <t>スウ</t>
    </rPh>
    <rPh sb="5" eb="6">
      <t>ヒト</t>
    </rPh>
    <phoneticPr fontId="3"/>
  </si>
  <si>
    <r>
      <rPr>
        <sz val="11"/>
        <rFont val="ＭＳ Ｐゴシック"/>
        <family val="3"/>
        <charset val="128"/>
      </rPr>
      <t>－</t>
    </r>
    <phoneticPr fontId="3"/>
  </si>
  <si>
    <t>－</t>
  </si>
  <si>
    <r>
      <rPr>
        <sz val="11"/>
        <rFont val="ＭＳ Ｐゴシック"/>
        <family val="3"/>
        <charset val="128"/>
      </rPr>
      <t>全死者数②（人）</t>
    </r>
    <rPh sb="0" eb="1">
      <t>ゼン</t>
    </rPh>
    <rPh sb="1" eb="3">
      <t>シシャ</t>
    </rPh>
    <rPh sb="3" eb="4">
      <t>スウ</t>
    </rPh>
    <rPh sb="6" eb="7">
      <t>ヒト</t>
    </rPh>
    <phoneticPr fontId="3"/>
  </si>
  <si>
    <r>
      <rPr>
        <sz val="11"/>
        <rFont val="ＭＳ Ｐゴシック"/>
        <family val="3"/>
        <charset val="128"/>
      </rPr>
      <t>①</t>
    </r>
    <r>
      <rPr>
        <sz val="11"/>
        <rFont val="Arial"/>
        <family val="2"/>
      </rPr>
      <t>/</t>
    </r>
    <r>
      <rPr>
        <sz val="11"/>
        <rFont val="ＭＳ Ｐゴシック"/>
        <family val="3"/>
        <charset val="128"/>
      </rPr>
      <t>②</t>
    </r>
    <r>
      <rPr>
        <sz val="11"/>
        <rFont val="Arial"/>
        <family val="2"/>
      </rPr>
      <t>×</t>
    </r>
    <r>
      <rPr>
        <sz val="11"/>
        <rFont val="ＭＳ Ｐゴシック"/>
        <family val="3"/>
        <charset val="128"/>
      </rPr>
      <t>１００（％）</t>
    </r>
    <phoneticPr fontId="3"/>
  </si>
  <si>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高齢者自身の死傷者数を計上。負傷者数の統計は昭和６１年から開始したため、昭和</t>
    </r>
    <r>
      <rPr>
        <sz val="11"/>
        <rFont val="Arial"/>
        <family val="2"/>
      </rPr>
      <t>45</t>
    </r>
    <r>
      <rPr>
        <sz val="11"/>
        <rFont val="ＭＳ Ｐゴシック"/>
        <family val="3"/>
        <charset val="128"/>
      </rPr>
      <t>年についてはデータが
　　　</t>
    </r>
    <r>
      <rPr>
        <sz val="11"/>
        <rFont val="Arial"/>
        <family val="2"/>
      </rPr>
      <t xml:space="preserve"> </t>
    </r>
    <r>
      <rPr>
        <sz val="11"/>
        <rFont val="ＭＳ Ｐゴシック"/>
        <family val="3"/>
        <charset val="128"/>
      </rPr>
      <t>存在しない。高齢者</t>
    </r>
    <r>
      <rPr>
        <sz val="11"/>
        <rFont val="Arial"/>
        <family val="2"/>
      </rPr>
      <t xml:space="preserve"> </t>
    </r>
    <r>
      <rPr>
        <sz val="11"/>
        <rFont val="ＭＳ Ｐゴシック"/>
        <family val="3"/>
        <charset val="128"/>
      </rPr>
      <t>の定義については、</t>
    </r>
    <r>
      <rPr>
        <sz val="11"/>
        <rFont val="Arial"/>
        <family val="2"/>
      </rPr>
      <t xml:space="preserve"> </t>
    </r>
    <r>
      <rPr>
        <sz val="11"/>
        <rFont val="ＭＳ Ｐゴシック"/>
        <family val="3"/>
        <charset val="128"/>
      </rPr>
      <t>昭和</t>
    </r>
    <r>
      <rPr>
        <sz val="11"/>
        <rFont val="Arial"/>
        <family val="2"/>
      </rPr>
      <t>45</t>
    </r>
    <r>
      <rPr>
        <sz val="11"/>
        <rFont val="ＭＳ Ｐゴシック"/>
        <family val="3"/>
        <charset val="128"/>
      </rPr>
      <t>年は「</t>
    </r>
    <r>
      <rPr>
        <sz val="11"/>
        <rFont val="Arial"/>
        <family val="2"/>
      </rPr>
      <t>60</t>
    </r>
    <r>
      <rPr>
        <sz val="11"/>
        <rFont val="ＭＳ Ｐゴシック"/>
        <family val="3"/>
        <charset val="128"/>
      </rPr>
      <t>歳以上」、それ以外は「</t>
    </r>
    <r>
      <rPr>
        <sz val="11"/>
        <rFont val="Arial"/>
        <family val="2"/>
      </rPr>
      <t>65</t>
    </r>
    <r>
      <rPr>
        <sz val="11"/>
        <rFont val="ＭＳ Ｐゴシック"/>
        <family val="3"/>
        <charset val="128"/>
      </rPr>
      <t>歳以上」となっている。</t>
    </r>
    <rPh sb="2" eb="3">
      <t>チュウ</t>
    </rPh>
    <rPh sb="4" eb="7">
      <t>コウレイシャ</t>
    </rPh>
    <rPh sb="7" eb="9">
      <t>ジシン</t>
    </rPh>
    <rPh sb="10" eb="12">
      <t>シショウ</t>
    </rPh>
    <rPh sb="12" eb="13">
      <t>シャ</t>
    </rPh>
    <rPh sb="13" eb="14">
      <t>スウ</t>
    </rPh>
    <rPh sb="15" eb="17">
      <t>ケイジョウ</t>
    </rPh>
    <rPh sb="19" eb="20">
      <t>キズ</t>
    </rPh>
    <rPh sb="20" eb="21">
      <t>モノ</t>
    </rPh>
    <rPh sb="21" eb="22">
      <t>スウ</t>
    </rPh>
    <rPh sb="23" eb="25">
      <t>トウケイ</t>
    </rPh>
    <rPh sb="26" eb="28">
      <t>ショウワ</t>
    </rPh>
    <rPh sb="30" eb="31">
      <t>ネン</t>
    </rPh>
    <rPh sb="33" eb="35">
      <t>カイシ</t>
    </rPh>
    <rPh sb="40" eb="42">
      <t>ショウワ</t>
    </rPh>
    <rPh sb="44" eb="45">
      <t>ネン</t>
    </rPh>
    <rPh sb="59" eb="61">
      <t>ソンザイ</t>
    </rPh>
    <rPh sb="65" eb="68">
      <t>コウレイシャ</t>
    </rPh>
    <rPh sb="70" eb="72">
      <t>テイギ</t>
    </rPh>
    <rPh sb="79" eb="81">
      <t>ショウワ</t>
    </rPh>
    <rPh sb="83" eb="84">
      <t>ネン</t>
    </rPh>
    <rPh sb="95" eb="97">
      <t>イガイ</t>
    </rPh>
    <phoneticPr fontId="3"/>
  </si>
  <si>
    <r>
      <t xml:space="preserve">  (</t>
    </r>
    <r>
      <rPr>
        <sz val="11"/>
        <rFont val="ＭＳ Ｐゴシック"/>
        <family val="3"/>
        <charset val="128"/>
      </rPr>
      <t>注</t>
    </r>
    <r>
      <rPr>
        <sz val="11"/>
        <rFont val="Arial"/>
        <family val="2"/>
      </rPr>
      <t>)</t>
    </r>
    <r>
      <rPr>
        <sz val="11"/>
        <rFont val="ＭＳ Ｐゴシック"/>
        <family val="3"/>
        <charset val="128"/>
      </rPr>
      <t>昭和</t>
    </r>
    <r>
      <rPr>
        <sz val="11"/>
        <rFont val="Arial"/>
        <family val="2"/>
      </rPr>
      <t>4</t>
    </r>
    <r>
      <rPr>
        <sz val="11"/>
        <rFont val="ＭＳ Ｐゴシック"/>
        <family val="3"/>
        <charset val="128"/>
      </rPr>
      <t>５年～平成</t>
    </r>
    <r>
      <rPr>
        <sz val="11"/>
        <rFont val="Arial"/>
        <family val="2"/>
      </rPr>
      <t>29</t>
    </r>
    <r>
      <rPr>
        <sz val="11"/>
        <rFont val="ＭＳ Ｐゴシック"/>
        <family val="3"/>
        <charset val="128"/>
      </rPr>
      <t>年は、「内重傷者数（人）」の記録なし。</t>
    </r>
    <rPh sb="25" eb="26">
      <t>ニン</t>
    </rPh>
    <phoneticPr fontId="3"/>
  </si>
  <si>
    <r>
      <rPr>
        <sz val="12"/>
        <rFont val="ＭＳ Ｐゴシック"/>
        <family val="3"/>
        <charset val="128"/>
      </rPr>
      <t>　　年齢別・月別　（６５歳以上）</t>
    </r>
    <rPh sb="2" eb="4">
      <t>ネンレイ</t>
    </rPh>
    <rPh sb="4" eb="5">
      <t>ベツ</t>
    </rPh>
    <rPh sb="6" eb="7">
      <t>ツキ</t>
    </rPh>
    <rPh sb="7" eb="8">
      <t>ベツ</t>
    </rPh>
    <rPh sb="12" eb="13">
      <t>サイ</t>
    </rPh>
    <rPh sb="13" eb="15">
      <t>イジョウ</t>
    </rPh>
    <phoneticPr fontId="3"/>
  </si>
  <si>
    <r>
      <rPr>
        <sz val="9"/>
        <rFont val="ＭＳ Ｐゴシック"/>
        <family val="3"/>
        <charset val="128"/>
      </rPr>
      <t>（人）</t>
    </r>
    <rPh sb="1" eb="2">
      <t>ヒト</t>
    </rPh>
    <phoneticPr fontId="3"/>
  </si>
  <si>
    <r>
      <rPr>
        <sz val="8"/>
        <rFont val="ＭＳ Ｐゴシック"/>
        <family val="3"/>
        <charset val="128"/>
      </rPr>
      <t>月別</t>
    </r>
    <rPh sb="0" eb="1">
      <t>ツキ</t>
    </rPh>
    <rPh sb="1" eb="2">
      <t>ベツ</t>
    </rPh>
    <phoneticPr fontId="3"/>
  </si>
  <si>
    <r>
      <rPr>
        <sz val="8"/>
        <rFont val="ＭＳ Ｐゴシック"/>
        <family val="3"/>
        <charset val="128"/>
      </rPr>
      <t>年齢別</t>
    </r>
    <rPh sb="0" eb="2">
      <t>ネンレイ</t>
    </rPh>
    <rPh sb="2" eb="3">
      <t>ベツ</t>
    </rPh>
    <phoneticPr fontId="3"/>
  </si>
  <si>
    <t>６５～
６９歳</t>
    <phoneticPr fontId="3"/>
  </si>
  <si>
    <r>
      <rPr>
        <sz val="10"/>
        <rFont val="ＭＳ Ｐゴシック"/>
        <family val="3"/>
        <charset val="128"/>
      </rPr>
      <t>死者数</t>
    </r>
    <rPh sb="0" eb="1">
      <t>シ</t>
    </rPh>
    <rPh sb="1" eb="2">
      <t>シャ</t>
    </rPh>
    <rPh sb="2" eb="3">
      <t>スウ</t>
    </rPh>
    <phoneticPr fontId="3"/>
  </si>
  <si>
    <r>
      <rPr>
        <sz val="10"/>
        <rFont val="ＭＳ Ｐゴシック"/>
        <family val="3"/>
        <charset val="128"/>
      </rPr>
      <t>負傷者数</t>
    </r>
    <rPh sb="0" eb="3">
      <t>フショウシャ</t>
    </rPh>
    <rPh sb="3" eb="4">
      <t>カズ</t>
    </rPh>
    <phoneticPr fontId="3"/>
  </si>
  <si>
    <t>７０～
７４歳</t>
    <phoneticPr fontId="3"/>
  </si>
  <si>
    <r>
      <rPr>
        <sz val="10"/>
        <rFont val="ＭＳ Ｐゴシック"/>
        <family val="3"/>
        <charset val="128"/>
      </rPr>
      <t>死者数</t>
    </r>
  </si>
  <si>
    <r>
      <rPr>
        <sz val="10"/>
        <rFont val="ＭＳ Ｐゴシック"/>
        <family val="3"/>
        <charset val="128"/>
      </rPr>
      <t>負傷者数</t>
    </r>
  </si>
  <si>
    <t>７５～
７９歳</t>
    <phoneticPr fontId="3"/>
  </si>
  <si>
    <t>８０～
８４歳</t>
    <phoneticPr fontId="3"/>
  </si>
  <si>
    <t>８５歳
以上</t>
    <rPh sb="2" eb="3">
      <t>サイ</t>
    </rPh>
    <phoneticPr fontId="3"/>
  </si>
  <si>
    <t>府内
全域</t>
    <rPh sb="0" eb="2">
      <t>フナイ</t>
    </rPh>
    <phoneticPr fontId="3"/>
  </si>
  <si>
    <r>
      <t>(</t>
    </r>
    <r>
      <rPr>
        <sz val="11"/>
        <rFont val="ＭＳ Ｐゴシック"/>
        <family val="3"/>
        <charset val="128"/>
      </rPr>
      <t>注</t>
    </r>
    <r>
      <rPr>
        <sz val="11"/>
        <rFont val="Arial"/>
        <family val="2"/>
      </rPr>
      <t>)</t>
    </r>
    <r>
      <rPr>
        <sz val="11"/>
        <rFont val="ＭＳ Ｐゴシック"/>
        <family val="3"/>
        <charset val="128"/>
      </rPr>
      <t>高齢者自身の死傷者数を計上。</t>
    </r>
  </si>
  <si>
    <r>
      <rPr>
        <sz val="12"/>
        <rFont val="ＭＳ Ｐゴシック"/>
        <family val="3"/>
        <charset val="128"/>
      </rPr>
      <t>行政区別・状態別（高齢者）</t>
    </r>
    <rPh sb="0" eb="2">
      <t>ギョウセイ</t>
    </rPh>
    <rPh sb="2" eb="3">
      <t>ク</t>
    </rPh>
    <rPh sb="3" eb="4">
      <t>ベツ</t>
    </rPh>
    <rPh sb="5" eb="7">
      <t>ジョウタイ</t>
    </rPh>
    <rPh sb="7" eb="8">
      <t>ベツ</t>
    </rPh>
    <rPh sb="9" eb="12">
      <t>コウレイシャ</t>
    </rPh>
    <phoneticPr fontId="3"/>
  </si>
  <si>
    <r>
      <rPr>
        <sz val="7"/>
        <rFont val="ＭＳ Ｐゴシック"/>
        <family val="3"/>
        <charset val="128"/>
      </rPr>
      <t>区分</t>
    </r>
    <rPh sb="0" eb="2">
      <t>クブン</t>
    </rPh>
    <phoneticPr fontId="3"/>
  </si>
  <si>
    <r>
      <rPr>
        <sz val="11"/>
        <rFont val="ＭＳ Ｐゴシック"/>
        <family val="3"/>
        <charset val="128"/>
      </rPr>
      <t>死傷者数</t>
    </r>
    <rPh sb="0" eb="1">
      <t>シ</t>
    </rPh>
    <rPh sb="1" eb="2">
      <t>キズ</t>
    </rPh>
    <rPh sb="2" eb="3">
      <t>モノ</t>
    </rPh>
    <rPh sb="3" eb="4">
      <t>スウ</t>
    </rPh>
    <phoneticPr fontId="3"/>
  </si>
  <si>
    <r>
      <rPr>
        <sz val="11"/>
        <rFont val="ＭＳ Ｐゴシック"/>
        <family val="3"/>
        <charset val="128"/>
      </rPr>
      <t>内　　　　　　　　　　訳</t>
    </r>
    <rPh sb="0" eb="1">
      <t>ウチ</t>
    </rPh>
    <rPh sb="11" eb="12">
      <t>ヤク</t>
    </rPh>
    <phoneticPr fontId="3"/>
  </si>
  <si>
    <r>
      <rPr>
        <sz val="11"/>
        <rFont val="ＭＳ Ｐゴシック"/>
        <family val="3"/>
        <charset val="128"/>
      </rPr>
      <t>歩行中</t>
    </r>
    <rPh sb="0" eb="3">
      <t>ホコウチュウ</t>
    </rPh>
    <phoneticPr fontId="3"/>
  </si>
  <si>
    <r>
      <rPr>
        <sz val="11"/>
        <rFont val="ＭＳ Ｐゴシック"/>
        <family val="3"/>
        <charset val="128"/>
      </rPr>
      <t>自転車乗用中</t>
    </r>
    <rPh sb="0" eb="3">
      <t>ジテンシャ</t>
    </rPh>
    <rPh sb="3" eb="5">
      <t>ジョウヨウ</t>
    </rPh>
    <rPh sb="5" eb="6">
      <t>ジュウ</t>
    </rPh>
    <phoneticPr fontId="3"/>
  </si>
  <si>
    <r>
      <rPr>
        <sz val="11"/>
        <rFont val="ＭＳ Ｐゴシック"/>
        <family val="3"/>
        <charset val="128"/>
      </rPr>
      <t>二輪車乗車中</t>
    </r>
    <rPh sb="0" eb="3">
      <t>ニリンシャ</t>
    </rPh>
    <rPh sb="3" eb="5">
      <t>ジョウシャ</t>
    </rPh>
    <rPh sb="5" eb="6">
      <t>チュウ</t>
    </rPh>
    <phoneticPr fontId="3"/>
  </si>
  <si>
    <r>
      <rPr>
        <sz val="9"/>
        <rFont val="ＭＳ Ｐゴシック"/>
        <family val="3"/>
        <charset val="128"/>
      </rPr>
      <t>自動車等乗車中</t>
    </r>
    <rPh sb="0" eb="3">
      <t>ジドウシャ</t>
    </rPh>
    <rPh sb="3" eb="4">
      <t>トウ</t>
    </rPh>
    <rPh sb="4" eb="6">
      <t>ジョウシャ</t>
    </rPh>
    <rPh sb="6" eb="7">
      <t>チュウ</t>
    </rPh>
    <phoneticPr fontId="3"/>
  </si>
  <si>
    <r>
      <rPr>
        <sz val="7"/>
        <rFont val="ＭＳ Ｐゴシック"/>
        <family val="3"/>
        <charset val="128"/>
      </rPr>
      <t>行政区別</t>
    </r>
    <rPh sb="0" eb="2">
      <t>ギョウセイ</t>
    </rPh>
    <rPh sb="2" eb="3">
      <t>ク</t>
    </rPh>
    <rPh sb="3" eb="4">
      <t>ベツ</t>
    </rPh>
    <phoneticPr fontId="3"/>
  </si>
  <si>
    <r>
      <rPr>
        <sz val="9"/>
        <rFont val="ＭＳ Ｐゴシック"/>
        <family val="3"/>
        <charset val="128"/>
      </rPr>
      <t>死者数</t>
    </r>
    <rPh sb="0" eb="1">
      <t>シ</t>
    </rPh>
    <rPh sb="1" eb="2">
      <t>シャ</t>
    </rPh>
    <rPh sb="2" eb="3">
      <t>スウ</t>
    </rPh>
    <phoneticPr fontId="3"/>
  </si>
  <si>
    <r>
      <rPr>
        <sz val="9"/>
        <rFont val="ＭＳ Ｐゴシック"/>
        <family val="3"/>
        <charset val="128"/>
      </rPr>
      <t>負傷者数</t>
    </r>
    <rPh sb="0" eb="3">
      <t>フショウシャ</t>
    </rPh>
    <rPh sb="3" eb="4">
      <t>スウ</t>
    </rPh>
    <phoneticPr fontId="3"/>
  </si>
  <si>
    <r>
      <rPr>
        <sz val="11"/>
        <rFont val="ＭＳ Ｐゴシック"/>
        <family val="3"/>
        <charset val="128"/>
      </rPr>
      <t>大正</t>
    </r>
    <rPh sb="0" eb="2">
      <t>タイショウ</t>
    </rPh>
    <phoneticPr fontId="3"/>
  </si>
  <si>
    <r>
      <rPr>
        <sz val="11"/>
        <rFont val="ＭＳ Ｐゴシック"/>
        <family val="3"/>
        <charset val="128"/>
      </rPr>
      <t>西淀川</t>
    </r>
    <rPh sb="0" eb="1">
      <t>ニシ</t>
    </rPh>
    <rPh sb="1" eb="3">
      <t>ヨドガワ</t>
    </rPh>
    <phoneticPr fontId="3"/>
  </si>
  <si>
    <r>
      <rPr>
        <sz val="11"/>
        <rFont val="ＭＳ Ｐゴシック"/>
        <family val="3"/>
        <charset val="128"/>
      </rPr>
      <t>東淀川</t>
    </r>
    <rPh sb="0" eb="1">
      <t>ヒガシ</t>
    </rPh>
    <rPh sb="1" eb="3">
      <t>ヨドガワ</t>
    </rPh>
    <phoneticPr fontId="3"/>
  </si>
  <si>
    <r>
      <rPr>
        <sz val="11"/>
        <rFont val="ＭＳ Ｐゴシック"/>
        <family val="3"/>
        <charset val="128"/>
      </rPr>
      <t>東住吉</t>
    </r>
    <rPh sb="0" eb="1">
      <t>ヒガシ</t>
    </rPh>
    <rPh sb="1" eb="3">
      <t>スミヨシ</t>
    </rPh>
    <phoneticPr fontId="3"/>
  </si>
  <si>
    <r>
      <rPr>
        <sz val="11"/>
        <rFont val="ＭＳ Ｐゴシック"/>
        <family val="3"/>
        <charset val="128"/>
      </rPr>
      <t>総数</t>
    </r>
    <rPh sb="0" eb="1">
      <t>フサ</t>
    </rPh>
    <rPh sb="1" eb="2">
      <t>カズ</t>
    </rPh>
    <phoneticPr fontId="3"/>
  </si>
  <si>
    <r>
      <rPr>
        <sz val="11"/>
        <rFont val="ＭＳ Ｐゴシック"/>
        <family val="3"/>
        <charset val="128"/>
      </rPr>
      <t>高齢者自身の死傷者数を計上。</t>
    </r>
    <rPh sb="0" eb="3">
      <t>コウレイシャ</t>
    </rPh>
    <rPh sb="3" eb="5">
      <t>ジシン</t>
    </rPh>
    <rPh sb="6" eb="9">
      <t>シショウシャ</t>
    </rPh>
    <rPh sb="9" eb="10">
      <t>スウ</t>
    </rPh>
    <rPh sb="11" eb="13">
      <t>ケイジョウ</t>
    </rPh>
    <phoneticPr fontId="3"/>
  </si>
  <si>
    <r>
      <rPr>
        <sz val="12"/>
        <rFont val="ＭＳ Ｐゴシック"/>
        <family val="3"/>
        <charset val="128"/>
      </rPr>
      <t>法令違反別発生状況（高齢者）</t>
    </r>
    <rPh sb="0" eb="2">
      <t>ホウレイ</t>
    </rPh>
    <rPh sb="2" eb="4">
      <t>イハン</t>
    </rPh>
    <rPh sb="4" eb="5">
      <t>ベツ</t>
    </rPh>
    <rPh sb="5" eb="7">
      <t>ハッセイ</t>
    </rPh>
    <rPh sb="7" eb="9">
      <t>ジョウキョウ</t>
    </rPh>
    <rPh sb="10" eb="13">
      <t>コウレイシャ</t>
    </rPh>
    <phoneticPr fontId="3"/>
  </si>
  <si>
    <t>　　　　　　　　　　　　　　　　　　　　　　　区分
違反</t>
    <rPh sb="23" eb="25">
      <t>クブン</t>
    </rPh>
    <rPh sb="26" eb="28">
      <t>イハン</t>
    </rPh>
    <phoneticPr fontId="3"/>
  </si>
  <si>
    <r>
      <rPr>
        <sz val="11"/>
        <rFont val="ＭＳ Ｐゴシック"/>
        <family val="3"/>
        <charset val="128"/>
      </rPr>
      <t>件数（件）</t>
    </r>
    <rPh sb="0" eb="2">
      <t>ケンスウ</t>
    </rPh>
    <phoneticPr fontId="3"/>
  </si>
  <si>
    <r>
      <rPr>
        <sz val="11"/>
        <color indexed="8"/>
        <rFont val="ＭＳ Ｐゴシック"/>
        <family val="3"/>
        <charset val="128"/>
      </rPr>
      <t>死者数（人）</t>
    </r>
    <rPh sb="0" eb="2">
      <t>シシャ</t>
    </rPh>
    <rPh sb="2" eb="3">
      <t>スウ</t>
    </rPh>
    <phoneticPr fontId="3"/>
  </si>
  <si>
    <r>
      <rPr>
        <sz val="11"/>
        <color indexed="8"/>
        <rFont val="ＭＳ Ｐゴシック"/>
        <family val="3"/>
        <charset val="128"/>
      </rPr>
      <t>負傷者数（人）</t>
    </r>
    <rPh sb="0" eb="1">
      <t>フ</t>
    </rPh>
    <rPh sb="1" eb="3">
      <t>ショウシャ</t>
    </rPh>
    <rPh sb="3" eb="4">
      <t>スウ</t>
    </rPh>
    <phoneticPr fontId="3"/>
  </si>
  <si>
    <r>
      <rPr>
        <sz val="11"/>
        <rFont val="ＭＳ Ｐゴシック"/>
        <family val="3"/>
        <charset val="128"/>
      </rPr>
      <t>横断</t>
    </r>
    <rPh sb="0" eb="2">
      <t>オウダン</t>
    </rPh>
    <phoneticPr fontId="3"/>
  </si>
  <si>
    <r>
      <rPr>
        <sz val="11"/>
        <rFont val="ＭＳ Ｐゴシック"/>
        <family val="3"/>
        <charset val="128"/>
      </rPr>
      <t>横断歩道外横断</t>
    </r>
    <rPh sb="0" eb="2">
      <t>オウダン</t>
    </rPh>
    <rPh sb="2" eb="4">
      <t>ホドウ</t>
    </rPh>
    <rPh sb="4" eb="5">
      <t>ガイ</t>
    </rPh>
    <rPh sb="5" eb="7">
      <t>オウダン</t>
    </rPh>
    <phoneticPr fontId="3"/>
  </si>
  <si>
    <r>
      <rPr>
        <sz val="11"/>
        <rFont val="ＭＳ Ｐゴシック"/>
        <family val="3"/>
        <charset val="128"/>
      </rPr>
      <t>斜め横断</t>
    </r>
    <phoneticPr fontId="3"/>
  </si>
  <si>
    <r>
      <rPr>
        <sz val="11"/>
        <rFont val="ＭＳ Ｐゴシック"/>
        <family val="3"/>
        <charset val="128"/>
      </rPr>
      <t>駐停車車両の直前直後横断</t>
    </r>
    <rPh sb="0" eb="3">
      <t>チュウテイシャ</t>
    </rPh>
    <rPh sb="3" eb="5">
      <t>シャリョウ</t>
    </rPh>
    <rPh sb="6" eb="8">
      <t>チョクゼン</t>
    </rPh>
    <rPh sb="8" eb="10">
      <t>チョクゴ</t>
    </rPh>
    <rPh sb="10" eb="12">
      <t>オウダン</t>
    </rPh>
    <phoneticPr fontId="3"/>
  </si>
  <si>
    <r>
      <rPr>
        <sz val="11"/>
        <rFont val="ＭＳ Ｐゴシック"/>
        <family val="3"/>
        <charset val="128"/>
      </rPr>
      <t>走行車両の直前直後横断</t>
    </r>
    <rPh sb="0" eb="2">
      <t>ソウコウ</t>
    </rPh>
    <rPh sb="2" eb="4">
      <t>シャリョウ</t>
    </rPh>
    <rPh sb="5" eb="7">
      <t>チョクゼン</t>
    </rPh>
    <rPh sb="7" eb="9">
      <t>チョクゴ</t>
    </rPh>
    <rPh sb="9" eb="11">
      <t>オウダン</t>
    </rPh>
    <phoneticPr fontId="3"/>
  </si>
  <si>
    <r>
      <rPr>
        <sz val="11"/>
        <rFont val="ＭＳ Ｐゴシック"/>
        <family val="3"/>
        <charset val="128"/>
      </rPr>
      <t>横断禁止場所横断</t>
    </r>
    <rPh sb="0" eb="2">
      <t>オウダン</t>
    </rPh>
    <rPh sb="2" eb="4">
      <t>キンシ</t>
    </rPh>
    <rPh sb="4" eb="6">
      <t>バショ</t>
    </rPh>
    <rPh sb="6" eb="8">
      <t>オウダン</t>
    </rPh>
    <phoneticPr fontId="3"/>
  </si>
  <si>
    <r>
      <rPr>
        <sz val="11"/>
        <rFont val="ＭＳ Ｐゴシック"/>
        <family val="3"/>
        <charset val="128"/>
      </rPr>
      <t>中</t>
    </r>
    <rPh sb="0" eb="1">
      <t>ナカ</t>
    </rPh>
    <phoneticPr fontId="3"/>
  </si>
  <si>
    <r>
      <rPr>
        <sz val="11"/>
        <rFont val="ＭＳ Ｐゴシック"/>
        <family val="3"/>
        <charset val="128"/>
      </rPr>
      <t>踏切不注意</t>
    </r>
    <rPh sb="0" eb="2">
      <t>フミキリ</t>
    </rPh>
    <rPh sb="2" eb="5">
      <t>フチュウイ</t>
    </rPh>
    <phoneticPr fontId="3"/>
  </si>
  <si>
    <r>
      <rPr>
        <sz val="11"/>
        <rFont val="ＭＳ Ｐゴシック"/>
        <family val="3"/>
        <charset val="128"/>
      </rPr>
      <t>自</t>
    </r>
    <rPh sb="0" eb="1">
      <t>ジ</t>
    </rPh>
    <phoneticPr fontId="3"/>
  </si>
  <si>
    <r>
      <rPr>
        <sz val="11"/>
        <rFont val="ＭＳ Ｐゴシック"/>
        <family val="3"/>
        <charset val="128"/>
      </rPr>
      <t>転</t>
    </r>
    <rPh sb="0" eb="1">
      <t>テン</t>
    </rPh>
    <phoneticPr fontId="3"/>
  </si>
  <si>
    <r>
      <rPr>
        <sz val="11"/>
        <rFont val="ＭＳ Ｐゴシック"/>
        <family val="3"/>
        <charset val="128"/>
      </rPr>
      <t>横断・転回禁止違反</t>
    </r>
    <rPh sb="0" eb="2">
      <t>オウダン</t>
    </rPh>
    <rPh sb="3" eb="5">
      <t>テンカイ</t>
    </rPh>
    <rPh sb="5" eb="7">
      <t>キンシ</t>
    </rPh>
    <rPh sb="7" eb="9">
      <t>イハン</t>
    </rPh>
    <phoneticPr fontId="3"/>
  </si>
  <si>
    <r>
      <rPr>
        <sz val="11"/>
        <rFont val="ＭＳ Ｐゴシック"/>
        <family val="3"/>
        <charset val="128"/>
      </rPr>
      <t>踏切不停止等</t>
    </r>
    <rPh sb="0" eb="2">
      <t>フミキリ</t>
    </rPh>
    <rPh sb="2" eb="3">
      <t>フ</t>
    </rPh>
    <rPh sb="3" eb="5">
      <t>テイシ</t>
    </rPh>
    <rPh sb="5" eb="6">
      <t>ナド</t>
    </rPh>
    <phoneticPr fontId="3"/>
  </si>
  <si>
    <r>
      <rPr>
        <sz val="11"/>
        <rFont val="ＭＳ Ｐゴシック"/>
        <family val="3"/>
        <charset val="128"/>
      </rPr>
      <t>乗</t>
    </r>
    <rPh sb="0" eb="1">
      <t>ジョウ</t>
    </rPh>
    <phoneticPr fontId="3"/>
  </si>
  <si>
    <r>
      <rPr>
        <sz val="11"/>
        <rFont val="ＭＳ Ｐゴシック"/>
        <family val="3"/>
        <charset val="128"/>
      </rPr>
      <t>右折違反</t>
    </r>
    <rPh sb="0" eb="2">
      <t>ウセツ</t>
    </rPh>
    <rPh sb="2" eb="4">
      <t>イハン</t>
    </rPh>
    <phoneticPr fontId="3"/>
  </si>
  <si>
    <r>
      <rPr>
        <sz val="11"/>
        <rFont val="ＭＳ Ｐゴシック"/>
        <family val="3"/>
        <charset val="128"/>
      </rPr>
      <t>用</t>
    </r>
    <rPh sb="0" eb="1">
      <t>ヨウ</t>
    </rPh>
    <phoneticPr fontId="3"/>
  </si>
  <si>
    <r>
      <rPr>
        <sz val="11"/>
        <rFont val="ＭＳ Ｐゴシック"/>
        <family val="3"/>
        <charset val="128"/>
      </rPr>
      <t>左折違反</t>
    </r>
    <rPh sb="0" eb="2">
      <t>サセツ</t>
    </rPh>
    <rPh sb="2" eb="4">
      <t>イハン</t>
    </rPh>
    <phoneticPr fontId="3"/>
  </si>
  <si>
    <r>
      <rPr>
        <sz val="11"/>
        <rFont val="ＭＳ Ｐゴシック"/>
        <family val="3"/>
        <charset val="128"/>
      </rPr>
      <t>ハンドル・ブレーキ等操作不適</t>
    </r>
    <rPh sb="9" eb="10">
      <t>トウ</t>
    </rPh>
    <rPh sb="10" eb="12">
      <t>ソウサ</t>
    </rPh>
    <rPh sb="12" eb="14">
      <t>フテキ</t>
    </rPh>
    <phoneticPr fontId="3"/>
  </si>
  <si>
    <r>
      <rPr>
        <sz val="11"/>
        <rFont val="ＭＳ Ｐゴシック"/>
        <family val="3"/>
        <charset val="128"/>
      </rPr>
      <t>自動車・二輪乗車中等</t>
    </r>
    <rPh sb="0" eb="3">
      <t>ジドウシャ</t>
    </rPh>
    <rPh sb="4" eb="6">
      <t>ニリン</t>
    </rPh>
    <rPh sb="6" eb="8">
      <t>ジョウシャ</t>
    </rPh>
    <rPh sb="8" eb="9">
      <t>チュウ</t>
    </rPh>
    <rPh sb="9" eb="10">
      <t>トウ</t>
    </rPh>
    <phoneticPr fontId="3"/>
  </si>
  <si>
    <r>
      <rPr>
        <sz val="11"/>
        <rFont val="ＭＳ Ｐゴシック"/>
        <family val="3"/>
        <charset val="128"/>
      </rPr>
      <t>高齢者が１当になったときの違反と、その事故により生じた全死傷者数を計上。</t>
    </r>
    <phoneticPr fontId="3"/>
  </si>
  <si>
    <r>
      <t xml:space="preserve"> </t>
    </r>
    <r>
      <rPr>
        <sz val="12"/>
        <rFont val="ＭＳ Ｐゴシック"/>
        <family val="3"/>
        <charset val="128"/>
      </rPr>
      <t>（３）子どもの事故</t>
    </r>
    <rPh sb="4" eb="5">
      <t>コ</t>
    </rPh>
    <rPh sb="8" eb="10">
      <t>ジコ</t>
    </rPh>
    <phoneticPr fontId="3"/>
  </si>
  <si>
    <r>
      <rPr>
        <sz val="12"/>
        <rFont val="ＭＳ Ｐゴシック"/>
        <family val="3"/>
        <charset val="128"/>
      </rPr>
      <t>　</t>
    </r>
    <r>
      <rPr>
        <sz val="12"/>
        <rFont val="Arial"/>
        <family val="2"/>
      </rPr>
      <t xml:space="preserve"> </t>
    </r>
    <r>
      <rPr>
        <sz val="12"/>
        <rFont val="ＭＳ Ｐゴシック"/>
        <family val="3"/>
        <charset val="128"/>
      </rPr>
      <t>子どもの交通事故の推移</t>
    </r>
    <rPh sb="2" eb="3">
      <t>コ</t>
    </rPh>
    <rPh sb="6" eb="8">
      <t>コウツウ</t>
    </rPh>
    <rPh sb="8" eb="10">
      <t>ジコ</t>
    </rPh>
    <rPh sb="11" eb="13">
      <t>スイイ</t>
    </rPh>
    <phoneticPr fontId="3"/>
  </si>
  <si>
    <t>令和２</t>
  </si>
  <si>
    <r>
      <rPr>
        <sz val="8"/>
        <rFont val="ＭＳ 明朝"/>
        <family val="1"/>
        <charset val="128"/>
      </rPr>
      <t>月別</t>
    </r>
    <rPh sb="0" eb="1">
      <t>ツキ</t>
    </rPh>
    <rPh sb="1" eb="2">
      <t>ベツ</t>
    </rPh>
    <phoneticPr fontId="3"/>
  </si>
  <si>
    <r>
      <rPr>
        <sz val="11"/>
        <rFont val="ＭＳ 明朝"/>
        <family val="1"/>
        <charset val="128"/>
      </rPr>
      <t>計</t>
    </r>
    <rPh sb="0" eb="1">
      <t>ケイ</t>
    </rPh>
    <phoneticPr fontId="3"/>
  </si>
  <si>
    <r>
      <rPr>
        <sz val="8"/>
        <rFont val="ＭＳ 明朝"/>
        <family val="1"/>
        <charset val="128"/>
      </rPr>
      <t>年齢別</t>
    </r>
    <rPh sb="0" eb="2">
      <t>ネンレイ</t>
    </rPh>
    <rPh sb="2" eb="3">
      <t>ベツ</t>
    </rPh>
    <phoneticPr fontId="3"/>
  </si>
  <si>
    <r>
      <rPr>
        <sz val="11"/>
        <rFont val="ＭＳ 明朝"/>
        <family val="1"/>
        <charset val="128"/>
      </rPr>
      <t>１歳</t>
    </r>
    <rPh sb="1" eb="2">
      <t>サイ</t>
    </rPh>
    <phoneticPr fontId="3"/>
  </si>
  <si>
    <r>
      <rPr>
        <sz val="11"/>
        <rFont val="ＭＳ 明朝"/>
        <family val="1"/>
        <charset val="128"/>
      </rPr>
      <t>死</t>
    </r>
    <rPh sb="0" eb="1">
      <t>シ</t>
    </rPh>
    <phoneticPr fontId="3"/>
  </si>
  <si>
    <r>
      <rPr>
        <sz val="11"/>
        <rFont val="ＭＳ 明朝"/>
        <family val="1"/>
        <charset val="128"/>
      </rPr>
      <t>２歳</t>
    </r>
    <rPh sb="1" eb="2">
      <t>サイ</t>
    </rPh>
    <phoneticPr fontId="3"/>
  </si>
  <si>
    <t>-</t>
  </si>
  <si>
    <r>
      <rPr>
        <sz val="11"/>
        <rFont val="ＭＳ 明朝"/>
        <family val="1"/>
        <charset val="128"/>
      </rPr>
      <t>３歳</t>
    </r>
    <rPh sb="1" eb="2">
      <t>サイ</t>
    </rPh>
    <phoneticPr fontId="3"/>
  </si>
  <si>
    <r>
      <rPr>
        <sz val="11"/>
        <rFont val="ＭＳ 明朝"/>
        <family val="1"/>
        <charset val="128"/>
      </rPr>
      <t>４歳</t>
    </r>
    <rPh sb="1" eb="2">
      <t>サイ</t>
    </rPh>
    <phoneticPr fontId="3"/>
  </si>
  <si>
    <r>
      <rPr>
        <sz val="11"/>
        <rFont val="ＭＳ 明朝"/>
        <family val="1"/>
        <charset val="128"/>
      </rPr>
      <t>５歳</t>
    </r>
    <rPh sb="1" eb="2">
      <t>サイ</t>
    </rPh>
    <phoneticPr fontId="3"/>
  </si>
  <si>
    <r>
      <t>(</t>
    </r>
    <r>
      <rPr>
        <sz val="10"/>
        <rFont val="ＭＳ Ｐゴシック"/>
        <family val="3"/>
        <charset val="128"/>
      </rPr>
      <t>注</t>
    </r>
    <r>
      <rPr>
        <sz val="10"/>
        <rFont val="Arial"/>
        <family val="2"/>
      </rPr>
      <t>)</t>
    </r>
    <r>
      <rPr>
        <sz val="10"/>
        <rFont val="ＭＳ Ｐゴシック"/>
        <family val="3"/>
        <charset val="128"/>
      </rPr>
      <t xml:space="preserve">子ども自身の死傷者数を計上。
</t>
    </r>
    <r>
      <rPr>
        <sz val="10"/>
        <rFont val="Arial"/>
        <family val="2"/>
      </rPr>
      <t>(</t>
    </r>
    <r>
      <rPr>
        <sz val="10"/>
        <rFont val="ＭＳ Ｐゴシック"/>
        <family val="3"/>
        <charset val="128"/>
      </rPr>
      <t>注</t>
    </r>
    <r>
      <rPr>
        <sz val="10"/>
        <rFont val="Arial"/>
        <family val="2"/>
      </rPr>
      <t>)</t>
    </r>
    <r>
      <rPr>
        <sz val="10"/>
        <rFont val="ＭＳ Ｐゴシック"/>
        <family val="3"/>
        <charset val="128"/>
      </rPr>
      <t>昭和</t>
    </r>
    <r>
      <rPr>
        <sz val="10"/>
        <rFont val="Arial"/>
        <family val="2"/>
      </rPr>
      <t>4</t>
    </r>
    <r>
      <rPr>
        <sz val="10"/>
        <rFont val="ＭＳ Ｐゴシック"/>
        <family val="3"/>
        <charset val="128"/>
      </rPr>
      <t>５年～平成</t>
    </r>
    <r>
      <rPr>
        <sz val="10"/>
        <rFont val="Arial"/>
        <family val="2"/>
      </rPr>
      <t>29</t>
    </r>
    <r>
      <rPr>
        <sz val="10"/>
        <rFont val="ＭＳ Ｐゴシック"/>
        <family val="3"/>
        <charset val="128"/>
      </rPr>
      <t>年は、「内重傷者数（人）」の記録なし。</t>
    </r>
    <rPh sb="1" eb="2">
      <t>チュウ</t>
    </rPh>
    <phoneticPr fontId="3"/>
  </si>
  <si>
    <r>
      <rPr>
        <sz val="11"/>
        <rFont val="ＭＳ 明朝"/>
        <family val="1"/>
        <charset val="128"/>
      </rPr>
      <t>６歳</t>
    </r>
    <rPh sb="1" eb="2">
      <t>サイ</t>
    </rPh>
    <phoneticPr fontId="3"/>
  </si>
  <si>
    <r>
      <rPr>
        <sz val="11"/>
        <rFont val="ＭＳ 明朝"/>
        <family val="1"/>
        <charset val="128"/>
      </rPr>
      <t>７歳</t>
    </r>
    <rPh sb="1" eb="2">
      <t>サイ</t>
    </rPh>
    <phoneticPr fontId="3"/>
  </si>
  <si>
    <r>
      <rPr>
        <sz val="11"/>
        <rFont val="ＭＳ 明朝"/>
        <family val="1"/>
        <charset val="128"/>
      </rPr>
      <t>８歳</t>
    </r>
    <rPh sb="1" eb="2">
      <t>サイ</t>
    </rPh>
    <phoneticPr fontId="3"/>
  </si>
  <si>
    <r>
      <rPr>
        <sz val="11"/>
        <rFont val="ＭＳ 明朝"/>
        <family val="1"/>
        <charset val="128"/>
      </rPr>
      <t>９歳</t>
    </r>
    <rPh sb="1" eb="2">
      <t>サイ</t>
    </rPh>
    <phoneticPr fontId="3"/>
  </si>
  <si>
    <r>
      <rPr>
        <sz val="11"/>
        <rFont val="ＭＳ 明朝"/>
        <family val="1"/>
        <charset val="128"/>
      </rPr>
      <t>１０歳</t>
    </r>
    <rPh sb="2" eb="3">
      <t>サイ</t>
    </rPh>
    <phoneticPr fontId="3"/>
  </si>
  <si>
    <r>
      <rPr>
        <sz val="11"/>
        <rFont val="ＭＳ 明朝"/>
        <family val="1"/>
        <charset val="128"/>
      </rPr>
      <t>１１歳</t>
    </r>
    <rPh sb="2" eb="3">
      <t>サイ</t>
    </rPh>
    <phoneticPr fontId="3"/>
  </si>
  <si>
    <r>
      <rPr>
        <sz val="11"/>
        <rFont val="ＭＳ 明朝"/>
        <family val="1"/>
        <charset val="128"/>
      </rPr>
      <t>１２歳</t>
    </r>
    <rPh sb="2" eb="3">
      <t>サイ</t>
    </rPh>
    <phoneticPr fontId="3"/>
  </si>
  <si>
    <r>
      <rPr>
        <sz val="11"/>
        <rFont val="ＭＳ 明朝"/>
        <family val="1"/>
        <charset val="128"/>
      </rPr>
      <t>１３歳</t>
    </r>
    <rPh sb="2" eb="3">
      <t>サイ</t>
    </rPh>
    <phoneticPr fontId="3"/>
  </si>
  <si>
    <r>
      <rPr>
        <sz val="11"/>
        <rFont val="ＭＳ 明朝"/>
        <family val="1"/>
        <charset val="128"/>
      </rPr>
      <t>１４歳</t>
    </r>
    <rPh sb="2" eb="3">
      <t>サイ</t>
    </rPh>
    <phoneticPr fontId="3"/>
  </si>
  <si>
    <r>
      <rPr>
        <sz val="11"/>
        <rFont val="ＭＳ 明朝"/>
        <family val="1"/>
        <charset val="128"/>
      </rPr>
      <t>１５歳</t>
    </r>
    <rPh sb="2" eb="3">
      <t>サイ</t>
    </rPh>
    <phoneticPr fontId="3"/>
  </si>
  <si>
    <r>
      <rPr>
        <sz val="11"/>
        <rFont val="ＭＳ 明朝"/>
        <family val="1"/>
        <charset val="128"/>
      </rPr>
      <t>合計</t>
    </r>
    <rPh sb="0" eb="2">
      <t>ゴウケイ</t>
    </rPh>
    <phoneticPr fontId="3"/>
  </si>
  <si>
    <r>
      <rPr>
        <sz val="11"/>
        <rFont val="ＭＳ 明朝"/>
        <family val="1"/>
        <charset val="128"/>
      </rPr>
      <t>傷</t>
    </r>
    <rPh sb="0" eb="1">
      <t>キズ</t>
    </rPh>
    <phoneticPr fontId="3"/>
  </si>
  <si>
    <r>
      <rPr>
        <sz val="12"/>
        <rFont val="ＭＳ Ｐゴシック"/>
        <family val="3"/>
        <charset val="128"/>
      </rPr>
      <t>年齢別・月別　（１５歳以下）</t>
    </r>
    <rPh sb="0" eb="2">
      <t>ネンレイ</t>
    </rPh>
    <rPh sb="2" eb="3">
      <t>ベツ</t>
    </rPh>
    <rPh sb="4" eb="5">
      <t>ツキ</t>
    </rPh>
    <rPh sb="5" eb="6">
      <t>ベツ</t>
    </rPh>
    <rPh sb="10" eb="11">
      <t>サイ</t>
    </rPh>
    <rPh sb="11" eb="13">
      <t>イカ</t>
    </rPh>
    <phoneticPr fontId="3"/>
  </si>
  <si>
    <t>１歳
以下</t>
    <rPh sb="1" eb="2">
      <t>サイ</t>
    </rPh>
    <phoneticPr fontId="3"/>
  </si>
  <si>
    <r>
      <rPr>
        <sz val="11"/>
        <rFont val="ＭＳ Ｐゴシック"/>
        <family val="3"/>
        <charset val="128"/>
      </rPr>
      <t>死者数</t>
    </r>
    <rPh sb="0" eb="1">
      <t>シ</t>
    </rPh>
    <rPh sb="1" eb="2">
      <t>モノ</t>
    </rPh>
    <rPh sb="2" eb="3">
      <t>スウ</t>
    </rPh>
    <phoneticPr fontId="3"/>
  </si>
  <si>
    <r>
      <rPr>
        <sz val="11"/>
        <rFont val="ＭＳ Ｐゴシック"/>
        <family val="3"/>
        <charset val="128"/>
      </rPr>
      <t>負傷者数</t>
    </r>
    <rPh sb="0" eb="3">
      <t>フショウシャ</t>
    </rPh>
    <rPh sb="3" eb="4">
      <t>カズ</t>
    </rPh>
    <phoneticPr fontId="3"/>
  </si>
  <si>
    <r>
      <rPr>
        <sz val="11"/>
        <rFont val="ＭＳ Ｐゴシック"/>
        <family val="3"/>
        <charset val="128"/>
      </rPr>
      <t>２歳</t>
    </r>
    <rPh sb="1" eb="2">
      <t>サイ</t>
    </rPh>
    <phoneticPr fontId="3"/>
  </si>
  <si>
    <r>
      <rPr>
        <sz val="11"/>
        <rFont val="ＭＳ Ｐゴシック"/>
        <family val="3"/>
        <charset val="128"/>
      </rPr>
      <t>３歳</t>
    </r>
    <rPh sb="1" eb="2">
      <t>サイ</t>
    </rPh>
    <phoneticPr fontId="3"/>
  </si>
  <si>
    <r>
      <rPr>
        <sz val="11"/>
        <rFont val="ＭＳ Ｐゴシック"/>
        <family val="3"/>
        <charset val="128"/>
      </rPr>
      <t>４歳</t>
    </r>
    <rPh sb="1" eb="2">
      <t>サイ</t>
    </rPh>
    <phoneticPr fontId="3"/>
  </si>
  <si>
    <r>
      <rPr>
        <sz val="11"/>
        <rFont val="ＭＳ Ｐゴシック"/>
        <family val="3"/>
        <charset val="128"/>
      </rPr>
      <t>５歳</t>
    </r>
    <rPh sb="1" eb="2">
      <t>サイ</t>
    </rPh>
    <phoneticPr fontId="3"/>
  </si>
  <si>
    <r>
      <rPr>
        <sz val="11"/>
        <rFont val="ＭＳ Ｐゴシック"/>
        <family val="3"/>
        <charset val="128"/>
      </rPr>
      <t>６歳</t>
    </r>
    <rPh sb="1" eb="2">
      <t>サイ</t>
    </rPh>
    <phoneticPr fontId="3"/>
  </si>
  <si>
    <r>
      <rPr>
        <sz val="11"/>
        <rFont val="ＭＳ Ｐゴシック"/>
        <family val="3"/>
        <charset val="128"/>
      </rPr>
      <t>７歳</t>
    </r>
    <rPh sb="1" eb="2">
      <t>サイ</t>
    </rPh>
    <phoneticPr fontId="3"/>
  </si>
  <si>
    <r>
      <rPr>
        <sz val="11"/>
        <rFont val="ＭＳ Ｐゴシック"/>
        <family val="3"/>
        <charset val="128"/>
      </rPr>
      <t>８歳</t>
    </r>
    <rPh sb="1" eb="2">
      <t>サイ</t>
    </rPh>
    <phoneticPr fontId="3"/>
  </si>
  <si>
    <r>
      <rPr>
        <sz val="11"/>
        <rFont val="ＭＳ Ｐゴシック"/>
        <family val="3"/>
        <charset val="128"/>
      </rPr>
      <t>９歳</t>
    </r>
    <rPh sb="1" eb="2">
      <t>サイ</t>
    </rPh>
    <phoneticPr fontId="3"/>
  </si>
  <si>
    <r>
      <rPr>
        <sz val="11"/>
        <rFont val="ＭＳ Ｐゴシック"/>
        <family val="3"/>
        <charset val="128"/>
      </rPr>
      <t>１０歳</t>
    </r>
    <rPh sb="2" eb="3">
      <t>サイ</t>
    </rPh>
    <phoneticPr fontId="3"/>
  </si>
  <si>
    <r>
      <rPr>
        <sz val="11"/>
        <rFont val="ＭＳ Ｐゴシック"/>
        <family val="3"/>
        <charset val="128"/>
      </rPr>
      <t>１１歳</t>
    </r>
    <rPh sb="2" eb="3">
      <t>サイ</t>
    </rPh>
    <phoneticPr fontId="3"/>
  </si>
  <si>
    <r>
      <rPr>
        <sz val="11"/>
        <rFont val="ＭＳ Ｐゴシック"/>
        <family val="3"/>
        <charset val="128"/>
      </rPr>
      <t>１２歳</t>
    </r>
    <rPh sb="2" eb="3">
      <t>サイ</t>
    </rPh>
    <phoneticPr fontId="3"/>
  </si>
  <si>
    <r>
      <rPr>
        <sz val="11"/>
        <rFont val="ＭＳ Ｐゴシック"/>
        <family val="3"/>
        <charset val="128"/>
      </rPr>
      <t>１３歳</t>
    </r>
    <rPh sb="2" eb="3">
      <t>サイ</t>
    </rPh>
    <phoneticPr fontId="3"/>
  </si>
  <si>
    <r>
      <rPr>
        <sz val="11"/>
        <rFont val="ＭＳ Ｐゴシック"/>
        <family val="3"/>
        <charset val="128"/>
      </rPr>
      <t>１４歳</t>
    </r>
    <rPh sb="2" eb="3">
      <t>サイ</t>
    </rPh>
    <phoneticPr fontId="3"/>
  </si>
  <si>
    <r>
      <rPr>
        <sz val="11"/>
        <rFont val="ＭＳ Ｐゴシック"/>
        <family val="3"/>
        <charset val="128"/>
      </rPr>
      <t>１５歳</t>
    </r>
    <rPh sb="2" eb="3">
      <t>サイ</t>
    </rPh>
    <phoneticPr fontId="3"/>
  </si>
  <si>
    <r>
      <t>(</t>
    </r>
    <r>
      <rPr>
        <sz val="10"/>
        <rFont val="ＭＳ Ｐゴシック"/>
        <family val="3"/>
        <charset val="128"/>
      </rPr>
      <t>注</t>
    </r>
    <r>
      <rPr>
        <sz val="10"/>
        <rFont val="Arial"/>
        <family val="2"/>
      </rPr>
      <t>)</t>
    </r>
    <r>
      <rPr>
        <sz val="10"/>
        <rFont val="ＭＳ Ｐゴシック"/>
        <family val="3"/>
        <charset val="128"/>
      </rPr>
      <t>子ども自身の死傷者数を計上。</t>
    </r>
    <rPh sb="1" eb="2">
      <t>チュウ</t>
    </rPh>
    <phoneticPr fontId="3"/>
  </si>
  <si>
    <r>
      <rPr>
        <sz val="12"/>
        <rFont val="ＭＳ Ｐゴシック"/>
        <family val="3"/>
        <charset val="128"/>
      </rPr>
      <t>行政区別・状態別（子ども）</t>
    </r>
    <rPh sb="0" eb="2">
      <t>ギョウセイ</t>
    </rPh>
    <rPh sb="2" eb="3">
      <t>ク</t>
    </rPh>
    <rPh sb="3" eb="4">
      <t>ベツ</t>
    </rPh>
    <rPh sb="5" eb="7">
      <t>ジョウタイ</t>
    </rPh>
    <rPh sb="7" eb="8">
      <t>ベツ</t>
    </rPh>
    <rPh sb="9" eb="10">
      <t>コ</t>
    </rPh>
    <phoneticPr fontId="3"/>
  </si>
  <si>
    <r>
      <rPr>
        <sz val="9"/>
        <rFont val="ＭＳ Ｐゴシック"/>
        <family val="3"/>
        <charset val="128"/>
      </rPr>
      <t>二輪車乗車中</t>
    </r>
    <rPh sb="0" eb="3">
      <t>ニリンシャ</t>
    </rPh>
    <rPh sb="3" eb="5">
      <t>ジョウシャ</t>
    </rPh>
    <rPh sb="5" eb="6">
      <t>チュウ</t>
    </rPh>
    <phoneticPr fontId="3"/>
  </si>
  <si>
    <r>
      <rPr>
        <sz val="9"/>
        <rFont val="ＭＳ Ｐゴシック"/>
        <family val="3"/>
        <charset val="128"/>
      </rPr>
      <t>負傷者数</t>
    </r>
    <rPh sb="0" eb="3">
      <t>フショウシャ</t>
    </rPh>
    <rPh sb="3" eb="4">
      <t>カズ</t>
    </rPh>
    <phoneticPr fontId="3"/>
  </si>
  <si>
    <r>
      <rPr>
        <sz val="6"/>
        <rFont val="ＭＳ Ｐゴシック"/>
        <family val="3"/>
        <charset val="128"/>
      </rPr>
      <t>行政区別</t>
    </r>
    <rPh sb="0" eb="2">
      <t>ギョウセイ</t>
    </rPh>
    <rPh sb="2" eb="3">
      <t>ク</t>
    </rPh>
    <rPh sb="3" eb="4">
      <t>ベツ</t>
    </rPh>
    <phoneticPr fontId="3"/>
  </si>
  <si>
    <r>
      <t>(</t>
    </r>
    <r>
      <rPr>
        <sz val="11"/>
        <rFont val="ＭＳ Ｐゴシック"/>
        <family val="3"/>
        <charset val="128"/>
      </rPr>
      <t>注</t>
    </r>
    <r>
      <rPr>
        <sz val="11"/>
        <rFont val="Arial"/>
        <family val="2"/>
      </rPr>
      <t>)</t>
    </r>
    <r>
      <rPr>
        <sz val="11"/>
        <rFont val="ＭＳ Ｐゴシック"/>
        <family val="3"/>
        <charset val="128"/>
      </rPr>
      <t>子ども自身の死傷者数を計上。</t>
    </r>
    <rPh sb="1" eb="2">
      <t>チュウ</t>
    </rPh>
    <phoneticPr fontId="3"/>
  </si>
  <si>
    <r>
      <rPr>
        <sz val="12"/>
        <rFont val="ＭＳ Ｐゴシック"/>
        <family val="3"/>
        <charset val="128"/>
      </rPr>
      <t>法令違反別発生状況</t>
    </r>
    <r>
      <rPr>
        <sz val="12"/>
        <rFont val="Arial"/>
        <family val="2"/>
      </rPr>
      <t xml:space="preserve"> </t>
    </r>
    <r>
      <rPr>
        <sz val="12"/>
        <rFont val="ＭＳ Ｐゴシック"/>
        <family val="3"/>
        <charset val="128"/>
      </rPr>
      <t>（子ども）</t>
    </r>
    <rPh sb="0" eb="2">
      <t>ホウレイ</t>
    </rPh>
    <rPh sb="2" eb="4">
      <t>イハン</t>
    </rPh>
    <rPh sb="4" eb="5">
      <t>ベツ</t>
    </rPh>
    <rPh sb="5" eb="7">
      <t>ハッセイ</t>
    </rPh>
    <rPh sb="7" eb="9">
      <t>ジョウキョウ</t>
    </rPh>
    <rPh sb="11" eb="12">
      <t>コ</t>
    </rPh>
    <phoneticPr fontId="3"/>
  </si>
  <si>
    <r>
      <rPr>
        <sz val="11"/>
        <rFont val="ＭＳ Ｐゴシック"/>
        <family val="3"/>
        <charset val="128"/>
      </rPr>
      <t>違反</t>
    </r>
    <rPh sb="0" eb="2">
      <t>イハン</t>
    </rPh>
    <phoneticPr fontId="3"/>
  </si>
  <si>
    <r>
      <rPr>
        <sz val="11"/>
        <rFont val="ＭＳ Ｐゴシック"/>
        <family val="3"/>
        <charset val="128"/>
      </rPr>
      <t>駐停車車両の直前直後横断</t>
    </r>
    <rPh sb="0" eb="3">
      <t>チュウテイシャ</t>
    </rPh>
    <phoneticPr fontId="3"/>
  </si>
  <si>
    <r>
      <rPr>
        <sz val="11"/>
        <rFont val="ＭＳ Ｐゴシック"/>
        <family val="3"/>
        <charset val="128"/>
      </rPr>
      <t>幼児のひとり歩き</t>
    </r>
    <rPh sb="0" eb="2">
      <t>ヨウジ</t>
    </rPh>
    <rPh sb="6" eb="7">
      <t>アル</t>
    </rPh>
    <phoneticPr fontId="3"/>
  </si>
  <si>
    <r>
      <rPr>
        <sz val="11"/>
        <rFont val="ＭＳ Ｐゴシック"/>
        <family val="3"/>
        <charset val="128"/>
      </rPr>
      <t>自動車・二輪車乗用中等</t>
    </r>
    <rPh sb="0" eb="3">
      <t>ジドウシャ</t>
    </rPh>
    <rPh sb="4" eb="7">
      <t>ニリンシャ</t>
    </rPh>
    <rPh sb="7" eb="9">
      <t>ジョウヨウ</t>
    </rPh>
    <rPh sb="9" eb="10">
      <t>チュウ</t>
    </rPh>
    <rPh sb="10" eb="11">
      <t>トウ</t>
    </rPh>
    <phoneticPr fontId="3"/>
  </si>
  <si>
    <r>
      <rPr>
        <sz val="11"/>
        <rFont val="ＭＳ Ｐゴシック"/>
        <family val="3"/>
        <charset val="128"/>
      </rPr>
      <t>子どもが１当になったときの違反と、その事故により生じた全死傷者数を計上。</t>
    </r>
    <phoneticPr fontId="3"/>
  </si>
  <si>
    <r>
      <rPr>
        <sz val="12"/>
        <rFont val="ＭＳ Ｐゴシック"/>
        <family val="3"/>
        <charset val="128"/>
      </rPr>
      <t>（４）若年者の事故（１６歳以上２４歳以下の者の事故）</t>
    </r>
    <rPh sb="3" eb="5">
      <t>ジャクネン</t>
    </rPh>
    <rPh sb="5" eb="6">
      <t>シャ</t>
    </rPh>
    <rPh sb="7" eb="9">
      <t>ジコ</t>
    </rPh>
    <rPh sb="12" eb="13">
      <t>サイ</t>
    </rPh>
    <rPh sb="13" eb="15">
      <t>イジョウ</t>
    </rPh>
    <rPh sb="17" eb="18">
      <t>サイ</t>
    </rPh>
    <rPh sb="18" eb="20">
      <t>イカ</t>
    </rPh>
    <rPh sb="21" eb="22">
      <t>モノ</t>
    </rPh>
    <rPh sb="23" eb="25">
      <t>ジコ</t>
    </rPh>
    <phoneticPr fontId="3"/>
  </si>
  <si>
    <r>
      <rPr>
        <sz val="12"/>
        <rFont val="ＭＳ Ｐゴシック"/>
        <family val="3"/>
        <charset val="128"/>
      </rPr>
      <t>若年者の交通事故の推移</t>
    </r>
    <rPh sb="0" eb="2">
      <t>ジャクネン</t>
    </rPh>
    <rPh sb="2" eb="3">
      <t>シャ</t>
    </rPh>
    <rPh sb="4" eb="6">
      <t>コウツウ</t>
    </rPh>
    <rPh sb="6" eb="8">
      <t>ジコ</t>
    </rPh>
    <rPh sb="9" eb="11">
      <t>スイイ</t>
    </rPh>
    <phoneticPr fontId="3"/>
  </si>
  <si>
    <r>
      <rPr>
        <sz val="11"/>
        <rFont val="ＭＳ Ｐゴシック"/>
        <family val="3"/>
        <charset val="128"/>
      </rPr>
      <t>平成</t>
    </r>
    <r>
      <rPr>
        <sz val="11"/>
        <rFont val="Arial"/>
        <family val="2"/>
      </rPr>
      <t>25</t>
    </r>
    <rPh sb="0" eb="2">
      <t>ヘイセイ</t>
    </rPh>
    <phoneticPr fontId="3"/>
  </si>
  <si>
    <r>
      <rPr>
        <sz val="11"/>
        <rFont val="ＭＳ Ｐゴシック"/>
        <family val="3"/>
        <charset val="128"/>
      </rPr>
      <t>平成</t>
    </r>
    <r>
      <rPr>
        <sz val="11"/>
        <rFont val="Arial"/>
        <family val="2"/>
      </rPr>
      <t>26</t>
    </r>
    <rPh sb="0" eb="2">
      <t>ヘイセイ</t>
    </rPh>
    <phoneticPr fontId="3"/>
  </si>
  <si>
    <r>
      <rPr>
        <sz val="11"/>
        <rFont val="ＭＳ Ｐゴシック"/>
        <family val="3"/>
        <charset val="128"/>
      </rPr>
      <t>平成</t>
    </r>
    <r>
      <rPr>
        <sz val="11"/>
        <rFont val="Arial"/>
        <family val="2"/>
      </rPr>
      <t>27</t>
    </r>
    <rPh sb="0" eb="2">
      <t>ヘイセイ</t>
    </rPh>
    <phoneticPr fontId="3"/>
  </si>
  <si>
    <r>
      <rPr>
        <sz val="11"/>
        <rFont val="ＭＳ Ｐゴシック"/>
        <family val="3"/>
        <charset val="128"/>
      </rPr>
      <t>平成</t>
    </r>
    <r>
      <rPr>
        <sz val="11"/>
        <rFont val="Arial"/>
        <family val="2"/>
      </rPr>
      <t>28</t>
    </r>
    <rPh sb="0" eb="2">
      <t>ヘイセイ</t>
    </rPh>
    <phoneticPr fontId="3"/>
  </si>
  <si>
    <r>
      <rPr>
        <sz val="11"/>
        <rFont val="ＭＳ Ｐゴシック"/>
        <family val="3"/>
        <charset val="128"/>
      </rPr>
      <t>令和元</t>
    </r>
    <rPh sb="0" eb="2">
      <t>レイワ</t>
    </rPh>
    <rPh sb="2" eb="3">
      <t>モト</t>
    </rPh>
    <phoneticPr fontId="3"/>
  </si>
  <si>
    <r>
      <rPr>
        <sz val="11"/>
        <rFont val="ＭＳ Ｐゴシック"/>
        <family val="3"/>
        <charset val="128"/>
      </rPr>
      <t>令和３</t>
    </r>
    <rPh sb="0" eb="2">
      <t>レイワ</t>
    </rPh>
    <phoneticPr fontId="3"/>
  </si>
  <si>
    <r>
      <rPr>
        <sz val="11"/>
        <rFont val="ＭＳ Ｐゴシック"/>
        <family val="3"/>
        <charset val="128"/>
      </rPr>
      <t>件数（件）</t>
    </r>
    <rPh sb="0" eb="2">
      <t>ケンスウ</t>
    </rPh>
    <rPh sb="3" eb="4">
      <t>ケン</t>
    </rPh>
    <phoneticPr fontId="3"/>
  </si>
  <si>
    <r>
      <rPr>
        <sz val="11"/>
        <rFont val="ＭＳ Ｐゴシック"/>
        <family val="3"/>
        <charset val="128"/>
      </rPr>
      <t>負傷者</t>
    </r>
    <rPh sb="0" eb="3">
      <t>フショウシャ</t>
    </rPh>
    <phoneticPr fontId="3"/>
  </si>
  <si>
    <r>
      <rPr>
        <sz val="11"/>
        <rFont val="ＭＳ Ｐゴシック"/>
        <family val="3"/>
        <charset val="128"/>
      </rPr>
      <t>　</t>
    </r>
    <r>
      <rPr>
        <sz val="11"/>
        <rFont val="Arial"/>
        <family val="2"/>
      </rPr>
      <t xml:space="preserve"> (</t>
    </r>
    <r>
      <rPr>
        <sz val="11"/>
        <rFont val="ＭＳ Ｐゴシック"/>
        <family val="3"/>
        <charset val="128"/>
      </rPr>
      <t>注</t>
    </r>
    <r>
      <rPr>
        <sz val="11"/>
        <rFont val="Arial"/>
        <family val="2"/>
      </rPr>
      <t>)</t>
    </r>
    <r>
      <rPr>
        <sz val="11"/>
        <rFont val="ＭＳ Ｐゴシック"/>
        <family val="3"/>
        <charset val="128"/>
      </rPr>
      <t>若年者が関連した（１当又は２当になった）件数と若年者自身の死傷者数を計上。</t>
    </r>
    <rPh sb="3" eb="4">
      <t>チュウ</t>
    </rPh>
    <rPh sb="5" eb="7">
      <t>ジャクネン</t>
    </rPh>
    <rPh sb="7" eb="8">
      <t>シャ</t>
    </rPh>
    <rPh sb="9" eb="11">
      <t>カンレン</t>
    </rPh>
    <rPh sb="15" eb="16">
      <t>トウ</t>
    </rPh>
    <rPh sb="16" eb="17">
      <t>マタ</t>
    </rPh>
    <rPh sb="19" eb="20">
      <t>トウ</t>
    </rPh>
    <rPh sb="25" eb="27">
      <t>ケンスウ</t>
    </rPh>
    <rPh sb="28" eb="30">
      <t>ジャクネン</t>
    </rPh>
    <rPh sb="30" eb="31">
      <t>シャ</t>
    </rPh>
    <rPh sb="31" eb="33">
      <t>ジシン</t>
    </rPh>
    <rPh sb="34" eb="37">
      <t>シショウシャ</t>
    </rPh>
    <rPh sb="37" eb="38">
      <t>スウ</t>
    </rPh>
    <rPh sb="39" eb="41">
      <t>ケイジョウ</t>
    </rPh>
    <phoneticPr fontId="3"/>
  </si>
  <si>
    <r>
      <rPr>
        <sz val="11"/>
        <rFont val="ＭＳ Ｐゴシック"/>
        <family val="3"/>
        <charset val="128"/>
      </rPr>
      <t>　</t>
    </r>
    <r>
      <rPr>
        <sz val="11"/>
        <rFont val="Arial"/>
        <family val="2"/>
      </rPr>
      <t xml:space="preserve"> (</t>
    </r>
    <r>
      <rPr>
        <sz val="11"/>
        <rFont val="ＭＳ Ｐゴシック"/>
        <family val="3"/>
        <charset val="128"/>
      </rPr>
      <t>注</t>
    </r>
    <r>
      <rPr>
        <sz val="11"/>
        <rFont val="Arial"/>
        <family val="2"/>
      </rPr>
      <t>)</t>
    </r>
    <r>
      <rPr>
        <sz val="11"/>
        <rFont val="ＭＳ Ｐゴシック"/>
        <family val="3"/>
        <charset val="128"/>
      </rPr>
      <t>平成</t>
    </r>
    <r>
      <rPr>
        <sz val="11"/>
        <rFont val="Arial"/>
        <family val="2"/>
      </rPr>
      <t>25</t>
    </r>
    <r>
      <rPr>
        <sz val="11"/>
        <rFont val="ＭＳ Ｐゴシック"/>
        <family val="3"/>
        <charset val="128"/>
      </rPr>
      <t>年～平成</t>
    </r>
    <r>
      <rPr>
        <sz val="11"/>
        <rFont val="Arial"/>
        <family val="2"/>
      </rPr>
      <t>29</t>
    </r>
    <r>
      <rPr>
        <sz val="11"/>
        <rFont val="ＭＳ Ｐゴシック"/>
        <family val="3"/>
        <charset val="128"/>
      </rPr>
      <t>年は、「内重傷者数（人）」の記録なし。</t>
    </r>
    <rPh sb="5" eb="7">
      <t>ヘイセイ</t>
    </rPh>
    <phoneticPr fontId="3"/>
  </si>
  <si>
    <r>
      <rPr>
        <sz val="12"/>
        <rFont val="ＭＳ Ｐゴシック"/>
        <family val="3"/>
        <charset val="128"/>
      </rPr>
      <t>高校生の交通事故の推移</t>
    </r>
    <rPh sb="0" eb="3">
      <t>コウコウセイ</t>
    </rPh>
    <rPh sb="4" eb="6">
      <t>コウツウ</t>
    </rPh>
    <rPh sb="6" eb="8">
      <t>ジコ</t>
    </rPh>
    <rPh sb="9" eb="11">
      <t>スイイ</t>
    </rPh>
    <phoneticPr fontId="3"/>
  </si>
  <si>
    <t>令和4</t>
    <rPh sb="0" eb="2">
      <t>レイワ</t>
    </rPh>
    <phoneticPr fontId="3"/>
  </si>
  <si>
    <r>
      <t xml:space="preserve"> </t>
    </r>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高校生が関連した（１当又は２当になった）件数と高校生自身の死傷者数を計上。</t>
    </r>
    <rPh sb="3" eb="4">
      <t>チュウ</t>
    </rPh>
    <rPh sb="5" eb="8">
      <t>コウコウセイ</t>
    </rPh>
    <rPh sb="9" eb="11">
      <t>カンレン</t>
    </rPh>
    <rPh sb="15" eb="16">
      <t>トウ</t>
    </rPh>
    <rPh sb="16" eb="17">
      <t>マタ</t>
    </rPh>
    <rPh sb="19" eb="20">
      <t>トウ</t>
    </rPh>
    <rPh sb="25" eb="27">
      <t>ケンスウ</t>
    </rPh>
    <rPh sb="28" eb="31">
      <t>コウコウセイ</t>
    </rPh>
    <rPh sb="31" eb="33">
      <t>ジシン</t>
    </rPh>
    <rPh sb="34" eb="37">
      <t>シショウシャ</t>
    </rPh>
    <rPh sb="37" eb="38">
      <t>スウ</t>
    </rPh>
    <rPh sb="39" eb="41">
      <t>ケイジョウ</t>
    </rPh>
    <phoneticPr fontId="3"/>
  </si>
  <si>
    <r>
      <rPr>
        <sz val="11"/>
        <rFont val="ＭＳ Ｐゴシック"/>
        <family val="3"/>
        <charset val="128"/>
      </rPr>
      <t>　</t>
    </r>
    <r>
      <rPr>
        <sz val="11"/>
        <rFont val="Arial"/>
        <family val="2"/>
      </rPr>
      <t xml:space="preserve"> (</t>
    </r>
    <r>
      <rPr>
        <sz val="11"/>
        <rFont val="ＭＳ Ｐゴシック"/>
        <family val="3"/>
        <charset val="128"/>
      </rPr>
      <t>注</t>
    </r>
    <r>
      <rPr>
        <sz val="11"/>
        <rFont val="Arial"/>
        <family val="2"/>
      </rPr>
      <t>)</t>
    </r>
    <r>
      <rPr>
        <sz val="11"/>
        <rFont val="ＭＳ Ｐゴシック"/>
        <family val="3"/>
        <charset val="128"/>
      </rPr>
      <t>平成</t>
    </r>
    <r>
      <rPr>
        <sz val="11"/>
        <rFont val="Arial"/>
        <family val="2"/>
      </rPr>
      <t>25</t>
    </r>
    <r>
      <rPr>
        <sz val="11"/>
        <rFont val="ＭＳ Ｐゴシック"/>
        <family val="3"/>
        <charset val="128"/>
      </rPr>
      <t>年～平成</t>
    </r>
    <r>
      <rPr>
        <sz val="11"/>
        <rFont val="Arial"/>
        <family val="2"/>
      </rPr>
      <t>29</t>
    </r>
    <r>
      <rPr>
        <sz val="11"/>
        <rFont val="ＭＳ Ｐゴシック"/>
        <family val="3"/>
        <charset val="128"/>
      </rPr>
      <t>年は、「内重傷者数（人）」の記録なし。</t>
    </r>
    <phoneticPr fontId="3"/>
  </si>
  <si>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若年者自身の死傷者数を計上。</t>
    </r>
    <rPh sb="2" eb="3">
      <t>チュウ</t>
    </rPh>
    <phoneticPr fontId="3"/>
  </si>
  <si>
    <r>
      <rPr>
        <sz val="12"/>
        <rFont val="ＭＳ Ｐゴシック"/>
        <family val="3"/>
        <charset val="128"/>
      </rPr>
      <t>年齢別・月別　（若年者）</t>
    </r>
    <rPh sb="0" eb="2">
      <t>ネンレイ</t>
    </rPh>
    <rPh sb="2" eb="3">
      <t>ベツ</t>
    </rPh>
    <rPh sb="4" eb="5">
      <t>ツキ</t>
    </rPh>
    <rPh sb="5" eb="6">
      <t>ベツ</t>
    </rPh>
    <rPh sb="8" eb="10">
      <t>ジャクネン</t>
    </rPh>
    <rPh sb="10" eb="11">
      <t>シャ</t>
    </rPh>
    <phoneticPr fontId="3"/>
  </si>
  <si>
    <r>
      <rPr>
        <sz val="11"/>
        <rFont val="ＭＳ Ｐゴシック"/>
        <family val="3"/>
        <charset val="128"/>
      </rPr>
      <t>月別</t>
    </r>
    <rPh sb="0" eb="1">
      <t>ツキ</t>
    </rPh>
    <rPh sb="1" eb="2">
      <t>ベツ</t>
    </rPh>
    <phoneticPr fontId="3"/>
  </si>
  <si>
    <r>
      <rPr>
        <sz val="11"/>
        <rFont val="ＭＳ Ｐゴシック"/>
        <family val="3"/>
        <charset val="128"/>
      </rPr>
      <t>年齢別</t>
    </r>
    <rPh sb="0" eb="2">
      <t>ネンレイ</t>
    </rPh>
    <rPh sb="2" eb="3">
      <t>ベツ</t>
    </rPh>
    <phoneticPr fontId="3"/>
  </si>
  <si>
    <r>
      <rPr>
        <sz val="11"/>
        <rFont val="ＭＳ Ｐゴシック"/>
        <family val="3"/>
        <charset val="128"/>
      </rPr>
      <t>１６歳</t>
    </r>
    <rPh sb="2" eb="3">
      <t>サイ</t>
    </rPh>
    <phoneticPr fontId="3"/>
  </si>
  <si>
    <r>
      <rPr>
        <sz val="11"/>
        <rFont val="ＭＳ Ｐゴシック"/>
        <family val="3"/>
        <charset val="128"/>
      </rPr>
      <t>死者数</t>
    </r>
    <rPh sb="0" eb="3">
      <t>シシャスウ</t>
    </rPh>
    <phoneticPr fontId="3"/>
  </si>
  <si>
    <r>
      <rPr>
        <sz val="11"/>
        <rFont val="ＭＳ Ｐゴシック"/>
        <family val="3"/>
        <charset val="128"/>
      </rPr>
      <t>１７歳</t>
    </r>
    <rPh sb="2" eb="3">
      <t>サイ</t>
    </rPh>
    <phoneticPr fontId="3"/>
  </si>
  <si>
    <r>
      <rPr>
        <sz val="11"/>
        <rFont val="ＭＳ Ｐゴシック"/>
        <family val="3"/>
        <charset val="128"/>
      </rPr>
      <t>１８歳</t>
    </r>
    <rPh sb="2" eb="3">
      <t>サイ</t>
    </rPh>
    <phoneticPr fontId="3"/>
  </si>
  <si>
    <r>
      <rPr>
        <sz val="11"/>
        <rFont val="ＭＳ Ｐゴシック"/>
        <family val="3"/>
        <charset val="128"/>
      </rPr>
      <t>１９歳</t>
    </r>
    <rPh sb="2" eb="3">
      <t>サイ</t>
    </rPh>
    <phoneticPr fontId="3"/>
  </si>
  <si>
    <r>
      <rPr>
        <sz val="11"/>
        <rFont val="ＭＳ Ｐゴシック"/>
        <family val="3"/>
        <charset val="128"/>
      </rPr>
      <t>２０歳</t>
    </r>
    <rPh sb="2" eb="3">
      <t>サイ</t>
    </rPh>
    <phoneticPr fontId="3"/>
  </si>
  <si>
    <r>
      <rPr>
        <sz val="11"/>
        <rFont val="ＭＳ Ｐゴシック"/>
        <family val="3"/>
        <charset val="128"/>
      </rPr>
      <t>２１歳</t>
    </r>
    <rPh sb="2" eb="3">
      <t>サイ</t>
    </rPh>
    <phoneticPr fontId="3"/>
  </si>
  <si>
    <r>
      <rPr>
        <sz val="11"/>
        <rFont val="ＭＳ Ｐゴシック"/>
        <family val="3"/>
        <charset val="128"/>
      </rPr>
      <t>２２歳</t>
    </r>
    <rPh sb="2" eb="3">
      <t>サイ</t>
    </rPh>
    <phoneticPr fontId="3"/>
  </si>
  <si>
    <r>
      <rPr>
        <sz val="11"/>
        <rFont val="ＭＳ Ｐゴシック"/>
        <family val="3"/>
        <charset val="128"/>
      </rPr>
      <t>２３歳</t>
    </r>
    <rPh sb="2" eb="3">
      <t>サイ</t>
    </rPh>
    <phoneticPr fontId="3"/>
  </si>
  <si>
    <r>
      <rPr>
        <sz val="11"/>
        <rFont val="ＭＳ Ｐゴシック"/>
        <family val="3"/>
        <charset val="128"/>
      </rPr>
      <t>２４歳</t>
    </r>
    <rPh sb="2" eb="3">
      <t>サイ</t>
    </rPh>
    <phoneticPr fontId="3"/>
  </si>
  <si>
    <r>
      <t xml:space="preserve"> </t>
    </r>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若年者自身の死傷者数を計上。</t>
    </r>
    <rPh sb="3" eb="4">
      <t>チュウ</t>
    </rPh>
    <rPh sb="5" eb="7">
      <t>ジャクネン</t>
    </rPh>
    <rPh sb="7" eb="8">
      <t>シャ</t>
    </rPh>
    <rPh sb="8" eb="10">
      <t>ジシン</t>
    </rPh>
    <rPh sb="11" eb="14">
      <t>シショウシャ</t>
    </rPh>
    <rPh sb="14" eb="15">
      <t>スウ</t>
    </rPh>
    <rPh sb="16" eb="18">
      <t>ケイジョウ</t>
    </rPh>
    <phoneticPr fontId="3"/>
  </si>
  <si>
    <r>
      <rPr>
        <sz val="12"/>
        <rFont val="ＭＳ Ｐゴシック"/>
        <family val="3"/>
        <charset val="128"/>
      </rPr>
      <t>行政区別・状態別（若年者）</t>
    </r>
    <rPh sb="0" eb="2">
      <t>ギョウセイ</t>
    </rPh>
    <rPh sb="2" eb="3">
      <t>ク</t>
    </rPh>
    <rPh sb="3" eb="4">
      <t>ベツ</t>
    </rPh>
    <rPh sb="5" eb="7">
      <t>ジョウタイ</t>
    </rPh>
    <rPh sb="7" eb="8">
      <t>ベツ</t>
    </rPh>
    <rPh sb="9" eb="11">
      <t>ジャクネン</t>
    </rPh>
    <rPh sb="11" eb="12">
      <t>シャ</t>
    </rPh>
    <phoneticPr fontId="3"/>
  </si>
  <si>
    <r>
      <rPr>
        <sz val="11"/>
        <rFont val="ＭＳ Ｐゴシック"/>
        <family val="3"/>
        <charset val="128"/>
      </rPr>
      <t>　</t>
    </r>
    <r>
      <rPr>
        <sz val="11"/>
        <rFont val="Arial"/>
        <family val="2"/>
      </rPr>
      <t xml:space="preserve"> (</t>
    </r>
    <r>
      <rPr>
        <sz val="11"/>
        <rFont val="ＭＳ Ｐゴシック"/>
        <family val="3"/>
        <charset val="128"/>
      </rPr>
      <t>注</t>
    </r>
    <r>
      <rPr>
        <sz val="11"/>
        <rFont val="Arial"/>
        <family val="2"/>
      </rPr>
      <t>)</t>
    </r>
    <r>
      <rPr>
        <sz val="11"/>
        <rFont val="ＭＳ Ｐゴシック"/>
        <family val="3"/>
        <charset val="128"/>
      </rPr>
      <t>若年者自身の死傷者数を計上。</t>
    </r>
    <rPh sb="3" eb="4">
      <t>チュウ</t>
    </rPh>
    <phoneticPr fontId="3"/>
  </si>
  <si>
    <r>
      <rPr>
        <sz val="12"/>
        <rFont val="ＭＳ Ｐゴシック"/>
        <family val="3"/>
        <charset val="128"/>
      </rPr>
      <t>法令違反別発生状況</t>
    </r>
    <r>
      <rPr>
        <sz val="12"/>
        <rFont val="Arial"/>
        <family val="2"/>
      </rPr>
      <t xml:space="preserve"> </t>
    </r>
    <r>
      <rPr>
        <sz val="12"/>
        <rFont val="ＭＳ Ｐゴシック"/>
        <family val="3"/>
        <charset val="128"/>
      </rPr>
      <t>（若年者）</t>
    </r>
    <rPh sb="0" eb="2">
      <t>ホウレイ</t>
    </rPh>
    <rPh sb="2" eb="4">
      <t>イハン</t>
    </rPh>
    <rPh sb="4" eb="5">
      <t>ベツ</t>
    </rPh>
    <rPh sb="5" eb="7">
      <t>ハッセイ</t>
    </rPh>
    <rPh sb="7" eb="9">
      <t>ジョウキョウ</t>
    </rPh>
    <rPh sb="11" eb="13">
      <t>ジャクネン</t>
    </rPh>
    <rPh sb="13" eb="14">
      <t>シャ</t>
    </rPh>
    <phoneticPr fontId="3"/>
  </si>
  <si>
    <r>
      <rPr>
        <sz val="11"/>
        <rFont val="ＭＳ Ｐゴシック"/>
        <family val="3"/>
        <charset val="128"/>
      </rPr>
      <t>若年者が１当になったときの違反と、その事故により生じた全死傷者数を計上。</t>
    </r>
    <phoneticPr fontId="3"/>
  </si>
  <si>
    <r>
      <t xml:space="preserve"> </t>
    </r>
    <r>
      <rPr>
        <sz val="12"/>
        <rFont val="ＭＳ Ｐゴシック"/>
        <family val="3"/>
        <charset val="128"/>
      </rPr>
      <t>（５）歩行者の事故</t>
    </r>
    <rPh sb="4" eb="6">
      <t>ホコウ</t>
    </rPh>
    <rPh sb="6" eb="7">
      <t>シャ</t>
    </rPh>
    <rPh sb="8" eb="10">
      <t>ジコ</t>
    </rPh>
    <phoneticPr fontId="3"/>
  </si>
  <si>
    <r>
      <rPr>
        <sz val="12"/>
        <rFont val="ＭＳ Ｐゴシック"/>
        <family val="3"/>
        <charset val="128"/>
      </rPr>
      <t>歩行者の交通事故の推移</t>
    </r>
    <rPh sb="0" eb="3">
      <t>ホコウシャ</t>
    </rPh>
    <rPh sb="4" eb="6">
      <t>コウツウ</t>
    </rPh>
    <rPh sb="6" eb="8">
      <t>ジコ</t>
    </rPh>
    <rPh sb="9" eb="11">
      <t>スイイ</t>
    </rPh>
    <phoneticPr fontId="3"/>
  </si>
  <si>
    <r>
      <rPr>
        <sz val="11"/>
        <rFont val="ＭＳ Ｐゴシック"/>
        <family val="3"/>
        <charset val="128"/>
      </rPr>
      <t>平成</t>
    </r>
    <r>
      <rPr>
        <sz val="11"/>
        <rFont val="Arial"/>
        <family val="2"/>
      </rPr>
      <t>23</t>
    </r>
    <rPh sb="0" eb="2">
      <t>ヘイセイ</t>
    </rPh>
    <phoneticPr fontId="3"/>
  </si>
  <si>
    <r>
      <rPr>
        <sz val="11"/>
        <rFont val="ＭＳ Ｐゴシック"/>
        <family val="3"/>
        <charset val="128"/>
      </rPr>
      <t>平成</t>
    </r>
    <r>
      <rPr>
        <sz val="11"/>
        <rFont val="Arial"/>
        <family val="2"/>
      </rPr>
      <t>24</t>
    </r>
    <rPh sb="0" eb="2">
      <t>ヘイセイ</t>
    </rPh>
    <phoneticPr fontId="3"/>
  </si>
  <si>
    <r>
      <rPr>
        <sz val="11"/>
        <rFont val="ＭＳ Ｐゴシック"/>
        <family val="3"/>
        <charset val="128"/>
      </rPr>
      <t>令和元</t>
    </r>
    <rPh sb="0" eb="2">
      <t>レイワ</t>
    </rPh>
    <rPh sb="2" eb="3">
      <t>ガン</t>
    </rPh>
    <phoneticPr fontId="3"/>
  </si>
  <si>
    <r>
      <rPr>
        <sz val="11"/>
        <rFont val="ＭＳ Ｐゴシック"/>
        <family val="3"/>
        <charset val="128"/>
      </rPr>
      <t>令和２</t>
    </r>
    <rPh sb="0" eb="2">
      <t>レイワ</t>
    </rPh>
    <phoneticPr fontId="3"/>
  </si>
  <si>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歩行者が関連した（１当又は２当となった）件数とその事故により生じた全死傷者数を計上。</t>
    </r>
    <rPh sb="2" eb="3">
      <t>チュウ</t>
    </rPh>
    <rPh sb="4" eb="7">
      <t>ホコウシャ</t>
    </rPh>
    <rPh sb="8" eb="10">
      <t>カンレン</t>
    </rPh>
    <rPh sb="14" eb="15">
      <t>トウ</t>
    </rPh>
    <rPh sb="15" eb="16">
      <t>マタ</t>
    </rPh>
    <rPh sb="18" eb="19">
      <t>トウ</t>
    </rPh>
    <rPh sb="24" eb="26">
      <t>ケンスウ</t>
    </rPh>
    <rPh sb="29" eb="31">
      <t>ジコ</t>
    </rPh>
    <rPh sb="34" eb="35">
      <t>ショウ</t>
    </rPh>
    <rPh sb="37" eb="38">
      <t>ゼン</t>
    </rPh>
    <rPh sb="38" eb="40">
      <t>シショウ</t>
    </rPh>
    <rPh sb="40" eb="41">
      <t>シャ</t>
    </rPh>
    <rPh sb="41" eb="42">
      <t>スウ</t>
    </rPh>
    <rPh sb="43" eb="45">
      <t>ケイジョウ</t>
    </rPh>
    <phoneticPr fontId="3"/>
  </si>
  <si>
    <r>
      <t xml:space="preserve">  (</t>
    </r>
    <r>
      <rPr>
        <sz val="11"/>
        <rFont val="ＭＳ Ｐゴシック"/>
        <family val="3"/>
        <charset val="128"/>
      </rPr>
      <t>注</t>
    </r>
    <r>
      <rPr>
        <sz val="11"/>
        <rFont val="Arial"/>
        <family val="2"/>
      </rPr>
      <t>)</t>
    </r>
    <r>
      <rPr>
        <sz val="11"/>
        <rFont val="ＭＳ Ｐゴシック"/>
        <family val="3"/>
        <charset val="128"/>
      </rPr>
      <t>昭和45年～平成</t>
    </r>
    <r>
      <rPr>
        <sz val="11"/>
        <rFont val="Arial"/>
        <family val="2"/>
      </rPr>
      <t>29</t>
    </r>
    <r>
      <rPr>
        <sz val="11"/>
        <rFont val="ＭＳ Ｐゴシック"/>
        <family val="3"/>
        <charset val="128"/>
      </rPr>
      <t>年は、「内重傷者数（人）」の記録なし。</t>
    </r>
    <rPh sb="5" eb="7">
      <t>ショウワ</t>
    </rPh>
    <rPh sb="9" eb="10">
      <t>トシ</t>
    </rPh>
    <phoneticPr fontId="3"/>
  </si>
  <si>
    <r>
      <rPr>
        <sz val="12"/>
        <rFont val="ＭＳ Ｐゴシック"/>
        <family val="3"/>
        <charset val="128"/>
      </rPr>
      <t>事故類型別（歩行者）</t>
    </r>
    <rPh sb="0" eb="2">
      <t>ジコ</t>
    </rPh>
    <rPh sb="2" eb="4">
      <t>ルイケイ</t>
    </rPh>
    <rPh sb="4" eb="5">
      <t>ベツ</t>
    </rPh>
    <rPh sb="6" eb="9">
      <t>ホコウシャ</t>
    </rPh>
    <phoneticPr fontId="3"/>
  </si>
  <si>
    <r>
      <rPr>
        <sz val="11"/>
        <rFont val="ＭＳ Ｐゴシック"/>
        <family val="3"/>
        <charset val="128"/>
      </rPr>
      <t>死者数（人）</t>
    </r>
    <rPh sb="0" eb="2">
      <t>シシャ</t>
    </rPh>
    <rPh sb="2" eb="3">
      <t>スウ</t>
    </rPh>
    <rPh sb="4" eb="5">
      <t>ヒト</t>
    </rPh>
    <phoneticPr fontId="3"/>
  </si>
  <si>
    <r>
      <rPr>
        <sz val="11"/>
        <rFont val="ＭＳ Ｐゴシック"/>
        <family val="3"/>
        <charset val="128"/>
      </rPr>
      <t>負傷者数（人）</t>
    </r>
    <rPh sb="0" eb="1">
      <t>フ</t>
    </rPh>
    <rPh sb="1" eb="3">
      <t>ショウシャ</t>
    </rPh>
    <rPh sb="3" eb="4">
      <t>スウ</t>
    </rPh>
    <rPh sb="5" eb="6">
      <t>ヒト</t>
    </rPh>
    <phoneticPr fontId="3"/>
  </si>
  <si>
    <t>類型別</t>
    <phoneticPr fontId="3"/>
  </si>
  <si>
    <r>
      <rPr>
        <sz val="11"/>
        <rFont val="ＭＳ Ｐゴシック"/>
        <family val="3"/>
        <charset val="128"/>
      </rPr>
      <t>総　　　数</t>
    </r>
    <rPh sb="0" eb="1">
      <t>フサ</t>
    </rPh>
    <rPh sb="4" eb="5">
      <t>カズ</t>
    </rPh>
    <phoneticPr fontId="3"/>
  </si>
  <si>
    <r>
      <rPr>
        <sz val="11"/>
        <rFont val="ＭＳ Ｐゴシック"/>
        <family val="3"/>
        <charset val="128"/>
      </rPr>
      <t>人</t>
    </r>
    <rPh sb="0" eb="1">
      <t>ジン</t>
    </rPh>
    <phoneticPr fontId="3"/>
  </si>
  <si>
    <r>
      <rPr>
        <sz val="11"/>
        <rFont val="ＭＳ Ｐゴシック"/>
        <family val="3"/>
        <charset val="128"/>
      </rPr>
      <t>横</t>
    </r>
    <rPh sb="0" eb="1">
      <t>ヨコ</t>
    </rPh>
    <phoneticPr fontId="3"/>
  </si>
  <si>
    <r>
      <rPr>
        <sz val="11"/>
        <rFont val="ＭＳ Ｐゴシック"/>
        <family val="3"/>
        <charset val="128"/>
      </rPr>
      <t>対</t>
    </r>
    <rPh sb="0" eb="1">
      <t>タイ</t>
    </rPh>
    <phoneticPr fontId="3"/>
  </si>
  <si>
    <r>
      <rPr>
        <sz val="11"/>
        <rFont val="ＭＳ Ｐゴシック"/>
        <family val="3"/>
        <charset val="128"/>
      </rPr>
      <t>断</t>
    </r>
    <rPh sb="0" eb="1">
      <t>ダン</t>
    </rPh>
    <phoneticPr fontId="3"/>
  </si>
  <si>
    <r>
      <rPr>
        <sz val="11"/>
        <rFont val="ＭＳ Ｐゴシック"/>
        <family val="3"/>
        <charset val="128"/>
      </rPr>
      <t>中</t>
    </r>
    <rPh sb="0" eb="1">
      <t>チュウ</t>
    </rPh>
    <phoneticPr fontId="3"/>
  </si>
  <si>
    <r>
      <rPr>
        <sz val="11"/>
        <rFont val="ＭＳ Ｐゴシック"/>
        <family val="3"/>
        <charset val="128"/>
      </rPr>
      <t>横断歩道橋付近</t>
    </r>
    <rPh sb="0" eb="2">
      <t>オウダン</t>
    </rPh>
    <rPh sb="2" eb="4">
      <t>ホドウ</t>
    </rPh>
    <rPh sb="4" eb="5">
      <t>キョウ</t>
    </rPh>
    <rPh sb="5" eb="7">
      <t>フキン</t>
    </rPh>
    <phoneticPr fontId="3"/>
  </si>
  <si>
    <r>
      <rPr>
        <sz val="11"/>
        <rFont val="ＭＳ Ｐゴシック"/>
        <family val="3"/>
        <charset val="128"/>
      </rPr>
      <t>路上停止中</t>
    </r>
    <rPh sb="0" eb="2">
      <t>ロジョウ</t>
    </rPh>
    <rPh sb="2" eb="5">
      <t>テイシチュウ</t>
    </rPh>
    <phoneticPr fontId="3"/>
  </si>
  <si>
    <r>
      <rPr>
        <sz val="11"/>
        <rFont val="ＭＳ Ｐゴシック"/>
        <family val="3"/>
        <charset val="128"/>
      </rPr>
      <t>列　　　車</t>
    </r>
    <rPh sb="0" eb="1">
      <t>レツ</t>
    </rPh>
    <rPh sb="4" eb="5">
      <t>クルマ</t>
    </rPh>
    <phoneticPr fontId="3"/>
  </si>
  <si>
    <r>
      <rPr>
        <sz val="10.5"/>
        <rFont val="ＭＳ Ｐゴシック"/>
        <family val="3"/>
        <charset val="128"/>
      </rPr>
      <t>　</t>
    </r>
    <r>
      <rPr>
        <sz val="10.5"/>
        <rFont val="Arial"/>
        <family val="2"/>
      </rPr>
      <t>(</t>
    </r>
    <r>
      <rPr>
        <sz val="10.5"/>
        <rFont val="ＭＳ Ｐゴシック"/>
        <family val="3"/>
        <charset val="128"/>
      </rPr>
      <t>注</t>
    </r>
    <r>
      <rPr>
        <sz val="10.5"/>
        <rFont val="Arial"/>
        <family val="2"/>
      </rPr>
      <t>)</t>
    </r>
    <r>
      <rPr>
        <sz val="10.5"/>
        <rFont val="ＭＳ Ｐゴシック"/>
        <family val="3"/>
        <charset val="128"/>
      </rPr>
      <t>歩行者が関連した（１当又は２当となった）件数とその事故により生じた全死傷者数を計上。</t>
    </r>
    <phoneticPr fontId="3"/>
  </si>
  <si>
    <r>
      <rPr>
        <sz val="12"/>
        <rFont val="ＭＳ Ｐゴシック"/>
        <family val="3"/>
        <charset val="128"/>
      </rPr>
      <t>月別発生状況（歩行者）</t>
    </r>
    <rPh sb="0" eb="2">
      <t>ツキベツ</t>
    </rPh>
    <rPh sb="2" eb="4">
      <t>ハッセイ</t>
    </rPh>
    <rPh sb="4" eb="6">
      <t>ジョウキョウ</t>
    </rPh>
    <rPh sb="7" eb="10">
      <t>ホコウシャ</t>
    </rPh>
    <phoneticPr fontId="3"/>
  </si>
  <si>
    <r>
      <rPr>
        <sz val="11"/>
        <rFont val="ＭＳ Ｐゴシック"/>
        <family val="3"/>
        <charset val="128"/>
      </rPr>
      <t>月別</t>
    </r>
    <rPh sb="0" eb="2">
      <t>ツキベツ</t>
    </rPh>
    <phoneticPr fontId="3"/>
  </si>
  <si>
    <r>
      <rPr>
        <sz val="11"/>
        <rFont val="ＭＳ Ｐゴシック"/>
        <family val="3"/>
        <charset val="128"/>
      </rPr>
      <t>区分　　　　　　　</t>
    </r>
    <rPh sb="0" eb="2">
      <t>クブン</t>
    </rPh>
    <phoneticPr fontId="3"/>
  </si>
  <si>
    <r>
      <rPr>
        <sz val="11"/>
        <rFont val="ＭＳ Ｐゴシック"/>
        <family val="3"/>
        <charset val="128"/>
      </rPr>
      <t>件　数（件）</t>
    </r>
    <rPh sb="0" eb="1">
      <t>ケン</t>
    </rPh>
    <rPh sb="2" eb="3">
      <t>カズ</t>
    </rPh>
    <rPh sb="4" eb="5">
      <t>ケン</t>
    </rPh>
    <phoneticPr fontId="3"/>
  </si>
  <si>
    <r>
      <rPr>
        <sz val="11"/>
        <rFont val="ＭＳ Ｐゴシック"/>
        <family val="3"/>
        <charset val="128"/>
      </rPr>
      <t>死　者　数（人）</t>
    </r>
    <rPh sb="0" eb="1">
      <t>シ</t>
    </rPh>
    <rPh sb="2" eb="3">
      <t>モノ</t>
    </rPh>
    <rPh sb="4" eb="5">
      <t>スウ</t>
    </rPh>
    <rPh sb="6" eb="7">
      <t>ヒト</t>
    </rPh>
    <phoneticPr fontId="3"/>
  </si>
  <si>
    <r>
      <rPr>
        <sz val="11"/>
        <rFont val="ＭＳ Ｐゴシック"/>
        <family val="3"/>
        <charset val="128"/>
      </rPr>
      <t>負　傷　者　数（人）</t>
    </r>
    <rPh sb="0" eb="1">
      <t>フ</t>
    </rPh>
    <rPh sb="2" eb="3">
      <t>キズ</t>
    </rPh>
    <rPh sb="4" eb="5">
      <t>モノ</t>
    </rPh>
    <rPh sb="6" eb="7">
      <t>スウ</t>
    </rPh>
    <rPh sb="8" eb="9">
      <t>ヒト</t>
    </rPh>
    <phoneticPr fontId="3"/>
  </si>
  <si>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歩行者が関連した（１当又は２当となった）件数とその事故により生じた全死傷者数を計上。</t>
    </r>
    <phoneticPr fontId="3"/>
  </si>
  <si>
    <r>
      <rPr>
        <sz val="12"/>
        <rFont val="ＭＳ Ｐゴシック"/>
        <family val="3"/>
        <charset val="128"/>
      </rPr>
      <t>歩行者関連事故発生状況</t>
    </r>
    <rPh sb="0" eb="3">
      <t>ホコウシャ</t>
    </rPh>
    <rPh sb="3" eb="5">
      <t>カンレン</t>
    </rPh>
    <rPh sb="5" eb="7">
      <t>ジコ</t>
    </rPh>
    <rPh sb="7" eb="9">
      <t>ハッセイ</t>
    </rPh>
    <rPh sb="9" eb="11">
      <t>ジョウキョウ</t>
    </rPh>
    <phoneticPr fontId="3"/>
  </si>
  <si>
    <r>
      <rPr>
        <sz val="12"/>
        <rFont val="ＭＳ Ｐゴシック"/>
        <family val="3"/>
        <charset val="128"/>
      </rPr>
      <t>　　（行政区、状態別）</t>
    </r>
    <rPh sb="3" eb="6">
      <t>ギョウセイク</t>
    </rPh>
    <rPh sb="7" eb="9">
      <t>ジョウタイ</t>
    </rPh>
    <rPh sb="9" eb="10">
      <t>ベツ</t>
    </rPh>
    <phoneticPr fontId="3"/>
  </si>
  <si>
    <r>
      <rPr>
        <sz val="11"/>
        <rFont val="ＭＳ Ｐゴシック"/>
        <family val="3"/>
        <charset val="128"/>
      </rPr>
      <t>死　　者　　数</t>
    </r>
    <rPh sb="0" eb="1">
      <t>シ</t>
    </rPh>
    <rPh sb="3" eb="4">
      <t>モノ</t>
    </rPh>
    <rPh sb="6" eb="7">
      <t>スウ</t>
    </rPh>
    <phoneticPr fontId="3"/>
  </si>
  <si>
    <t>（人）</t>
    <phoneticPr fontId="3"/>
  </si>
  <si>
    <r>
      <rPr>
        <sz val="9"/>
        <rFont val="ＭＳ Ｐゴシック"/>
        <family val="3"/>
        <charset val="128"/>
      </rPr>
      <t>行政区分</t>
    </r>
    <rPh sb="0" eb="2">
      <t>ギョウセイ</t>
    </rPh>
    <rPh sb="2" eb="4">
      <t>クブン</t>
    </rPh>
    <phoneticPr fontId="3"/>
  </si>
  <si>
    <r>
      <rPr>
        <sz val="10"/>
        <rFont val="ＭＳ Ｐゴシック"/>
        <family val="3"/>
        <charset val="128"/>
      </rPr>
      <t>通行中</t>
    </r>
    <rPh sb="0" eb="2">
      <t>ツウコウ</t>
    </rPh>
    <rPh sb="2" eb="3">
      <t>チュウ</t>
    </rPh>
    <phoneticPr fontId="3"/>
  </si>
  <si>
    <r>
      <rPr>
        <sz val="10"/>
        <rFont val="ＭＳ Ｐゴシック"/>
        <family val="3"/>
        <charset val="128"/>
      </rPr>
      <t>横断中</t>
    </r>
    <rPh sb="0" eb="3">
      <t>オウダンチュウ</t>
    </rPh>
    <phoneticPr fontId="3"/>
  </si>
  <si>
    <r>
      <rPr>
        <sz val="9"/>
        <rFont val="ＭＳ Ｐゴシック"/>
        <family val="3"/>
        <charset val="128"/>
      </rPr>
      <t>通行中</t>
    </r>
    <rPh sb="0" eb="2">
      <t>ツウコウ</t>
    </rPh>
    <rPh sb="2" eb="3">
      <t>チュウ</t>
    </rPh>
    <phoneticPr fontId="3"/>
  </si>
  <si>
    <r>
      <rPr>
        <sz val="9"/>
        <rFont val="ＭＳ Ｐゴシック"/>
        <family val="3"/>
        <charset val="128"/>
      </rPr>
      <t>横断中</t>
    </r>
    <rPh sb="0" eb="3">
      <t>オウダンチュウ</t>
    </rPh>
    <phoneticPr fontId="3"/>
  </si>
  <si>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歩行者が１当又は２当となった事故の件数及びその事故により生じた死傷者数を計上。</t>
    </r>
    <rPh sb="2" eb="3">
      <t>チュウ</t>
    </rPh>
    <rPh sb="4" eb="7">
      <t>ホコウシャ</t>
    </rPh>
    <rPh sb="9" eb="10">
      <t>トウ</t>
    </rPh>
    <rPh sb="10" eb="11">
      <t>マタ</t>
    </rPh>
    <rPh sb="13" eb="14">
      <t>トウ</t>
    </rPh>
    <rPh sb="18" eb="20">
      <t>ジコ</t>
    </rPh>
    <rPh sb="21" eb="23">
      <t>ケンスウ</t>
    </rPh>
    <rPh sb="23" eb="24">
      <t>オヨ</t>
    </rPh>
    <rPh sb="27" eb="29">
      <t>ジコ</t>
    </rPh>
    <rPh sb="32" eb="33">
      <t>ショウ</t>
    </rPh>
    <rPh sb="35" eb="38">
      <t>シショウシャ</t>
    </rPh>
    <rPh sb="38" eb="39">
      <t>スウ</t>
    </rPh>
    <rPh sb="40" eb="42">
      <t>ケイジョウ</t>
    </rPh>
    <phoneticPr fontId="48"/>
  </si>
  <si>
    <r>
      <rPr>
        <sz val="11"/>
        <rFont val="ＭＳ Ｐゴシック"/>
        <family val="3"/>
        <charset val="128"/>
      </rPr>
      <t>　　（時間別、状態別）</t>
    </r>
    <rPh sb="3" eb="5">
      <t>ジカン</t>
    </rPh>
    <rPh sb="5" eb="6">
      <t>ベツ</t>
    </rPh>
    <rPh sb="7" eb="9">
      <t>ジョウタイ</t>
    </rPh>
    <rPh sb="9" eb="10">
      <t>ベツ</t>
    </rPh>
    <phoneticPr fontId="3"/>
  </si>
  <si>
    <r>
      <rPr>
        <sz val="8"/>
        <rFont val="ＭＳ Ｐゴシック"/>
        <family val="3"/>
        <charset val="128"/>
      </rPr>
      <t>区分</t>
    </r>
    <rPh sb="0" eb="2">
      <t>クブン</t>
    </rPh>
    <phoneticPr fontId="3"/>
  </si>
  <si>
    <r>
      <rPr>
        <sz val="8"/>
        <rFont val="ＭＳ Ｐゴシック"/>
        <family val="3"/>
        <charset val="128"/>
      </rPr>
      <t>時間</t>
    </r>
    <rPh sb="0" eb="2">
      <t>ジカン</t>
    </rPh>
    <phoneticPr fontId="3"/>
  </si>
  <si>
    <r>
      <rPr>
        <sz val="9"/>
        <rFont val="ＭＳ Ｐゴシック"/>
        <family val="3"/>
        <charset val="128"/>
      </rPr>
      <t>通行中</t>
    </r>
    <rPh sb="0" eb="2">
      <t>ツウコウ</t>
    </rPh>
    <phoneticPr fontId="3"/>
  </si>
  <si>
    <r>
      <rPr>
        <sz val="9"/>
        <rFont val="ＭＳ Ｐゴシック"/>
        <family val="3"/>
        <charset val="128"/>
      </rPr>
      <t>横断中</t>
    </r>
  </si>
  <si>
    <r>
      <rPr>
        <sz val="9"/>
        <rFont val="ＭＳ Ｐゴシック"/>
        <family val="3"/>
        <charset val="128"/>
      </rPr>
      <t>その他</t>
    </r>
  </si>
  <si>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歩行者が１当又は２当となった事故の件数及びその事故により生じた死傷者数を計上。</t>
    </r>
    <phoneticPr fontId="3"/>
  </si>
  <si>
    <r>
      <t xml:space="preserve"> </t>
    </r>
    <r>
      <rPr>
        <sz val="12"/>
        <rFont val="ＭＳ Ｐゴシック"/>
        <family val="3"/>
        <charset val="128"/>
      </rPr>
      <t>（６）自転車の事故</t>
    </r>
    <rPh sb="4" eb="7">
      <t>ジテンシャ</t>
    </rPh>
    <rPh sb="8" eb="10">
      <t>ジコ</t>
    </rPh>
    <phoneticPr fontId="3"/>
  </si>
  <si>
    <r>
      <rPr>
        <sz val="12"/>
        <rFont val="ＭＳ Ｐゴシック"/>
        <family val="3"/>
        <charset val="128"/>
      </rPr>
      <t>　自転車の交通事故の推移</t>
    </r>
    <rPh sb="1" eb="4">
      <t>ジテンシャ</t>
    </rPh>
    <rPh sb="5" eb="7">
      <t>コウツウ</t>
    </rPh>
    <rPh sb="7" eb="9">
      <t>ジコ</t>
    </rPh>
    <rPh sb="10" eb="12">
      <t>スイイ</t>
    </rPh>
    <phoneticPr fontId="3"/>
  </si>
  <si>
    <r>
      <rPr>
        <sz val="12"/>
        <rFont val="ＭＳ Ｐゴシック"/>
        <family val="3"/>
        <charset val="128"/>
      </rPr>
      <t>年別</t>
    </r>
    <rPh sb="0" eb="2">
      <t>ネンベツ</t>
    </rPh>
    <phoneticPr fontId="3"/>
  </si>
  <si>
    <r>
      <rPr>
        <sz val="11"/>
        <rFont val="ＭＳ Ｐゴシック"/>
        <family val="3"/>
        <charset val="128"/>
      </rPr>
      <t>令和元</t>
    </r>
    <rPh sb="0" eb="2">
      <t>レイワ</t>
    </rPh>
    <rPh sb="2" eb="3">
      <t>ゲン</t>
    </rPh>
    <phoneticPr fontId="3"/>
  </si>
  <si>
    <r>
      <rPr>
        <sz val="11"/>
        <rFont val="ＭＳ Ｐゴシック"/>
        <family val="3"/>
        <charset val="128"/>
      </rPr>
      <t>令和</t>
    </r>
    <r>
      <rPr>
        <sz val="11"/>
        <rFont val="Arial"/>
        <family val="2"/>
      </rPr>
      <t>2</t>
    </r>
    <rPh sb="0" eb="2">
      <t>レイワ</t>
    </rPh>
    <phoneticPr fontId="3"/>
  </si>
  <si>
    <r>
      <rPr>
        <sz val="11"/>
        <rFont val="ＭＳ Ｐゴシック"/>
        <family val="3"/>
        <charset val="128"/>
      </rPr>
      <t>令和</t>
    </r>
    <r>
      <rPr>
        <sz val="11"/>
        <rFont val="Arial"/>
        <family val="2"/>
      </rPr>
      <t>3</t>
    </r>
    <rPh sb="0" eb="2">
      <t>レイワ</t>
    </rPh>
    <phoneticPr fontId="3"/>
  </si>
  <si>
    <r>
      <rPr>
        <sz val="12"/>
        <rFont val="ＭＳ Ｐゴシック"/>
        <family val="3"/>
        <charset val="128"/>
      </rPr>
      <t>区分</t>
    </r>
    <rPh sb="0" eb="2">
      <t>クブン</t>
    </rPh>
    <phoneticPr fontId="3"/>
  </si>
  <si>
    <r>
      <rPr>
        <sz val="10"/>
        <rFont val="ＭＳ Ｐゴシック"/>
        <family val="3"/>
        <charset val="128"/>
      </rPr>
      <t>件数（件）</t>
    </r>
    <rPh sb="0" eb="2">
      <t>ケンスウ</t>
    </rPh>
    <rPh sb="3" eb="4">
      <t>ケン</t>
    </rPh>
    <phoneticPr fontId="3"/>
  </si>
  <si>
    <r>
      <rPr>
        <sz val="10"/>
        <rFont val="ＭＳ Ｐゴシック"/>
        <family val="3"/>
        <charset val="128"/>
      </rPr>
      <t>死者数①
（人）</t>
    </r>
    <rPh sb="0" eb="2">
      <t>シシャ</t>
    </rPh>
    <rPh sb="2" eb="3">
      <t>スウ</t>
    </rPh>
    <rPh sb="6" eb="7">
      <t>ヒト</t>
    </rPh>
    <phoneticPr fontId="3"/>
  </si>
  <si>
    <r>
      <rPr>
        <sz val="10"/>
        <rFont val="ＭＳ Ｐゴシック"/>
        <family val="3"/>
        <charset val="128"/>
      </rPr>
      <t>負傷者数
（人）</t>
    </r>
    <rPh sb="0" eb="1">
      <t>フ</t>
    </rPh>
    <rPh sb="1" eb="2">
      <t>キズ</t>
    </rPh>
    <rPh sb="2" eb="3">
      <t>モノ</t>
    </rPh>
    <rPh sb="3" eb="4">
      <t>スウ</t>
    </rPh>
    <rPh sb="6" eb="7">
      <t>ヒト</t>
    </rPh>
    <phoneticPr fontId="3"/>
  </si>
  <si>
    <r>
      <rPr>
        <sz val="10"/>
        <rFont val="ＭＳ Ｐゴシック"/>
        <family val="3"/>
        <charset val="128"/>
      </rPr>
      <t>全死者数②（人）</t>
    </r>
    <rPh sb="0" eb="1">
      <t>ゼン</t>
    </rPh>
    <rPh sb="1" eb="3">
      <t>シシャ</t>
    </rPh>
    <rPh sb="3" eb="4">
      <t>スウ</t>
    </rPh>
    <rPh sb="6" eb="7">
      <t>ヒト</t>
    </rPh>
    <phoneticPr fontId="3"/>
  </si>
  <si>
    <r>
      <rPr>
        <sz val="10"/>
        <rFont val="ＭＳ Ｐゴシック"/>
        <family val="3"/>
        <charset val="128"/>
      </rPr>
      <t>①</t>
    </r>
    <r>
      <rPr>
        <sz val="10"/>
        <rFont val="Arial"/>
        <family val="2"/>
      </rPr>
      <t>/</t>
    </r>
    <r>
      <rPr>
        <sz val="10"/>
        <rFont val="ＭＳ Ｐゴシック"/>
        <family val="3"/>
        <charset val="128"/>
      </rPr>
      <t xml:space="preserve">②
</t>
    </r>
    <r>
      <rPr>
        <sz val="10"/>
        <rFont val="Arial"/>
        <family val="2"/>
      </rPr>
      <t>×</t>
    </r>
    <r>
      <rPr>
        <sz val="10"/>
        <rFont val="ＭＳ Ｐゴシック"/>
        <family val="3"/>
        <charset val="128"/>
      </rPr>
      <t>１００（％）</t>
    </r>
    <phoneticPr fontId="3"/>
  </si>
  <si>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自転車が関連した（１当又は２当）となった件数とその事故により生じた全死傷者数を計上。</t>
    </r>
    <phoneticPr fontId="3"/>
  </si>
  <si>
    <r>
      <t xml:space="preserve">  (</t>
    </r>
    <r>
      <rPr>
        <sz val="11"/>
        <rFont val="ＭＳ Ｐゴシック"/>
        <family val="3"/>
        <charset val="128"/>
      </rPr>
      <t>注</t>
    </r>
    <r>
      <rPr>
        <sz val="11"/>
        <rFont val="Arial"/>
        <family val="2"/>
      </rPr>
      <t>)</t>
    </r>
    <r>
      <rPr>
        <sz val="11"/>
        <rFont val="ＭＳ Ｐゴシック"/>
        <family val="3"/>
        <charset val="128"/>
      </rPr>
      <t>昭和</t>
    </r>
    <r>
      <rPr>
        <sz val="11"/>
        <rFont val="Arial"/>
        <family val="2"/>
      </rPr>
      <t>45</t>
    </r>
    <r>
      <rPr>
        <sz val="11"/>
        <rFont val="ＭＳ Ｐゴシック"/>
        <family val="3"/>
        <charset val="128"/>
      </rPr>
      <t>年～平成</t>
    </r>
    <r>
      <rPr>
        <sz val="11"/>
        <rFont val="Arial"/>
        <family val="2"/>
      </rPr>
      <t>29</t>
    </r>
    <r>
      <rPr>
        <sz val="11"/>
        <rFont val="ＭＳ Ｐゴシック"/>
        <family val="3"/>
        <charset val="128"/>
      </rPr>
      <t>年は、「内重傷者数（人）」の記録なし。</t>
    </r>
    <phoneticPr fontId="3"/>
  </si>
  <si>
    <r>
      <rPr>
        <sz val="12"/>
        <rFont val="ＭＳ Ｐゴシック"/>
        <family val="3"/>
        <charset val="128"/>
      </rPr>
      <t>　月別発生状況（自転車）</t>
    </r>
    <rPh sb="1" eb="2">
      <t>ツキ</t>
    </rPh>
    <rPh sb="2" eb="3">
      <t>ベツ</t>
    </rPh>
    <rPh sb="3" eb="5">
      <t>ハッセイ</t>
    </rPh>
    <rPh sb="5" eb="7">
      <t>ジョウキョウ</t>
    </rPh>
    <rPh sb="8" eb="11">
      <t>ジテンシャ</t>
    </rPh>
    <phoneticPr fontId="3"/>
  </si>
  <si>
    <r>
      <rPr>
        <sz val="11"/>
        <rFont val="ＭＳ Ｐゴシック"/>
        <family val="3"/>
        <charset val="128"/>
      </rPr>
      <t>月</t>
    </r>
    <rPh sb="0" eb="1">
      <t>ツキ</t>
    </rPh>
    <phoneticPr fontId="3"/>
  </si>
  <si>
    <r>
      <rPr>
        <sz val="10"/>
        <rFont val="ＭＳ Ｐゴシック"/>
        <family val="3"/>
        <charset val="128"/>
      </rPr>
      <t>件数（件）</t>
    </r>
    <rPh sb="0" eb="1">
      <t>ケン</t>
    </rPh>
    <rPh sb="1" eb="2">
      <t>カズ</t>
    </rPh>
    <rPh sb="3" eb="4">
      <t>ケン</t>
    </rPh>
    <phoneticPr fontId="3"/>
  </si>
  <si>
    <r>
      <rPr>
        <sz val="10"/>
        <rFont val="ＭＳ Ｐゴシック"/>
        <family val="3"/>
        <charset val="128"/>
      </rPr>
      <t>死者数（人）</t>
    </r>
    <rPh sb="0" eb="1">
      <t>シ</t>
    </rPh>
    <rPh sb="1" eb="2">
      <t>モノ</t>
    </rPh>
    <rPh sb="2" eb="3">
      <t>スウ</t>
    </rPh>
    <rPh sb="4" eb="5">
      <t>ヒト</t>
    </rPh>
    <phoneticPr fontId="3"/>
  </si>
  <si>
    <r>
      <rPr>
        <sz val="10"/>
        <rFont val="ＭＳ Ｐゴシック"/>
        <family val="3"/>
        <charset val="128"/>
      </rPr>
      <t>負傷者数（人）</t>
    </r>
    <rPh sb="0" eb="3">
      <t>フショウシャ</t>
    </rPh>
    <rPh sb="3" eb="4">
      <t>スウ</t>
    </rPh>
    <rPh sb="5" eb="6">
      <t>ヒト</t>
    </rPh>
    <phoneticPr fontId="3"/>
  </si>
  <si>
    <t>内重傷者数（人）</t>
    <rPh sb="0" eb="1">
      <t>ウチ</t>
    </rPh>
    <rPh sb="1" eb="4">
      <t>ジュウショウシャ</t>
    </rPh>
    <rPh sb="4" eb="5">
      <t>スウ</t>
    </rPh>
    <rPh sb="6" eb="7">
      <t>ヒト</t>
    </rPh>
    <phoneticPr fontId="3"/>
  </si>
  <si>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自転車が関連した（１当又は２当となった）件数とその事故により生じた全死傷者数を計上。</t>
    </r>
    <rPh sb="2" eb="3">
      <t>チュウ</t>
    </rPh>
    <rPh sb="4" eb="7">
      <t>ジテンシャ</t>
    </rPh>
    <rPh sb="8" eb="10">
      <t>カンレン</t>
    </rPh>
    <rPh sb="14" eb="15">
      <t>トウ</t>
    </rPh>
    <rPh sb="15" eb="16">
      <t>マタ</t>
    </rPh>
    <rPh sb="18" eb="19">
      <t>トウ</t>
    </rPh>
    <rPh sb="24" eb="26">
      <t>ケンスウ</t>
    </rPh>
    <rPh sb="29" eb="31">
      <t>ジコ</t>
    </rPh>
    <rPh sb="34" eb="35">
      <t>ショウ</t>
    </rPh>
    <rPh sb="37" eb="38">
      <t>ゼン</t>
    </rPh>
    <rPh sb="38" eb="40">
      <t>シショウ</t>
    </rPh>
    <rPh sb="40" eb="41">
      <t>シャ</t>
    </rPh>
    <rPh sb="41" eb="42">
      <t>スウ</t>
    </rPh>
    <rPh sb="43" eb="45">
      <t>ケイジョウ</t>
    </rPh>
    <phoneticPr fontId="3"/>
  </si>
  <si>
    <r>
      <rPr>
        <sz val="12"/>
        <rFont val="ＭＳ Ｐゴシック"/>
        <family val="3"/>
        <charset val="128"/>
      </rPr>
      <t>（</t>
    </r>
    <r>
      <rPr>
        <sz val="12"/>
        <rFont val="Arial"/>
        <family val="2"/>
      </rPr>
      <t>7</t>
    </r>
    <r>
      <rPr>
        <sz val="12"/>
        <rFont val="ＭＳ Ｐゴシック"/>
        <family val="3"/>
        <charset val="128"/>
      </rPr>
      <t>）二輪車の事故</t>
    </r>
    <rPh sb="3" eb="6">
      <t>ニリンシャ</t>
    </rPh>
    <rPh sb="7" eb="9">
      <t>ジコ</t>
    </rPh>
    <phoneticPr fontId="3"/>
  </si>
  <si>
    <r>
      <t xml:space="preserve">   </t>
    </r>
    <r>
      <rPr>
        <sz val="12"/>
        <rFont val="ＭＳ Ｐゴシック"/>
        <family val="3"/>
        <charset val="128"/>
      </rPr>
      <t>①自動二輪車の交通事故発生状況</t>
    </r>
    <rPh sb="4" eb="6">
      <t>ジドウ</t>
    </rPh>
    <rPh sb="6" eb="9">
      <t>ニリンシャ</t>
    </rPh>
    <rPh sb="10" eb="12">
      <t>コウツウ</t>
    </rPh>
    <rPh sb="12" eb="14">
      <t>ジコ</t>
    </rPh>
    <rPh sb="14" eb="16">
      <t>ハッセイ</t>
    </rPh>
    <rPh sb="16" eb="18">
      <t>ジョウキョウ</t>
    </rPh>
    <phoneticPr fontId="3"/>
  </si>
  <si>
    <r>
      <rPr>
        <sz val="11"/>
        <rFont val="ＭＳ Ｐゴシック"/>
        <family val="3"/>
        <charset val="128"/>
      </rPr>
      <t>　自動二輪車の交通事故の推移</t>
    </r>
    <rPh sb="1" eb="3">
      <t>ジドウ</t>
    </rPh>
    <rPh sb="3" eb="6">
      <t>ニリンシャ</t>
    </rPh>
    <rPh sb="7" eb="9">
      <t>コウツウ</t>
    </rPh>
    <rPh sb="9" eb="11">
      <t>ジコ</t>
    </rPh>
    <rPh sb="12" eb="14">
      <t>スイイ</t>
    </rPh>
    <phoneticPr fontId="3"/>
  </si>
  <si>
    <t>年別</t>
    <rPh sb="0" eb="2">
      <t>ネンベツ</t>
    </rPh>
    <phoneticPr fontId="3"/>
  </si>
  <si>
    <r>
      <rPr>
        <sz val="11"/>
        <rFont val="ＭＳ Ｐゴシック"/>
        <family val="3"/>
        <charset val="128"/>
      </rPr>
      <t>昭和</t>
    </r>
    <r>
      <rPr>
        <sz val="11"/>
        <rFont val="Arial"/>
        <family val="2"/>
      </rPr>
      <t>61</t>
    </r>
    <rPh sb="0" eb="2">
      <t>ショウワ</t>
    </rPh>
    <phoneticPr fontId="3"/>
  </si>
  <si>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自動二輪車が関連した（１当又は２当となった</t>
    </r>
    <r>
      <rPr>
        <sz val="11"/>
        <rFont val="Arial"/>
        <family val="2"/>
      </rPr>
      <t>)</t>
    </r>
    <r>
      <rPr>
        <sz val="11"/>
        <rFont val="ＭＳ Ｐゴシック"/>
        <family val="3"/>
        <charset val="128"/>
      </rPr>
      <t>件数とその事故により生じた全死傷者数を計上。</t>
    </r>
    <rPh sb="2" eb="3">
      <t>チュウ</t>
    </rPh>
    <rPh sb="4" eb="6">
      <t>ジドウ</t>
    </rPh>
    <rPh sb="6" eb="9">
      <t>ニリンシャ</t>
    </rPh>
    <phoneticPr fontId="3"/>
  </si>
  <si>
    <r>
      <t xml:space="preserve">  (</t>
    </r>
    <r>
      <rPr>
        <sz val="11"/>
        <rFont val="ＭＳ Ｐゴシック"/>
        <family val="3"/>
        <charset val="128"/>
      </rPr>
      <t>注</t>
    </r>
    <r>
      <rPr>
        <sz val="11"/>
        <rFont val="Arial"/>
        <family val="2"/>
      </rPr>
      <t>)</t>
    </r>
    <r>
      <rPr>
        <sz val="11"/>
        <rFont val="ＭＳ Ｐゴシック"/>
        <family val="3"/>
        <charset val="128"/>
      </rPr>
      <t>昭和</t>
    </r>
    <r>
      <rPr>
        <sz val="11"/>
        <rFont val="Arial"/>
        <family val="2"/>
      </rPr>
      <t>61</t>
    </r>
    <r>
      <rPr>
        <sz val="11"/>
        <rFont val="ＭＳ Ｐゴシック"/>
        <family val="3"/>
        <charset val="128"/>
      </rPr>
      <t>年</t>
    </r>
    <r>
      <rPr>
        <sz val="11"/>
        <rFont val="ＭＳ Ｐゴシック"/>
        <family val="3"/>
        <charset val="128"/>
      </rPr>
      <t>～</t>
    </r>
    <r>
      <rPr>
        <sz val="11"/>
        <rFont val="ＭＳ Ｐゴシック"/>
        <family val="3"/>
        <charset val="128"/>
      </rPr>
      <t>平成</t>
    </r>
    <r>
      <rPr>
        <sz val="11"/>
        <rFont val="Arial"/>
        <family val="2"/>
      </rPr>
      <t>29</t>
    </r>
    <r>
      <rPr>
        <sz val="11"/>
        <rFont val="ＭＳ Ｐゴシック"/>
        <family val="3"/>
        <charset val="128"/>
      </rPr>
      <t>年</t>
    </r>
    <r>
      <rPr>
        <sz val="11"/>
        <rFont val="ＭＳ Ｐゴシック"/>
        <family val="3"/>
        <charset val="128"/>
      </rPr>
      <t>は、「内重傷者数」（人）の記録なし。</t>
    </r>
    <rPh sb="5" eb="7">
      <t>ショウワ</t>
    </rPh>
    <rPh sb="9" eb="10">
      <t>ネン</t>
    </rPh>
    <rPh sb="11" eb="13">
      <t>ヘイセイ</t>
    </rPh>
    <rPh sb="15" eb="16">
      <t>ネン</t>
    </rPh>
    <rPh sb="26" eb="27">
      <t>ニン</t>
    </rPh>
    <phoneticPr fontId="3"/>
  </si>
  <si>
    <r>
      <rPr>
        <sz val="11"/>
        <rFont val="ＭＳ Ｐゴシック"/>
        <family val="3"/>
        <charset val="128"/>
      </rPr>
      <t>　月別発生状況　（自動二輪車）</t>
    </r>
    <rPh sb="1" eb="2">
      <t>ツキ</t>
    </rPh>
    <rPh sb="2" eb="3">
      <t>ベツ</t>
    </rPh>
    <rPh sb="3" eb="5">
      <t>ハッセイ</t>
    </rPh>
    <rPh sb="5" eb="7">
      <t>ジョウキョウ</t>
    </rPh>
    <rPh sb="9" eb="11">
      <t>ジドウ</t>
    </rPh>
    <rPh sb="11" eb="14">
      <t>ニリンシャ</t>
    </rPh>
    <phoneticPr fontId="3"/>
  </si>
  <si>
    <r>
      <rPr>
        <sz val="10"/>
        <rFont val="ＭＳ Ｐゴシック"/>
        <family val="3"/>
        <charset val="128"/>
      </rPr>
      <t>負傷者数（人）</t>
    </r>
    <rPh sb="0" eb="1">
      <t>フ</t>
    </rPh>
    <rPh sb="1" eb="2">
      <t>キズ</t>
    </rPh>
    <rPh sb="2" eb="3">
      <t>モノ</t>
    </rPh>
    <rPh sb="3" eb="4">
      <t>スウ</t>
    </rPh>
    <rPh sb="5" eb="6">
      <t>ヒト</t>
    </rPh>
    <phoneticPr fontId="3"/>
  </si>
  <si>
    <t>自転車対自転車・自転車対歩行者関連事故の推移</t>
    <phoneticPr fontId="3"/>
  </si>
  <si>
    <r>
      <rPr>
        <sz val="12"/>
        <color theme="1"/>
        <rFont val="ＭＳ Ｐゴシック"/>
        <family val="3"/>
        <charset val="128"/>
      </rPr>
      <t>自転車対自転車</t>
    </r>
    <rPh sb="0" eb="3">
      <t>ジテンシャ</t>
    </rPh>
    <rPh sb="3" eb="4">
      <t>タイ</t>
    </rPh>
    <rPh sb="4" eb="7">
      <t>ジテンシャ</t>
    </rPh>
    <phoneticPr fontId="55"/>
  </si>
  <si>
    <r>
      <rPr>
        <sz val="12"/>
        <rFont val="ＭＳ Ｐゴシック"/>
        <family val="3"/>
        <charset val="128"/>
      </rPr>
      <t>自転車対歩行者</t>
    </r>
    <phoneticPr fontId="3"/>
  </si>
  <si>
    <r>
      <t>　</t>
    </r>
    <r>
      <rPr>
        <sz val="10"/>
        <color theme="1"/>
        <rFont val="ＭＳ Ｐゴシック"/>
        <family val="3"/>
        <charset val="128"/>
      </rPr>
      <t>　　年別区分
　</t>
    </r>
    <rPh sb="3" eb="5">
      <t>ネンベツ</t>
    </rPh>
    <rPh sb="5" eb="7">
      <t>クブン</t>
    </rPh>
    <phoneticPr fontId="3"/>
  </si>
  <si>
    <r>
      <t>R</t>
    </r>
    <r>
      <rPr>
        <sz val="11"/>
        <rFont val="ＭＳ Ｐゴシック"/>
        <family val="3"/>
        <charset val="128"/>
      </rPr>
      <t>元</t>
    </r>
    <rPh sb="1" eb="2">
      <t>ゲン</t>
    </rPh>
    <phoneticPr fontId="3"/>
  </si>
  <si>
    <r>
      <rPr>
        <sz val="11"/>
        <rFont val="ＭＳ Ｐゴシック"/>
        <family val="3"/>
        <charset val="128"/>
      </rPr>
      <t>（注）</t>
    </r>
    <rPh sb="1" eb="2">
      <t>チュウ</t>
    </rPh>
    <phoneticPr fontId="3"/>
  </si>
  <si>
    <r>
      <rPr>
        <sz val="11"/>
        <rFont val="ＭＳ Ｐゴシック"/>
        <family val="3"/>
        <charset val="128"/>
      </rPr>
      <t>（注）</t>
    </r>
    <phoneticPr fontId="3"/>
  </si>
  <si>
    <r>
      <rPr>
        <sz val="12"/>
        <rFont val="ＭＳ Ｐゴシック"/>
        <family val="3"/>
        <charset val="128"/>
      </rPr>
      <t>事故類型別（自転車）</t>
    </r>
    <rPh sb="0" eb="2">
      <t>ジコ</t>
    </rPh>
    <rPh sb="2" eb="4">
      <t>ルイケイ</t>
    </rPh>
    <rPh sb="4" eb="5">
      <t>ベツ</t>
    </rPh>
    <rPh sb="6" eb="9">
      <t>ジテンシャ</t>
    </rPh>
    <phoneticPr fontId="3"/>
  </si>
  <si>
    <r>
      <rPr>
        <sz val="11"/>
        <rFont val="ＭＳ Ｐゴシック"/>
        <family val="3"/>
        <charset val="128"/>
      </rPr>
      <t>横断歩道橋付近</t>
    </r>
    <phoneticPr fontId="3"/>
  </si>
  <si>
    <r>
      <rPr>
        <sz val="11"/>
        <rFont val="ＭＳ Ｐゴシック"/>
        <family val="3"/>
        <charset val="128"/>
      </rPr>
      <t>追越追抜時</t>
    </r>
    <rPh sb="0" eb="2">
      <t>オイコシ</t>
    </rPh>
    <rPh sb="2" eb="4">
      <t>オイヌ</t>
    </rPh>
    <rPh sb="4" eb="5">
      <t>ジ</t>
    </rPh>
    <phoneticPr fontId="3"/>
  </si>
  <si>
    <r>
      <rPr>
        <sz val="11"/>
        <rFont val="ＭＳ Ｐゴシック"/>
        <family val="3"/>
        <charset val="128"/>
      </rPr>
      <t>相</t>
    </r>
    <rPh sb="0" eb="1">
      <t>ソウ</t>
    </rPh>
    <phoneticPr fontId="3"/>
  </si>
  <si>
    <r>
      <rPr>
        <sz val="11"/>
        <rFont val="ＭＳ Ｐゴシック"/>
        <family val="3"/>
        <charset val="128"/>
      </rPr>
      <t>互</t>
    </r>
    <rPh sb="0" eb="1">
      <t>ゴ</t>
    </rPh>
    <phoneticPr fontId="3"/>
  </si>
  <si>
    <r>
      <t>(</t>
    </r>
    <r>
      <rPr>
        <sz val="11"/>
        <rFont val="ＭＳ Ｐゴシック"/>
        <family val="3"/>
        <charset val="128"/>
      </rPr>
      <t>注</t>
    </r>
    <r>
      <rPr>
        <sz val="11"/>
        <rFont val="Arial"/>
        <family val="2"/>
      </rPr>
      <t>)</t>
    </r>
    <r>
      <rPr>
        <sz val="11"/>
        <rFont val="ＭＳ Ｐゴシック"/>
        <family val="3"/>
        <charset val="128"/>
      </rPr>
      <t>自転車が関連した（１当又は２当となった）件数とその事故により生じた全死傷者数を計上。</t>
    </r>
    <rPh sb="1" eb="2">
      <t>チュウ</t>
    </rPh>
    <phoneticPr fontId="3"/>
  </si>
  <si>
    <r>
      <rPr>
        <sz val="12"/>
        <rFont val="ＭＳ Ｐゴシック"/>
        <family val="3"/>
        <charset val="128"/>
      </rPr>
      <t>自転車関連事故発生状況</t>
    </r>
    <rPh sb="0" eb="3">
      <t>ジテンシャ</t>
    </rPh>
    <rPh sb="3" eb="5">
      <t>カンレン</t>
    </rPh>
    <rPh sb="5" eb="7">
      <t>ジコ</t>
    </rPh>
    <rPh sb="7" eb="9">
      <t>ハッセイ</t>
    </rPh>
    <rPh sb="9" eb="11">
      <t>ジョウキョウ</t>
    </rPh>
    <phoneticPr fontId="3"/>
  </si>
  <si>
    <r>
      <rPr>
        <sz val="12"/>
        <rFont val="ＭＳ Ｐゴシック"/>
        <family val="3"/>
        <charset val="128"/>
      </rPr>
      <t>　　（行政区、類型別）</t>
    </r>
    <rPh sb="3" eb="6">
      <t>ギョウセイク</t>
    </rPh>
    <rPh sb="7" eb="9">
      <t>ルイケイ</t>
    </rPh>
    <rPh sb="9" eb="10">
      <t>ベツ</t>
    </rPh>
    <phoneticPr fontId="3"/>
  </si>
  <si>
    <r>
      <rPr>
        <sz val="9"/>
        <rFont val="ＭＳ Ｐゴシック"/>
        <family val="3"/>
        <charset val="128"/>
      </rPr>
      <t>人対車両</t>
    </r>
    <rPh sb="0" eb="1">
      <t>ヒト</t>
    </rPh>
    <rPh sb="1" eb="2">
      <t>タイ</t>
    </rPh>
    <rPh sb="2" eb="4">
      <t>シャリョウ</t>
    </rPh>
    <phoneticPr fontId="3"/>
  </si>
  <si>
    <r>
      <rPr>
        <sz val="9"/>
        <rFont val="ＭＳ Ｐゴシック"/>
        <family val="3"/>
        <charset val="128"/>
      </rPr>
      <t>車両相互</t>
    </r>
    <rPh sb="0" eb="2">
      <t>シャリョウ</t>
    </rPh>
    <rPh sb="2" eb="4">
      <t>ソウゴ</t>
    </rPh>
    <phoneticPr fontId="3"/>
  </si>
  <si>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自転車が関連した（１当又は２当となった）件数とその事故により生じた全死傷者数を計上。</t>
    </r>
    <phoneticPr fontId="3"/>
  </si>
  <si>
    <r>
      <rPr>
        <sz val="12"/>
        <rFont val="ＭＳ Ｐゴシック"/>
        <family val="3"/>
        <charset val="128"/>
      </rPr>
      <t>自転車関連事故発生状況</t>
    </r>
    <phoneticPr fontId="3"/>
  </si>
  <si>
    <r>
      <rPr>
        <sz val="12"/>
        <rFont val="ＭＳ Ｐゴシック"/>
        <family val="3"/>
        <charset val="128"/>
      </rPr>
      <t>　（時間別、類型別）</t>
    </r>
    <phoneticPr fontId="3"/>
  </si>
  <si>
    <r>
      <rPr>
        <sz val="8"/>
        <color indexed="8"/>
        <rFont val="ＭＳ Ｐゴシック"/>
        <family val="3"/>
        <charset val="128"/>
      </rPr>
      <t>区分</t>
    </r>
    <rPh sb="0" eb="2">
      <t>クブン</t>
    </rPh>
    <phoneticPr fontId="3"/>
  </si>
  <si>
    <r>
      <rPr>
        <sz val="11"/>
        <color indexed="8"/>
        <rFont val="ＭＳ Ｐゴシック"/>
        <family val="3"/>
        <charset val="128"/>
      </rPr>
      <t>件　　数</t>
    </r>
    <rPh sb="0" eb="1">
      <t>ケン</t>
    </rPh>
    <rPh sb="3" eb="4">
      <t>カズ</t>
    </rPh>
    <phoneticPr fontId="3"/>
  </si>
  <si>
    <r>
      <rPr>
        <sz val="11"/>
        <color indexed="8"/>
        <rFont val="ＭＳ Ｐゴシック"/>
        <family val="3"/>
        <charset val="128"/>
      </rPr>
      <t>死　　者　　数</t>
    </r>
    <rPh sb="0" eb="1">
      <t>シ</t>
    </rPh>
    <rPh sb="3" eb="4">
      <t>モノ</t>
    </rPh>
    <rPh sb="6" eb="7">
      <t>スウ</t>
    </rPh>
    <phoneticPr fontId="3"/>
  </si>
  <si>
    <r>
      <rPr>
        <sz val="11"/>
        <color indexed="8"/>
        <rFont val="ＭＳ Ｐゴシック"/>
        <family val="3"/>
        <charset val="128"/>
      </rPr>
      <t>負　　傷　　者　　数</t>
    </r>
    <rPh sb="0" eb="1">
      <t>フ</t>
    </rPh>
    <rPh sb="3" eb="4">
      <t>キズ</t>
    </rPh>
    <rPh sb="6" eb="7">
      <t>シャ</t>
    </rPh>
    <rPh sb="9" eb="10">
      <t>スウ</t>
    </rPh>
    <phoneticPr fontId="3"/>
  </si>
  <si>
    <r>
      <rPr>
        <sz val="11"/>
        <color indexed="8"/>
        <rFont val="ＭＳ Ｐゴシック"/>
        <family val="3"/>
        <charset val="128"/>
      </rPr>
      <t>総数</t>
    </r>
    <rPh sb="0" eb="1">
      <t>フサ</t>
    </rPh>
    <rPh sb="1" eb="2">
      <t>カズ</t>
    </rPh>
    <phoneticPr fontId="3"/>
  </si>
  <si>
    <r>
      <rPr>
        <sz val="8"/>
        <color indexed="8"/>
        <rFont val="ＭＳ Ｐゴシック"/>
        <family val="3"/>
        <charset val="128"/>
      </rPr>
      <t>時間</t>
    </r>
    <rPh sb="0" eb="2">
      <t>ジカン</t>
    </rPh>
    <phoneticPr fontId="3"/>
  </si>
  <si>
    <r>
      <rPr>
        <sz val="11"/>
        <color indexed="8"/>
        <rFont val="ＭＳ Ｐゴシック"/>
        <family val="3"/>
        <charset val="128"/>
      </rPr>
      <t>夜</t>
    </r>
    <rPh sb="0" eb="1">
      <t>ヨル</t>
    </rPh>
    <phoneticPr fontId="3"/>
  </si>
  <si>
    <r>
      <rPr>
        <sz val="11"/>
        <color indexed="8"/>
        <rFont val="ＭＳ Ｐゴシック"/>
        <family val="3"/>
        <charset val="128"/>
      </rPr>
      <t>間</t>
    </r>
    <rPh sb="0" eb="1">
      <t>アイダ</t>
    </rPh>
    <phoneticPr fontId="3"/>
  </si>
  <si>
    <r>
      <rPr>
        <sz val="11"/>
        <color indexed="8"/>
        <rFont val="ＭＳ Ｐゴシック"/>
        <family val="3"/>
        <charset val="128"/>
      </rPr>
      <t>昼間計</t>
    </r>
    <rPh sb="0" eb="2">
      <t>チュウカン</t>
    </rPh>
    <rPh sb="2" eb="3">
      <t>ケイ</t>
    </rPh>
    <phoneticPr fontId="3"/>
  </si>
  <si>
    <r>
      <rPr>
        <sz val="11"/>
        <color indexed="8"/>
        <rFont val="ＭＳ Ｐゴシック"/>
        <family val="3"/>
        <charset val="128"/>
      </rPr>
      <t>夜間計</t>
    </r>
    <rPh sb="0" eb="2">
      <t>ヤカン</t>
    </rPh>
    <rPh sb="2" eb="3">
      <t>ケイ</t>
    </rPh>
    <phoneticPr fontId="3"/>
  </si>
  <si>
    <r>
      <rPr>
        <sz val="11"/>
        <color indexed="8"/>
        <rFont val="ＭＳ Ｐゴシック"/>
        <family val="3"/>
        <charset val="128"/>
      </rPr>
      <t>総数</t>
    </r>
    <rPh sb="0" eb="2">
      <t>ソウスウ</t>
    </rPh>
    <phoneticPr fontId="3"/>
  </si>
  <si>
    <r>
      <rPr>
        <sz val="12"/>
        <rFont val="ＭＳ Ｐゴシック"/>
        <family val="3"/>
        <charset val="128"/>
      </rPr>
      <t>事故類型別（自動二輪車）</t>
    </r>
    <rPh sb="0" eb="2">
      <t>ジコ</t>
    </rPh>
    <rPh sb="2" eb="4">
      <t>ルイケイ</t>
    </rPh>
    <rPh sb="4" eb="5">
      <t>ベツ</t>
    </rPh>
    <rPh sb="6" eb="8">
      <t>ジドウ</t>
    </rPh>
    <rPh sb="8" eb="11">
      <t>ニリンシャ</t>
    </rPh>
    <phoneticPr fontId="3"/>
  </si>
  <si>
    <r>
      <rPr>
        <sz val="11"/>
        <rFont val="ＭＳ Ｐゴシック"/>
        <family val="3"/>
        <charset val="128"/>
      </rPr>
      <t>死者数（人）</t>
    </r>
    <rPh sb="0" eb="2">
      <t>シシャ</t>
    </rPh>
    <rPh sb="2" eb="3">
      <t>スウ</t>
    </rPh>
    <phoneticPr fontId="3"/>
  </si>
  <si>
    <r>
      <rPr>
        <sz val="11"/>
        <rFont val="ＭＳ Ｐゴシック"/>
        <family val="3"/>
        <charset val="128"/>
      </rPr>
      <t>負傷者数（人）</t>
    </r>
    <rPh sb="0" eb="1">
      <t>フ</t>
    </rPh>
    <rPh sb="1" eb="3">
      <t>ショウシャ</t>
    </rPh>
    <rPh sb="3" eb="4">
      <t>スウ</t>
    </rPh>
    <phoneticPr fontId="3"/>
  </si>
  <si>
    <r>
      <rPr>
        <sz val="11"/>
        <rFont val="ＭＳ Ｐゴシック"/>
        <family val="3"/>
        <charset val="128"/>
      </rPr>
      <t>類型別</t>
    </r>
    <rPh sb="0" eb="2">
      <t>ルイケイ</t>
    </rPh>
    <rPh sb="2" eb="3">
      <t>ベツ</t>
    </rPh>
    <phoneticPr fontId="3"/>
  </si>
  <si>
    <r>
      <rPr>
        <sz val="10"/>
        <rFont val="ＭＳ Ｐゴシック"/>
        <family val="3"/>
        <charset val="128"/>
      </rPr>
      <t>　</t>
    </r>
    <r>
      <rPr>
        <sz val="10"/>
        <rFont val="Arial"/>
        <family val="2"/>
      </rPr>
      <t>(</t>
    </r>
    <r>
      <rPr>
        <sz val="10"/>
        <rFont val="ＭＳ Ｐゴシック"/>
        <family val="3"/>
        <charset val="128"/>
      </rPr>
      <t>注</t>
    </r>
    <r>
      <rPr>
        <sz val="10"/>
        <rFont val="Arial"/>
        <family val="2"/>
      </rPr>
      <t>)</t>
    </r>
    <r>
      <rPr>
        <sz val="10"/>
        <rFont val="ＭＳ Ｐゴシック"/>
        <family val="3"/>
        <charset val="128"/>
      </rPr>
      <t>自動二輪車が関連した（１当又は２当となった）件数とその事故により生じた全死傷者数を計上。</t>
    </r>
    <rPh sb="2" eb="3">
      <t>チュウ</t>
    </rPh>
    <rPh sb="4" eb="6">
      <t>ジドウ</t>
    </rPh>
    <rPh sb="6" eb="9">
      <t>ニリンシャ</t>
    </rPh>
    <rPh sb="39" eb="40">
      <t>ゼン</t>
    </rPh>
    <rPh sb="40" eb="43">
      <t>シショウシャ</t>
    </rPh>
    <rPh sb="43" eb="44">
      <t>スウ</t>
    </rPh>
    <rPh sb="45" eb="47">
      <t>ケイジョウ</t>
    </rPh>
    <phoneticPr fontId="3"/>
  </si>
  <si>
    <r>
      <rPr>
        <sz val="12"/>
        <rFont val="ＭＳ Ｐゴシック"/>
        <family val="3"/>
        <charset val="128"/>
      </rPr>
      <t>自動二輪車関連事故発生状況</t>
    </r>
    <rPh sb="0" eb="2">
      <t>ジドウ</t>
    </rPh>
    <rPh sb="2" eb="5">
      <t>ニリンシャ</t>
    </rPh>
    <rPh sb="5" eb="7">
      <t>カンレン</t>
    </rPh>
    <rPh sb="7" eb="9">
      <t>ジコ</t>
    </rPh>
    <rPh sb="9" eb="11">
      <t>ハッセイ</t>
    </rPh>
    <rPh sb="11" eb="13">
      <t>ジョウキョウ</t>
    </rPh>
    <phoneticPr fontId="3"/>
  </si>
  <si>
    <r>
      <rPr>
        <sz val="8"/>
        <rFont val="ＭＳ Ｐゴシック"/>
        <family val="3"/>
        <charset val="128"/>
      </rPr>
      <t>行政区分</t>
    </r>
    <rPh sb="0" eb="2">
      <t>ギョウセイ</t>
    </rPh>
    <rPh sb="2" eb="4">
      <t>クブン</t>
    </rPh>
    <phoneticPr fontId="3"/>
  </si>
  <si>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自動二輪車が関連した（１当又は２当となった）件数とその事故により生じた全死傷者数を計上。</t>
    </r>
    <rPh sb="2" eb="3">
      <t>チュウ</t>
    </rPh>
    <rPh sb="4" eb="6">
      <t>ジドウ</t>
    </rPh>
    <rPh sb="6" eb="9">
      <t>ニリンシャ</t>
    </rPh>
    <phoneticPr fontId="3"/>
  </si>
  <si>
    <r>
      <rPr>
        <sz val="12"/>
        <rFont val="ＭＳ Ｐゴシック"/>
        <family val="3"/>
        <charset val="128"/>
      </rPr>
      <t>　　（時間別、類型別）</t>
    </r>
    <rPh sb="3" eb="5">
      <t>ジカン</t>
    </rPh>
    <rPh sb="5" eb="6">
      <t>ベツ</t>
    </rPh>
    <rPh sb="7" eb="9">
      <t>ルイケイ</t>
    </rPh>
    <rPh sb="9" eb="10">
      <t>ベツ</t>
    </rPh>
    <phoneticPr fontId="3"/>
  </si>
  <si>
    <r>
      <t xml:space="preserve"> </t>
    </r>
    <r>
      <rPr>
        <sz val="12"/>
        <rFont val="ＭＳ Ｐゴシック"/>
        <family val="3"/>
        <charset val="128"/>
      </rPr>
      <t>②原動機付自転車（排気量５０ｃｃ以下の二輪車）の交通事故発生状況</t>
    </r>
    <rPh sb="2" eb="5">
      <t>ゲンドウキ</t>
    </rPh>
    <rPh sb="5" eb="6">
      <t>ツキ</t>
    </rPh>
    <rPh sb="6" eb="9">
      <t>ジテンシャ</t>
    </rPh>
    <rPh sb="25" eb="27">
      <t>コウツウ</t>
    </rPh>
    <rPh sb="27" eb="29">
      <t>ジコ</t>
    </rPh>
    <rPh sb="29" eb="31">
      <t>ハッセイ</t>
    </rPh>
    <rPh sb="31" eb="33">
      <t>ジョウキョウ</t>
    </rPh>
    <phoneticPr fontId="3"/>
  </si>
  <si>
    <r>
      <rPr>
        <sz val="11"/>
        <rFont val="ＭＳ Ｐゴシック"/>
        <family val="3"/>
        <charset val="128"/>
      </rPr>
      <t>　原動機付自転車の交通事故の推移</t>
    </r>
    <rPh sb="1" eb="4">
      <t>ゲンドウキ</t>
    </rPh>
    <rPh sb="4" eb="5">
      <t>ツキ</t>
    </rPh>
    <rPh sb="5" eb="8">
      <t>ジテンシャ</t>
    </rPh>
    <rPh sb="9" eb="11">
      <t>コウツウ</t>
    </rPh>
    <rPh sb="11" eb="13">
      <t>ジコ</t>
    </rPh>
    <rPh sb="14" eb="16">
      <t>スイイ</t>
    </rPh>
    <phoneticPr fontId="3"/>
  </si>
  <si>
    <r>
      <rPr>
        <sz val="10"/>
        <rFont val="ＭＳ Ｐゴシック"/>
        <family val="3"/>
        <charset val="128"/>
      </rPr>
      <t>昭和</t>
    </r>
    <r>
      <rPr>
        <sz val="10"/>
        <rFont val="Arial"/>
        <family val="2"/>
      </rPr>
      <t>61</t>
    </r>
    <rPh sb="0" eb="2">
      <t>ショウワ</t>
    </rPh>
    <phoneticPr fontId="3"/>
  </si>
  <si>
    <r>
      <rPr>
        <sz val="10"/>
        <rFont val="ＭＳ Ｐゴシック"/>
        <family val="3"/>
        <charset val="128"/>
      </rPr>
      <t>令和元</t>
    </r>
    <rPh sb="0" eb="2">
      <t>レイワ</t>
    </rPh>
    <rPh sb="2" eb="3">
      <t>モト</t>
    </rPh>
    <phoneticPr fontId="3"/>
  </si>
  <si>
    <r>
      <rPr>
        <sz val="10"/>
        <rFont val="ＭＳ Ｐゴシック"/>
        <family val="3"/>
        <charset val="128"/>
      </rPr>
      <t>令和２</t>
    </r>
    <rPh sb="0" eb="2">
      <t>レイワ</t>
    </rPh>
    <phoneticPr fontId="3"/>
  </si>
  <si>
    <r>
      <rPr>
        <sz val="10"/>
        <rFont val="ＭＳ Ｐゴシック"/>
        <family val="3"/>
        <charset val="128"/>
      </rPr>
      <t>令和３</t>
    </r>
    <rPh sb="0" eb="2">
      <t>レイワ</t>
    </rPh>
    <phoneticPr fontId="3"/>
  </si>
  <si>
    <r>
      <rPr>
        <sz val="10"/>
        <rFont val="ＭＳ Ｐゴシック"/>
        <family val="3"/>
        <charset val="128"/>
      </rPr>
      <t>令和４</t>
    </r>
    <rPh sb="0" eb="2">
      <t>レイワ</t>
    </rPh>
    <phoneticPr fontId="3"/>
  </si>
  <si>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原動機付自転車が関連した（１当又は２当となった</t>
    </r>
    <r>
      <rPr>
        <sz val="11"/>
        <rFont val="Arial"/>
        <family val="2"/>
      </rPr>
      <t>)</t>
    </r>
    <r>
      <rPr>
        <sz val="11"/>
        <rFont val="ＭＳ Ｐゴシック"/>
        <family val="3"/>
        <charset val="128"/>
      </rPr>
      <t>件数とその事故により生じた全死傷者数を計上。</t>
    </r>
    <phoneticPr fontId="3"/>
  </si>
  <si>
    <r>
      <t xml:space="preserve">  (</t>
    </r>
    <r>
      <rPr>
        <sz val="11"/>
        <rFont val="ＭＳ Ｐゴシック"/>
        <family val="3"/>
        <charset val="128"/>
      </rPr>
      <t>注</t>
    </r>
    <r>
      <rPr>
        <sz val="11"/>
        <rFont val="Arial"/>
        <family val="2"/>
      </rPr>
      <t>)</t>
    </r>
    <r>
      <rPr>
        <sz val="11"/>
        <rFont val="ＭＳ Ｐゴシック"/>
        <family val="3"/>
        <charset val="128"/>
      </rPr>
      <t>昭和</t>
    </r>
    <r>
      <rPr>
        <sz val="11"/>
        <rFont val="Arial"/>
        <family val="2"/>
      </rPr>
      <t>61</t>
    </r>
    <r>
      <rPr>
        <sz val="11"/>
        <rFont val="ＭＳ Ｐゴシック"/>
        <family val="3"/>
        <charset val="128"/>
      </rPr>
      <t>年～平成</t>
    </r>
    <r>
      <rPr>
        <sz val="11"/>
        <rFont val="Arial"/>
        <family val="2"/>
      </rPr>
      <t>29</t>
    </r>
    <r>
      <rPr>
        <sz val="11"/>
        <rFont val="ＭＳ Ｐゴシック"/>
        <family val="3"/>
        <charset val="128"/>
      </rPr>
      <t>年は、「内重傷者数」（人）の記録なし。</t>
    </r>
    <phoneticPr fontId="3"/>
  </si>
  <si>
    <r>
      <rPr>
        <sz val="11"/>
        <rFont val="ＭＳ Ｐゴシック"/>
        <family val="3"/>
        <charset val="128"/>
      </rPr>
      <t>　月別発生状況　（原動機付自転車）</t>
    </r>
    <rPh sb="1" eb="2">
      <t>ツキ</t>
    </rPh>
    <rPh sb="2" eb="3">
      <t>ベツ</t>
    </rPh>
    <rPh sb="3" eb="5">
      <t>ハッセイ</t>
    </rPh>
    <rPh sb="5" eb="7">
      <t>ジョウキョウ</t>
    </rPh>
    <rPh sb="9" eb="12">
      <t>ゲンドウキ</t>
    </rPh>
    <rPh sb="12" eb="13">
      <t>ツキ</t>
    </rPh>
    <rPh sb="13" eb="16">
      <t>ジテンシャ</t>
    </rPh>
    <phoneticPr fontId="3"/>
  </si>
  <si>
    <r>
      <rPr>
        <sz val="11"/>
        <rFont val="ＭＳ Ｐゴシック"/>
        <family val="3"/>
        <charset val="128"/>
      </rPr>
      <t>死者数（人）</t>
    </r>
    <rPh sb="0" eb="1">
      <t>シ</t>
    </rPh>
    <rPh sb="1" eb="2">
      <t>モノ</t>
    </rPh>
    <rPh sb="2" eb="3">
      <t>スウ</t>
    </rPh>
    <rPh sb="4" eb="5">
      <t>ヒト</t>
    </rPh>
    <phoneticPr fontId="3"/>
  </si>
  <si>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原動機付自転車が関連した（１当又は２当となった</t>
    </r>
    <r>
      <rPr>
        <sz val="11"/>
        <rFont val="Arial"/>
        <family val="2"/>
      </rPr>
      <t>)</t>
    </r>
    <r>
      <rPr>
        <sz val="11"/>
        <rFont val="ＭＳ Ｐゴシック"/>
        <family val="3"/>
        <charset val="128"/>
      </rPr>
      <t>件数とその事故により生じた全死傷者数を計上。</t>
    </r>
    <rPh sb="2" eb="3">
      <t>チュウ</t>
    </rPh>
    <rPh sb="4" eb="7">
      <t>ゲンドウキ</t>
    </rPh>
    <rPh sb="7" eb="8">
      <t>ツキ</t>
    </rPh>
    <rPh sb="8" eb="11">
      <t>ジテンシャ</t>
    </rPh>
    <phoneticPr fontId="3"/>
  </si>
  <si>
    <r>
      <rPr>
        <sz val="12"/>
        <rFont val="ＭＳ Ｐゴシック"/>
        <family val="3"/>
        <charset val="128"/>
      </rPr>
      <t>事故類型別（原動機付自転車）</t>
    </r>
    <rPh sb="0" eb="2">
      <t>ジコ</t>
    </rPh>
    <rPh sb="2" eb="4">
      <t>ルイケイ</t>
    </rPh>
    <rPh sb="4" eb="5">
      <t>ベツ</t>
    </rPh>
    <rPh sb="6" eb="9">
      <t>ゲンドウキ</t>
    </rPh>
    <rPh sb="9" eb="10">
      <t>ツキ</t>
    </rPh>
    <rPh sb="10" eb="13">
      <t>ジテンシャ</t>
    </rPh>
    <phoneticPr fontId="3"/>
  </si>
  <si>
    <r>
      <rPr>
        <sz val="11"/>
        <color indexed="8"/>
        <rFont val="ＭＳ Ｐゴシック"/>
        <family val="3"/>
        <charset val="128"/>
      </rPr>
      <t>総　　　数</t>
    </r>
    <rPh sb="0" eb="1">
      <t>フサ</t>
    </rPh>
    <rPh sb="4" eb="5">
      <t>カズ</t>
    </rPh>
    <phoneticPr fontId="3"/>
  </si>
  <si>
    <r>
      <rPr>
        <sz val="11"/>
        <color indexed="8"/>
        <rFont val="ＭＳ Ｐゴシック"/>
        <family val="3"/>
        <charset val="128"/>
      </rPr>
      <t>対面通行中</t>
    </r>
    <rPh sb="0" eb="2">
      <t>タイメン</t>
    </rPh>
    <rPh sb="2" eb="5">
      <t>ツウコウチュウ</t>
    </rPh>
    <phoneticPr fontId="3"/>
  </si>
  <si>
    <r>
      <rPr>
        <sz val="11"/>
        <color indexed="8"/>
        <rFont val="ＭＳ Ｐゴシック"/>
        <family val="3"/>
        <charset val="128"/>
      </rPr>
      <t>人</t>
    </r>
    <rPh sb="0" eb="1">
      <t>ジン</t>
    </rPh>
    <phoneticPr fontId="3"/>
  </si>
  <si>
    <r>
      <rPr>
        <sz val="11"/>
        <color indexed="8"/>
        <rFont val="ＭＳ Ｐゴシック"/>
        <family val="3"/>
        <charset val="128"/>
      </rPr>
      <t>背面通行中</t>
    </r>
    <rPh sb="0" eb="2">
      <t>ハイメン</t>
    </rPh>
    <rPh sb="2" eb="5">
      <t>ツウコウチュウ</t>
    </rPh>
    <phoneticPr fontId="3"/>
  </si>
  <si>
    <r>
      <rPr>
        <sz val="11"/>
        <color indexed="8"/>
        <rFont val="ＭＳ Ｐゴシック"/>
        <family val="3"/>
        <charset val="128"/>
      </rPr>
      <t>横断歩道</t>
    </r>
    <rPh sb="0" eb="2">
      <t>オウダン</t>
    </rPh>
    <rPh sb="2" eb="4">
      <t>ホドウ</t>
    </rPh>
    <phoneticPr fontId="3"/>
  </si>
  <si>
    <r>
      <rPr>
        <sz val="11"/>
        <color indexed="8"/>
        <rFont val="ＭＳ Ｐゴシック"/>
        <family val="3"/>
        <charset val="128"/>
      </rPr>
      <t>対</t>
    </r>
    <rPh sb="0" eb="1">
      <t>タイ</t>
    </rPh>
    <phoneticPr fontId="3"/>
  </si>
  <si>
    <r>
      <rPr>
        <sz val="11"/>
        <color indexed="8"/>
        <rFont val="ＭＳ Ｐゴシック"/>
        <family val="3"/>
        <charset val="128"/>
      </rPr>
      <t>横断歩道付近</t>
    </r>
    <rPh sb="0" eb="2">
      <t>オウダン</t>
    </rPh>
    <rPh sb="2" eb="4">
      <t>ホドウ</t>
    </rPh>
    <rPh sb="4" eb="6">
      <t>フキン</t>
    </rPh>
    <phoneticPr fontId="3"/>
  </si>
  <si>
    <r>
      <rPr>
        <sz val="11"/>
        <color indexed="8"/>
        <rFont val="ＭＳ Ｐゴシック"/>
        <family val="3"/>
        <charset val="128"/>
      </rPr>
      <t>横断歩道橋付近</t>
    </r>
    <rPh sb="0" eb="2">
      <t>オウダン</t>
    </rPh>
    <rPh sb="2" eb="4">
      <t>ホドウ</t>
    </rPh>
    <rPh sb="4" eb="5">
      <t>キョウ</t>
    </rPh>
    <rPh sb="5" eb="7">
      <t>フキン</t>
    </rPh>
    <phoneticPr fontId="3"/>
  </si>
  <si>
    <r>
      <rPr>
        <sz val="11"/>
        <color indexed="8"/>
        <rFont val="ＭＳ Ｐゴシック"/>
        <family val="3"/>
        <charset val="128"/>
      </rPr>
      <t>車</t>
    </r>
    <rPh sb="0" eb="1">
      <t>シャ</t>
    </rPh>
    <phoneticPr fontId="3"/>
  </si>
  <si>
    <r>
      <rPr>
        <sz val="11"/>
        <color indexed="8"/>
        <rFont val="ＭＳ Ｐゴシック"/>
        <family val="3"/>
        <charset val="128"/>
      </rPr>
      <t>その他</t>
    </r>
    <rPh sb="2" eb="3">
      <t>タ</t>
    </rPh>
    <phoneticPr fontId="3"/>
  </si>
  <si>
    <r>
      <rPr>
        <sz val="11"/>
        <color indexed="8"/>
        <rFont val="ＭＳ Ｐゴシック"/>
        <family val="3"/>
        <charset val="128"/>
      </rPr>
      <t>路上遊戯中</t>
    </r>
    <rPh sb="0" eb="2">
      <t>ロジョウ</t>
    </rPh>
    <rPh sb="2" eb="5">
      <t>ユウギチュウ</t>
    </rPh>
    <phoneticPr fontId="3"/>
  </si>
  <si>
    <r>
      <rPr>
        <sz val="11"/>
        <color indexed="8"/>
        <rFont val="ＭＳ Ｐゴシック"/>
        <family val="3"/>
        <charset val="128"/>
      </rPr>
      <t>両</t>
    </r>
    <rPh sb="0" eb="1">
      <t>リョウ</t>
    </rPh>
    <phoneticPr fontId="3"/>
  </si>
  <si>
    <r>
      <rPr>
        <sz val="11"/>
        <color indexed="8"/>
        <rFont val="ＭＳ Ｐゴシック"/>
        <family val="3"/>
        <charset val="128"/>
      </rPr>
      <t>路上作業中</t>
    </r>
    <rPh sb="0" eb="2">
      <t>ロジョウ</t>
    </rPh>
    <rPh sb="2" eb="4">
      <t>サギョウ</t>
    </rPh>
    <rPh sb="4" eb="5">
      <t>チュウ</t>
    </rPh>
    <phoneticPr fontId="3"/>
  </si>
  <si>
    <r>
      <rPr>
        <sz val="11"/>
        <color indexed="8"/>
        <rFont val="ＭＳ Ｐゴシック"/>
        <family val="3"/>
        <charset val="128"/>
      </rPr>
      <t>路上停止中</t>
    </r>
    <rPh sb="0" eb="2">
      <t>ロジョウ</t>
    </rPh>
    <rPh sb="2" eb="5">
      <t>テイシチュウ</t>
    </rPh>
    <phoneticPr fontId="3"/>
  </si>
  <si>
    <r>
      <rPr>
        <sz val="11"/>
        <color indexed="8"/>
        <rFont val="ＭＳ Ｐゴシック"/>
        <family val="3"/>
        <charset val="128"/>
      </rPr>
      <t>正面衝突</t>
    </r>
    <rPh sb="0" eb="2">
      <t>ショウメン</t>
    </rPh>
    <rPh sb="2" eb="4">
      <t>ショウトツ</t>
    </rPh>
    <phoneticPr fontId="3"/>
  </si>
  <si>
    <r>
      <rPr>
        <sz val="11"/>
        <color indexed="8"/>
        <rFont val="ＭＳ Ｐゴシック"/>
        <family val="3"/>
        <charset val="128"/>
      </rPr>
      <t>進行中</t>
    </r>
    <rPh sb="0" eb="3">
      <t>シンコウチュウ</t>
    </rPh>
    <phoneticPr fontId="3"/>
  </si>
  <si>
    <r>
      <rPr>
        <sz val="11"/>
        <color indexed="8"/>
        <rFont val="ＭＳ Ｐゴシック"/>
        <family val="3"/>
        <charset val="128"/>
      </rPr>
      <t>　</t>
    </r>
    <phoneticPr fontId="3"/>
  </si>
  <si>
    <r>
      <rPr>
        <sz val="11"/>
        <color indexed="8"/>
        <rFont val="ＭＳ Ｐゴシック"/>
        <family val="3"/>
        <charset val="128"/>
      </rPr>
      <t>出合頭</t>
    </r>
    <rPh sb="0" eb="2">
      <t>デアイ</t>
    </rPh>
    <rPh sb="2" eb="3">
      <t>ガシラ</t>
    </rPh>
    <phoneticPr fontId="3"/>
  </si>
  <si>
    <r>
      <rPr>
        <sz val="11"/>
        <color indexed="8"/>
        <rFont val="ＭＳ Ｐゴシック"/>
        <family val="3"/>
        <charset val="128"/>
      </rPr>
      <t>追越追抜時</t>
    </r>
    <rPh sb="0" eb="2">
      <t>オイコシ</t>
    </rPh>
    <rPh sb="2" eb="4">
      <t>オイヌ</t>
    </rPh>
    <rPh sb="4" eb="5">
      <t>ジ</t>
    </rPh>
    <phoneticPr fontId="3"/>
  </si>
  <si>
    <r>
      <rPr>
        <sz val="11"/>
        <color indexed="8"/>
        <rFont val="ＭＳ Ｐゴシック"/>
        <family val="3"/>
        <charset val="128"/>
      </rPr>
      <t>相</t>
    </r>
    <rPh sb="0" eb="1">
      <t>ソウ</t>
    </rPh>
    <phoneticPr fontId="3"/>
  </si>
  <si>
    <r>
      <rPr>
        <sz val="11"/>
        <color indexed="8"/>
        <rFont val="ＭＳ Ｐゴシック"/>
        <family val="3"/>
        <charset val="128"/>
      </rPr>
      <t>すれ違い時</t>
    </r>
    <rPh sb="2" eb="3">
      <t>チガ</t>
    </rPh>
    <rPh sb="4" eb="5">
      <t>ジ</t>
    </rPh>
    <phoneticPr fontId="3"/>
  </si>
  <si>
    <r>
      <rPr>
        <sz val="11"/>
        <color indexed="8"/>
        <rFont val="ＭＳ Ｐゴシック"/>
        <family val="3"/>
        <charset val="128"/>
      </rPr>
      <t>左折時</t>
    </r>
    <rPh sb="0" eb="2">
      <t>サセツ</t>
    </rPh>
    <rPh sb="2" eb="3">
      <t>ジ</t>
    </rPh>
    <phoneticPr fontId="3"/>
  </si>
  <si>
    <r>
      <rPr>
        <sz val="11"/>
        <color indexed="8"/>
        <rFont val="ＭＳ Ｐゴシック"/>
        <family val="3"/>
        <charset val="128"/>
      </rPr>
      <t>互</t>
    </r>
    <rPh sb="0" eb="1">
      <t>ゴ</t>
    </rPh>
    <phoneticPr fontId="3"/>
  </si>
  <si>
    <r>
      <rPr>
        <sz val="11"/>
        <color indexed="8"/>
        <rFont val="ＭＳ Ｐゴシック"/>
        <family val="3"/>
        <charset val="128"/>
      </rPr>
      <t>右折時</t>
    </r>
    <rPh sb="0" eb="2">
      <t>ウセツ</t>
    </rPh>
    <rPh sb="2" eb="3">
      <t>ジ</t>
    </rPh>
    <phoneticPr fontId="3"/>
  </si>
  <si>
    <r>
      <rPr>
        <sz val="11"/>
        <color indexed="8"/>
        <rFont val="ＭＳ Ｐゴシック"/>
        <family val="3"/>
        <charset val="128"/>
      </rPr>
      <t>車両単独</t>
    </r>
    <rPh sb="0" eb="2">
      <t>シャリョウ</t>
    </rPh>
    <rPh sb="2" eb="4">
      <t>タンドク</t>
    </rPh>
    <phoneticPr fontId="3"/>
  </si>
  <si>
    <r>
      <rPr>
        <sz val="11"/>
        <color indexed="8"/>
        <rFont val="ＭＳ Ｐゴシック"/>
        <family val="3"/>
        <charset val="128"/>
      </rPr>
      <t>列車</t>
    </r>
    <rPh sb="0" eb="2">
      <t>レッシャ</t>
    </rPh>
    <phoneticPr fontId="3"/>
  </si>
  <si>
    <r>
      <rPr>
        <sz val="10"/>
        <rFont val="ＭＳ Ｐゴシック"/>
        <family val="3"/>
        <charset val="128"/>
      </rPr>
      <t>　</t>
    </r>
    <r>
      <rPr>
        <sz val="10"/>
        <rFont val="Arial"/>
        <family val="2"/>
      </rPr>
      <t>(</t>
    </r>
    <r>
      <rPr>
        <sz val="10"/>
        <rFont val="ＭＳ Ｐゴシック"/>
        <family val="3"/>
        <charset val="128"/>
      </rPr>
      <t>注</t>
    </r>
    <r>
      <rPr>
        <sz val="10"/>
        <rFont val="Arial"/>
        <family val="2"/>
      </rPr>
      <t>)</t>
    </r>
    <r>
      <rPr>
        <sz val="10"/>
        <rFont val="ＭＳ Ｐゴシック"/>
        <family val="3"/>
        <charset val="128"/>
      </rPr>
      <t>原動機付自転車が関連した（１当又は２当となった</t>
    </r>
    <r>
      <rPr>
        <sz val="10"/>
        <rFont val="Arial"/>
        <family val="2"/>
      </rPr>
      <t>)</t>
    </r>
    <r>
      <rPr>
        <sz val="10"/>
        <rFont val="ＭＳ Ｐゴシック"/>
        <family val="3"/>
        <charset val="128"/>
      </rPr>
      <t>件数とその事故により生じた全死傷者数を計上。</t>
    </r>
    <rPh sb="2" eb="3">
      <t>チュウ</t>
    </rPh>
    <rPh sb="4" eb="7">
      <t>ゲンドウキ</t>
    </rPh>
    <rPh sb="7" eb="8">
      <t>ツキ</t>
    </rPh>
    <rPh sb="8" eb="11">
      <t>ジテンシャ</t>
    </rPh>
    <rPh sb="41" eb="42">
      <t>ゼン</t>
    </rPh>
    <rPh sb="42" eb="45">
      <t>シショウシャ</t>
    </rPh>
    <rPh sb="45" eb="46">
      <t>スウ</t>
    </rPh>
    <rPh sb="47" eb="49">
      <t>ケイジョウ</t>
    </rPh>
    <phoneticPr fontId="3"/>
  </si>
  <si>
    <r>
      <rPr>
        <sz val="12"/>
        <rFont val="ＭＳ Ｐゴシック"/>
        <family val="3"/>
        <charset val="128"/>
      </rPr>
      <t>原動機付自転車関連事故発生状況</t>
    </r>
    <rPh sb="0" eb="3">
      <t>ゲンドウキ</t>
    </rPh>
    <rPh sb="3" eb="4">
      <t>ヅケ</t>
    </rPh>
    <rPh sb="4" eb="7">
      <t>ジテンシャ</t>
    </rPh>
    <rPh sb="7" eb="9">
      <t>カンレン</t>
    </rPh>
    <rPh sb="9" eb="11">
      <t>ジコ</t>
    </rPh>
    <rPh sb="11" eb="13">
      <t>ハッセイ</t>
    </rPh>
    <rPh sb="13" eb="15">
      <t>ジョウキョウ</t>
    </rPh>
    <phoneticPr fontId="3"/>
  </si>
  <si>
    <r>
      <rPr>
        <sz val="11"/>
        <color indexed="8"/>
        <rFont val="ＭＳ Ｐゴシック"/>
        <family val="3"/>
        <charset val="128"/>
      </rPr>
      <t>件</t>
    </r>
    <rPh sb="0" eb="1">
      <t>ケン</t>
    </rPh>
    <phoneticPr fontId="3"/>
  </si>
  <si>
    <r>
      <rPr>
        <sz val="12"/>
        <rFont val="ＭＳ Ｐゴシック"/>
        <family val="3"/>
        <charset val="128"/>
      </rPr>
      <t>（８）飲酒運転による事故</t>
    </r>
    <rPh sb="3" eb="5">
      <t>インシュ</t>
    </rPh>
    <rPh sb="5" eb="7">
      <t>ウンテン</t>
    </rPh>
    <rPh sb="10" eb="12">
      <t>ジコ</t>
    </rPh>
    <phoneticPr fontId="3"/>
  </si>
  <si>
    <t>年別</t>
    <phoneticPr fontId="3"/>
  </si>
  <si>
    <t>平成22</t>
  </si>
  <si>
    <r>
      <rPr>
        <sz val="12"/>
        <rFont val="ＭＳ Ｐゴシック"/>
        <family val="3"/>
        <charset val="128"/>
      </rPr>
      <t>令和元</t>
    </r>
    <rPh sb="0" eb="2">
      <t>レイワ</t>
    </rPh>
    <rPh sb="2" eb="3">
      <t>モト</t>
    </rPh>
    <phoneticPr fontId="3"/>
  </si>
  <si>
    <r>
      <rPr>
        <sz val="12"/>
        <rFont val="ＭＳ Ｐゴシック"/>
        <family val="3"/>
        <charset val="128"/>
      </rPr>
      <t>令和２</t>
    </r>
    <rPh sb="0" eb="2">
      <t>レイワ</t>
    </rPh>
    <phoneticPr fontId="3"/>
  </si>
  <si>
    <r>
      <rPr>
        <sz val="12"/>
        <rFont val="ＭＳ Ｐゴシック"/>
        <family val="3"/>
        <charset val="128"/>
      </rPr>
      <t>令和３</t>
    </r>
    <rPh sb="0" eb="2">
      <t>レイワ</t>
    </rPh>
    <phoneticPr fontId="3"/>
  </si>
  <si>
    <r>
      <rPr>
        <sz val="11"/>
        <rFont val="ＭＳ Ｐゴシック"/>
        <family val="3"/>
        <charset val="128"/>
      </rPr>
      <t>全死数者②（人）</t>
    </r>
    <rPh sb="0" eb="1">
      <t>ゼン</t>
    </rPh>
    <rPh sb="1" eb="2">
      <t>シ</t>
    </rPh>
    <rPh sb="2" eb="3">
      <t>スウ</t>
    </rPh>
    <rPh sb="3" eb="4">
      <t>シャ</t>
    </rPh>
    <rPh sb="6" eb="7">
      <t>ヒト</t>
    </rPh>
    <phoneticPr fontId="3"/>
  </si>
  <si>
    <r>
      <rPr>
        <sz val="11"/>
        <color indexed="8"/>
        <rFont val="ＭＳ Ｐゴシック"/>
        <family val="3"/>
        <charset val="128"/>
      </rPr>
      <t>　</t>
    </r>
    <r>
      <rPr>
        <sz val="11"/>
        <color indexed="8"/>
        <rFont val="Arial"/>
        <family val="2"/>
      </rPr>
      <t>(</t>
    </r>
    <r>
      <rPr>
        <sz val="11"/>
        <color indexed="8"/>
        <rFont val="ＭＳ Ｐゴシック"/>
        <family val="3"/>
        <charset val="128"/>
      </rPr>
      <t>注</t>
    </r>
    <r>
      <rPr>
        <sz val="11"/>
        <color indexed="8"/>
        <rFont val="Arial"/>
        <family val="2"/>
      </rPr>
      <t>)</t>
    </r>
    <r>
      <rPr>
        <sz val="11"/>
        <color indexed="8"/>
        <rFont val="ＭＳ Ｐゴシック"/>
        <family val="3"/>
        <charset val="128"/>
      </rPr>
      <t xml:space="preserve">　件数は、原付以上（自動車・自動二輪・原付自転車）の１当による飲酒運転（酒酔い・酒気帯び・
</t>
    </r>
    <r>
      <rPr>
        <sz val="11"/>
        <color indexed="8"/>
        <rFont val="Arial"/>
        <family val="2"/>
      </rPr>
      <t xml:space="preserve">         </t>
    </r>
    <r>
      <rPr>
        <sz val="11"/>
        <color indexed="8"/>
        <rFont val="ＭＳ Ｐゴシック"/>
        <family val="3"/>
        <charset val="128"/>
      </rPr>
      <t>基準以下・検知不能）の事故件数とその事故により生じた全死傷者数を計上。</t>
    </r>
    <rPh sb="2" eb="3">
      <t>チュウ</t>
    </rPh>
    <rPh sb="5" eb="7">
      <t>ケンスウ</t>
    </rPh>
    <rPh sb="9" eb="11">
      <t>ゲンツキ</t>
    </rPh>
    <rPh sb="11" eb="13">
      <t>イジョウ</t>
    </rPh>
    <rPh sb="14" eb="17">
      <t>ジドウシャ</t>
    </rPh>
    <rPh sb="18" eb="20">
      <t>ジドウ</t>
    </rPh>
    <rPh sb="20" eb="22">
      <t>ニリン</t>
    </rPh>
    <rPh sb="23" eb="25">
      <t>ゲンツキ</t>
    </rPh>
    <rPh sb="25" eb="28">
      <t>ジテンシャ</t>
    </rPh>
    <rPh sb="31" eb="32">
      <t>ア</t>
    </rPh>
    <rPh sb="35" eb="37">
      <t>インシュ</t>
    </rPh>
    <rPh sb="37" eb="39">
      <t>ウンテン</t>
    </rPh>
    <rPh sb="40" eb="42">
      <t>サケヨ</t>
    </rPh>
    <rPh sb="44" eb="47">
      <t>シュキオ</t>
    </rPh>
    <rPh sb="59" eb="61">
      <t>キジュン</t>
    </rPh>
    <rPh sb="61" eb="63">
      <t>イカ</t>
    </rPh>
    <rPh sb="64" eb="66">
      <t>ケンチ</t>
    </rPh>
    <rPh sb="66" eb="68">
      <t>フノウ</t>
    </rPh>
    <rPh sb="70" eb="72">
      <t>ジコ</t>
    </rPh>
    <rPh sb="72" eb="74">
      <t>ケンスウ</t>
    </rPh>
    <rPh sb="77" eb="79">
      <t>ジコ</t>
    </rPh>
    <rPh sb="82" eb="83">
      <t>ショウ</t>
    </rPh>
    <rPh sb="85" eb="86">
      <t>ゼン</t>
    </rPh>
    <rPh sb="86" eb="90">
      <t>シショウシャスウ</t>
    </rPh>
    <rPh sb="91" eb="93">
      <t>ケイジョウ</t>
    </rPh>
    <phoneticPr fontId="3"/>
  </si>
  <si>
    <r>
      <rPr>
        <sz val="11"/>
        <color theme="1"/>
        <rFont val="ＭＳ Ｐゴシック"/>
        <family val="3"/>
        <charset val="128"/>
      </rPr>
      <t>　</t>
    </r>
    <r>
      <rPr>
        <sz val="11"/>
        <color theme="1"/>
        <rFont val="Arial"/>
        <family val="2"/>
      </rPr>
      <t>(</t>
    </r>
    <r>
      <rPr>
        <sz val="11"/>
        <color theme="1"/>
        <rFont val="ＭＳ Ｐゴシック"/>
        <family val="3"/>
        <charset val="128"/>
      </rPr>
      <t>注</t>
    </r>
    <r>
      <rPr>
        <sz val="11"/>
        <color theme="1"/>
        <rFont val="Arial"/>
        <family val="2"/>
      </rPr>
      <t>)</t>
    </r>
    <r>
      <rPr>
        <sz val="11"/>
        <color theme="1"/>
        <rFont val="ＭＳ Ｐゴシック"/>
        <family val="3"/>
        <charset val="128"/>
      </rPr>
      <t>　平成22年～平成</t>
    </r>
    <r>
      <rPr>
        <sz val="11"/>
        <color theme="1"/>
        <rFont val="Arial"/>
        <family val="2"/>
      </rPr>
      <t>29</t>
    </r>
    <r>
      <rPr>
        <sz val="11"/>
        <color theme="1"/>
        <rFont val="ＭＳ Ｐゴシック"/>
        <family val="3"/>
        <charset val="128"/>
      </rPr>
      <t>年は、「内重傷者数」（人）の記録なし</t>
    </r>
    <rPh sb="5" eb="7">
      <t>ヘイセイ</t>
    </rPh>
    <phoneticPr fontId="3"/>
  </si>
  <si>
    <r>
      <rPr>
        <sz val="11"/>
        <rFont val="ＭＳ Ｐゴシック"/>
        <family val="3"/>
        <charset val="128"/>
      </rPr>
      <t>　月別発生状況　（飲酒運転事故）</t>
    </r>
    <rPh sb="1" eb="2">
      <t>ツキ</t>
    </rPh>
    <rPh sb="2" eb="3">
      <t>ベツ</t>
    </rPh>
    <rPh sb="3" eb="5">
      <t>ハッセイ</t>
    </rPh>
    <rPh sb="5" eb="7">
      <t>ジョウキョウ</t>
    </rPh>
    <rPh sb="9" eb="11">
      <t>インシュ</t>
    </rPh>
    <rPh sb="11" eb="13">
      <t>ウンテン</t>
    </rPh>
    <rPh sb="13" eb="15">
      <t>ジコ</t>
    </rPh>
    <phoneticPr fontId="3"/>
  </si>
  <si>
    <t>月別</t>
    <phoneticPr fontId="3"/>
  </si>
  <si>
    <r>
      <rPr>
        <sz val="11"/>
        <rFont val="ＭＳ Ｐゴシック"/>
        <family val="3"/>
        <charset val="128"/>
      </rPr>
      <t>　飲酒運転事故時間別状況</t>
    </r>
    <rPh sb="1" eb="3">
      <t>インシュ</t>
    </rPh>
    <rPh sb="3" eb="5">
      <t>ウンテン</t>
    </rPh>
    <rPh sb="5" eb="7">
      <t>ジコ</t>
    </rPh>
    <rPh sb="7" eb="9">
      <t>ジカン</t>
    </rPh>
    <rPh sb="9" eb="10">
      <t>ベツ</t>
    </rPh>
    <rPh sb="10" eb="12">
      <t>ジョウキョウ</t>
    </rPh>
    <phoneticPr fontId="3"/>
  </si>
  <si>
    <r>
      <rPr>
        <sz val="11"/>
        <rFont val="ＭＳ Ｐゴシック"/>
        <family val="3"/>
        <charset val="128"/>
      </rPr>
      <t>件数</t>
    </r>
    <rPh sb="0" eb="1">
      <t>ケン</t>
    </rPh>
    <rPh sb="1" eb="2">
      <t>カズ</t>
    </rPh>
    <phoneticPr fontId="3"/>
  </si>
  <si>
    <t>夜　間</t>
    <rPh sb="0" eb="1">
      <t>ヨル</t>
    </rPh>
    <rPh sb="2" eb="3">
      <t>アイダ</t>
    </rPh>
    <phoneticPr fontId="3"/>
  </si>
  <si>
    <r>
      <rPr>
        <sz val="12"/>
        <rFont val="ＭＳ Ｐゴシック"/>
        <family val="3"/>
        <charset val="128"/>
      </rPr>
      <t>付表　　大都市の交通事故発生状況の比較</t>
    </r>
    <rPh sb="0" eb="2">
      <t>フヒョウ</t>
    </rPh>
    <rPh sb="4" eb="7">
      <t>ダイトシ</t>
    </rPh>
    <rPh sb="8" eb="10">
      <t>コウツウ</t>
    </rPh>
    <rPh sb="10" eb="12">
      <t>ジコ</t>
    </rPh>
    <rPh sb="12" eb="14">
      <t>ハッセイ</t>
    </rPh>
    <rPh sb="14" eb="16">
      <t>ジョウキョウ</t>
    </rPh>
    <rPh sb="17" eb="19">
      <t>ヒカク</t>
    </rPh>
    <phoneticPr fontId="3"/>
  </si>
  <si>
    <r>
      <rPr>
        <sz val="11"/>
        <color indexed="8"/>
        <rFont val="ＭＳ Ｐゴシック"/>
        <family val="3"/>
        <charset val="128"/>
      </rPr>
      <t>都市名</t>
    </r>
    <rPh sb="0" eb="3">
      <t>トシメイ</t>
    </rPh>
    <phoneticPr fontId="3"/>
  </si>
  <si>
    <r>
      <rPr>
        <sz val="11"/>
        <rFont val="ＭＳ Ｐゴシック"/>
        <family val="3"/>
        <charset val="128"/>
      </rPr>
      <t>年</t>
    </r>
    <rPh sb="0" eb="1">
      <t>ネン</t>
    </rPh>
    <phoneticPr fontId="3"/>
  </si>
  <si>
    <r>
      <rPr>
        <sz val="11"/>
        <rFont val="ＭＳ Ｐゴシック"/>
        <family val="3"/>
        <charset val="128"/>
      </rPr>
      <t>大阪</t>
    </r>
    <rPh sb="0" eb="2">
      <t>オオサカ</t>
    </rPh>
    <phoneticPr fontId="3"/>
  </si>
  <si>
    <r>
      <rPr>
        <sz val="11"/>
        <rFont val="ＭＳ Ｐゴシック"/>
        <family val="3"/>
        <charset val="128"/>
      </rPr>
      <t>死者（人）</t>
    </r>
    <rPh sb="0" eb="2">
      <t>シシャ</t>
    </rPh>
    <rPh sb="3" eb="4">
      <t>ヒト</t>
    </rPh>
    <phoneticPr fontId="3"/>
  </si>
  <si>
    <r>
      <rPr>
        <sz val="11"/>
        <rFont val="ＭＳ Ｐゴシック"/>
        <family val="3"/>
        <charset val="128"/>
      </rPr>
      <t>堺</t>
    </r>
    <rPh sb="0" eb="1">
      <t>サカイ</t>
    </rPh>
    <phoneticPr fontId="3"/>
  </si>
  <si>
    <r>
      <rPr>
        <sz val="11"/>
        <rFont val="ＭＳ Ｐゴシック"/>
        <family val="3"/>
        <charset val="128"/>
      </rPr>
      <t>負傷者（人）</t>
    </r>
    <rPh sb="4" eb="5">
      <t>ヒト</t>
    </rPh>
    <phoneticPr fontId="3"/>
  </si>
  <si>
    <r>
      <rPr>
        <sz val="11"/>
        <rFont val="ＭＳ Ｐゴシック"/>
        <family val="3"/>
        <charset val="128"/>
      </rPr>
      <t>札幌</t>
    </r>
    <rPh sb="0" eb="2">
      <t>サッポロ</t>
    </rPh>
    <phoneticPr fontId="3"/>
  </si>
  <si>
    <r>
      <rPr>
        <sz val="11"/>
        <rFont val="ＭＳ Ｐゴシック"/>
        <family val="3"/>
        <charset val="128"/>
      </rPr>
      <t>仙台</t>
    </r>
    <rPh sb="0" eb="2">
      <t>センダイ</t>
    </rPh>
    <phoneticPr fontId="3"/>
  </si>
  <si>
    <r>
      <rPr>
        <sz val="11"/>
        <rFont val="ＭＳ Ｐゴシック"/>
        <family val="3"/>
        <charset val="128"/>
      </rPr>
      <t>さいたま</t>
    </r>
    <phoneticPr fontId="3"/>
  </si>
  <si>
    <r>
      <rPr>
        <sz val="11"/>
        <rFont val="ＭＳ Ｐゴシック"/>
        <family val="3"/>
        <charset val="128"/>
      </rPr>
      <t>千葉</t>
    </r>
    <rPh sb="0" eb="2">
      <t>チバ</t>
    </rPh>
    <phoneticPr fontId="3"/>
  </si>
  <si>
    <r>
      <rPr>
        <sz val="11"/>
        <rFont val="ＭＳ Ｐゴシック"/>
        <family val="3"/>
        <charset val="128"/>
      </rPr>
      <t>川崎</t>
    </r>
    <rPh sb="0" eb="2">
      <t>カワサキ</t>
    </rPh>
    <phoneticPr fontId="3"/>
  </si>
  <si>
    <r>
      <rPr>
        <sz val="11"/>
        <rFont val="ＭＳ Ｐゴシック"/>
        <family val="3"/>
        <charset val="128"/>
      </rPr>
      <t>横浜</t>
    </r>
    <rPh sb="0" eb="2">
      <t>ヨコハマ</t>
    </rPh>
    <phoneticPr fontId="3"/>
  </si>
  <si>
    <r>
      <rPr>
        <sz val="11"/>
        <rFont val="ＭＳ Ｐゴシック"/>
        <family val="3"/>
        <charset val="128"/>
      </rPr>
      <t>相模原</t>
    </r>
    <rPh sb="0" eb="3">
      <t>サガミハラ</t>
    </rPh>
    <phoneticPr fontId="3"/>
  </si>
  <si>
    <r>
      <rPr>
        <sz val="11"/>
        <rFont val="ＭＳ Ｐゴシック"/>
        <family val="3"/>
        <charset val="128"/>
      </rPr>
      <t>新潟</t>
    </r>
    <rPh sb="0" eb="2">
      <t>ニイガタ</t>
    </rPh>
    <phoneticPr fontId="3"/>
  </si>
  <si>
    <r>
      <rPr>
        <sz val="11"/>
        <rFont val="ＭＳ Ｐゴシック"/>
        <family val="3"/>
        <charset val="128"/>
      </rPr>
      <t>静岡</t>
    </r>
    <rPh sb="0" eb="2">
      <t>シズオカ</t>
    </rPh>
    <phoneticPr fontId="3"/>
  </si>
  <si>
    <r>
      <rPr>
        <sz val="11"/>
        <rFont val="ＭＳ Ｐゴシック"/>
        <family val="3"/>
        <charset val="128"/>
      </rPr>
      <t>浜松</t>
    </r>
    <rPh sb="0" eb="2">
      <t>ハママツ</t>
    </rPh>
    <phoneticPr fontId="3"/>
  </si>
  <si>
    <r>
      <rPr>
        <sz val="11"/>
        <rFont val="ＭＳ Ｐゴシック"/>
        <family val="3"/>
        <charset val="128"/>
      </rPr>
      <t>名古屋</t>
    </r>
    <rPh sb="0" eb="3">
      <t>ナゴヤ</t>
    </rPh>
    <phoneticPr fontId="3"/>
  </si>
  <si>
    <r>
      <rPr>
        <sz val="11"/>
        <rFont val="ＭＳ Ｐゴシック"/>
        <family val="3"/>
        <charset val="128"/>
      </rPr>
      <t>京都</t>
    </r>
    <rPh sb="0" eb="2">
      <t>キョウト</t>
    </rPh>
    <phoneticPr fontId="3"/>
  </si>
  <si>
    <r>
      <rPr>
        <sz val="11"/>
        <rFont val="ＭＳ Ｐゴシック"/>
        <family val="3"/>
        <charset val="128"/>
      </rPr>
      <t>神戸</t>
    </r>
    <rPh sb="0" eb="2">
      <t>コウベ</t>
    </rPh>
    <phoneticPr fontId="3"/>
  </si>
  <si>
    <r>
      <rPr>
        <sz val="11"/>
        <rFont val="ＭＳ Ｐゴシック"/>
        <family val="3"/>
        <charset val="128"/>
      </rPr>
      <t>岡山</t>
    </r>
    <rPh sb="0" eb="2">
      <t>オカヤマ</t>
    </rPh>
    <phoneticPr fontId="3"/>
  </si>
  <si>
    <r>
      <rPr>
        <sz val="11"/>
        <rFont val="ＭＳ Ｐゴシック"/>
        <family val="3"/>
        <charset val="128"/>
      </rPr>
      <t>広島</t>
    </r>
    <rPh sb="0" eb="2">
      <t>ヒロシマ</t>
    </rPh>
    <phoneticPr fontId="3"/>
  </si>
  <si>
    <r>
      <rPr>
        <sz val="11"/>
        <rFont val="ＭＳ Ｐゴシック"/>
        <family val="3"/>
        <charset val="128"/>
      </rPr>
      <t>北九州</t>
    </r>
    <rPh sb="0" eb="3">
      <t>キタキュウシュウ</t>
    </rPh>
    <phoneticPr fontId="3"/>
  </si>
  <si>
    <r>
      <rPr>
        <sz val="11"/>
        <rFont val="ＭＳ Ｐゴシック"/>
        <family val="3"/>
        <charset val="128"/>
      </rPr>
      <t>福岡</t>
    </r>
    <rPh sb="0" eb="2">
      <t>フクオカ</t>
    </rPh>
    <phoneticPr fontId="3"/>
  </si>
  <si>
    <r>
      <rPr>
        <sz val="11"/>
        <rFont val="ＭＳ Ｐゴシック"/>
        <family val="3"/>
        <charset val="128"/>
      </rPr>
      <t>熊本</t>
    </r>
    <rPh sb="0" eb="2">
      <t>クマモト</t>
    </rPh>
    <phoneticPr fontId="3"/>
  </si>
  <si>
    <t>-</t>
    <phoneticPr fontId="3"/>
  </si>
  <si>
    <r>
      <rPr>
        <sz val="11"/>
        <rFont val="ＭＳ Ｐゴシック"/>
        <family val="3"/>
        <charset val="128"/>
      </rPr>
      <t>内　重　傷　者　数</t>
    </r>
    <phoneticPr fontId="3"/>
  </si>
  <si>
    <r>
      <rPr>
        <sz val="7"/>
        <rFont val="ＭＳ Ｐゴシック"/>
        <family val="3"/>
        <charset val="128"/>
      </rPr>
      <t>内重傷者数</t>
    </r>
    <rPh sb="0" eb="1">
      <t>ウチ</t>
    </rPh>
    <rPh sb="1" eb="5">
      <t>ジュウショウシャスウ</t>
    </rPh>
    <phoneticPr fontId="3"/>
  </si>
  <si>
    <t>区分</t>
    <rPh sb="0" eb="2">
      <t>クブン</t>
    </rPh>
    <phoneticPr fontId="3"/>
  </si>
  <si>
    <t>,,</t>
    <phoneticPr fontId="3"/>
  </si>
  <si>
    <r>
      <rPr>
        <sz val="9"/>
        <rFont val="ＭＳ Ｐゴシック"/>
        <family val="3"/>
        <charset val="128"/>
      </rPr>
      <t>時間</t>
    </r>
    <rPh sb="0" eb="2">
      <t>ジカン</t>
    </rPh>
    <phoneticPr fontId="3"/>
  </si>
  <si>
    <r>
      <rPr>
        <sz val="10"/>
        <rFont val="ＭＳ Ｐゴシック"/>
        <family val="3"/>
        <charset val="128"/>
      </rPr>
      <t>内重傷者数（人）</t>
    </r>
    <phoneticPr fontId="3"/>
  </si>
  <si>
    <r>
      <rPr>
        <sz val="11"/>
        <rFont val="ＭＳ Ｐゴシック"/>
        <family val="3"/>
        <charset val="128"/>
      </rPr>
      <t>内　　重　　傷　　者　　数</t>
    </r>
    <phoneticPr fontId="3"/>
  </si>
  <si>
    <r>
      <rPr>
        <sz val="11"/>
        <rFont val="ＭＳ Ｐゴシック"/>
        <family val="3"/>
        <charset val="128"/>
      </rPr>
      <t>（人）</t>
    </r>
    <phoneticPr fontId="3"/>
  </si>
  <si>
    <r>
      <rPr>
        <sz val="11"/>
        <color indexed="8"/>
        <rFont val="ＭＳ Ｐゴシック"/>
        <family val="3"/>
        <charset val="128"/>
      </rPr>
      <t>内　　重　　傷　　者　　数</t>
    </r>
    <phoneticPr fontId="3"/>
  </si>
  <si>
    <r>
      <rPr>
        <sz val="11"/>
        <rFont val="ＭＳ Ｐゴシック"/>
        <family val="3"/>
        <charset val="128"/>
      </rPr>
      <t>負傷者数（人）</t>
    </r>
    <rPh sb="0" eb="1">
      <t>フ</t>
    </rPh>
    <rPh sb="1" eb="2">
      <t>キズ</t>
    </rPh>
    <rPh sb="2" eb="3">
      <t>モノ</t>
    </rPh>
    <rPh sb="3" eb="4">
      <t>スウ</t>
    </rPh>
    <rPh sb="5" eb="6">
      <t>ヒト</t>
    </rPh>
    <phoneticPr fontId="3"/>
  </si>
  <si>
    <r>
      <rPr>
        <sz val="11"/>
        <rFont val="ＭＳ Ｐゴシック"/>
        <family val="3"/>
        <charset val="128"/>
      </rPr>
      <t>内重傷者数（人）</t>
    </r>
    <rPh sb="0" eb="1">
      <t>ウチ</t>
    </rPh>
    <rPh sb="1" eb="4">
      <t>ジュウショウシャ</t>
    </rPh>
    <rPh sb="4" eb="5">
      <t>スウ</t>
    </rPh>
    <phoneticPr fontId="3"/>
  </si>
  <si>
    <r>
      <rPr>
        <sz val="11"/>
        <rFont val="ＭＳ Ｐゴシック"/>
        <family val="3"/>
        <charset val="128"/>
      </rPr>
      <t>令和４</t>
    </r>
    <rPh sb="0" eb="2">
      <t>レイワ</t>
    </rPh>
    <phoneticPr fontId="3"/>
  </si>
  <si>
    <r>
      <rPr>
        <sz val="11"/>
        <rFont val="ＭＳ Ｐゴシック"/>
        <family val="3"/>
        <charset val="128"/>
      </rPr>
      <t>内重傷者数（人）</t>
    </r>
    <phoneticPr fontId="3"/>
  </si>
  <si>
    <r>
      <rPr>
        <sz val="11"/>
        <color indexed="8"/>
        <rFont val="ＭＳ Ｐゴシック"/>
        <family val="3"/>
        <charset val="128"/>
      </rPr>
      <t>内　重　傷　者　数</t>
    </r>
    <phoneticPr fontId="3"/>
  </si>
  <si>
    <r>
      <rPr>
        <sz val="11"/>
        <rFont val="ＭＳ Ｐゴシック"/>
        <family val="3"/>
        <charset val="128"/>
      </rPr>
      <t>内重傷者数（人）</t>
    </r>
    <rPh sb="0" eb="1">
      <t>ウチ</t>
    </rPh>
    <rPh sb="1" eb="3">
      <t>ジュウショウ</t>
    </rPh>
    <rPh sb="3" eb="4">
      <t>モノ</t>
    </rPh>
    <rPh sb="4" eb="5">
      <t>スウ</t>
    </rPh>
    <rPh sb="6" eb="7">
      <t>ヒト</t>
    </rPh>
    <phoneticPr fontId="3"/>
  </si>
  <si>
    <r>
      <rPr>
        <sz val="12"/>
        <rFont val="ＭＳ Ｐゴシック"/>
        <family val="3"/>
        <charset val="128"/>
      </rPr>
      <t>令和４</t>
    </r>
    <rPh sb="0" eb="2">
      <t>レイワ</t>
    </rPh>
    <phoneticPr fontId="3"/>
  </si>
  <si>
    <r>
      <rPr>
        <sz val="11"/>
        <rFont val="ＭＳ Ｐゴシック"/>
        <family val="3"/>
        <charset val="128"/>
      </rPr>
      <t>内重傷者数</t>
    </r>
    <rPh sb="0" eb="1">
      <t>ウチ</t>
    </rPh>
    <rPh sb="1" eb="4">
      <t>ジュウショウシャ</t>
    </rPh>
    <rPh sb="3" eb="4">
      <t>モノ</t>
    </rPh>
    <rPh sb="4" eb="5">
      <t>スウ</t>
    </rPh>
    <phoneticPr fontId="3"/>
  </si>
  <si>
    <r>
      <rPr>
        <sz val="11"/>
        <rFont val="ＭＳ Ｐゴシック"/>
        <family val="3"/>
        <charset val="128"/>
      </rPr>
      <t>未集計</t>
    </r>
    <rPh sb="0" eb="3">
      <t>ミシュウケイ</t>
    </rPh>
    <phoneticPr fontId="3"/>
  </si>
  <si>
    <r>
      <rPr>
        <sz val="11"/>
        <rFont val="ＭＳ Ｐゴシック"/>
        <family val="3"/>
        <charset val="128"/>
      </rPr>
      <t>負傷者</t>
    </r>
    <r>
      <rPr>
        <sz val="11"/>
        <rFont val="Arial"/>
        <family val="2"/>
      </rPr>
      <t>(</t>
    </r>
    <r>
      <rPr>
        <sz val="11"/>
        <rFont val="ＭＳ Ｐゴシック"/>
        <family val="3"/>
        <charset val="128"/>
      </rPr>
      <t>人</t>
    </r>
    <r>
      <rPr>
        <sz val="11"/>
        <rFont val="Arial"/>
        <family val="2"/>
      </rPr>
      <t>)</t>
    </r>
    <rPh sb="4" eb="5">
      <t>ヒト</t>
    </rPh>
    <phoneticPr fontId="3"/>
  </si>
  <si>
    <r>
      <rPr>
        <sz val="11"/>
        <rFont val="ＭＳ Ｐゴシック"/>
        <family val="3"/>
        <charset val="128"/>
      </rPr>
      <t>内重傷者</t>
    </r>
    <r>
      <rPr>
        <sz val="11"/>
        <rFont val="Arial"/>
        <family val="2"/>
      </rPr>
      <t>(</t>
    </r>
    <r>
      <rPr>
        <sz val="11"/>
        <rFont val="ＭＳ Ｐゴシック"/>
        <family val="3"/>
        <charset val="128"/>
      </rPr>
      <t>人</t>
    </r>
    <r>
      <rPr>
        <sz val="11"/>
        <rFont val="Arial"/>
        <family val="2"/>
      </rPr>
      <t>)</t>
    </r>
    <rPh sb="0" eb="1">
      <t>ウチ</t>
    </rPh>
    <rPh sb="1" eb="4">
      <t>ジュウショウシャ</t>
    </rPh>
    <rPh sb="5" eb="6">
      <t>ニン</t>
    </rPh>
    <phoneticPr fontId="3"/>
  </si>
  <si>
    <r>
      <rPr>
        <sz val="11"/>
        <rFont val="ＭＳ Ｐゴシック"/>
        <family val="3"/>
        <charset val="128"/>
      </rPr>
      <t>令和４年</t>
    </r>
    <rPh sb="0" eb="2">
      <t>レイワ</t>
    </rPh>
    <rPh sb="3" eb="4">
      <t>ネン</t>
    </rPh>
    <phoneticPr fontId="3"/>
  </si>
  <si>
    <r>
      <rPr>
        <sz val="11"/>
        <rFont val="ＭＳ Ｐゴシック"/>
        <family val="3"/>
        <charset val="128"/>
      </rPr>
      <t>令和３年</t>
    </r>
    <rPh sb="0" eb="2">
      <t>レイワ</t>
    </rPh>
    <rPh sb="3" eb="4">
      <t>ネン</t>
    </rPh>
    <phoneticPr fontId="3"/>
  </si>
  <si>
    <r>
      <rPr>
        <sz val="11"/>
        <rFont val="ＭＳ Ｐゴシック"/>
        <family val="3"/>
        <charset val="128"/>
      </rPr>
      <t>前年対比</t>
    </r>
    <rPh sb="0" eb="2">
      <t>ゼンネン</t>
    </rPh>
    <rPh sb="2" eb="4">
      <t>タイヒ</t>
    </rPh>
    <phoneticPr fontId="3"/>
  </si>
  <si>
    <r>
      <rPr>
        <sz val="11"/>
        <rFont val="ＭＳ Ｐゴシック"/>
        <family val="3"/>
        <charset val="128"/>
      </rPr>
      <t>人口１０万人</t>
    </r>
    <rPh sb="0" eb="2">
      <t>ジンコウ</t>
    </rPh>
    <rPh sb="4" eb="6">
      <t>マンニン</t>
    </rPh>
    <phoneticPr fontId="3"/>
  </si>
  <si>
    <r>
      <rPr>
        <sz val="11"/>
        <rFont val="ＭＳ Ｐゴシック"/>
        <family val="3"/>
        <charset val="128"/>
      </rPr>
      <t>推計人口</t>
    </r>
    <rPh sb="0" eb="2">
      <t>スイケイ</t>
    </rPh>
    <rPh sb="2" eb="3">
      <t>ヒト</t>
    </rPh>
    <rPh sb="3" eb="4">
      <t>クチ</t>
    </rPh>
    <phoneticPr fontId="3"/>
  </si>
  <si>
    <r>
      <rPr>
        <sz val="11"/>
        <rFont val="ＭＳ Ｐゴシック"/>
        <family val="3"/>
        <charset val="128"/>
      </rPr>
      <t>増▲減</t>
    </r>
    <rPh sb="0" eb="1">
      <t>ゾウ</t>
    </rPh>
    <rPh sb="2" eb="3">
      <t>ゲン</t>
    </rPh>
    <phoneticPr fontId="3"/>
  </si>
  <si>
    <r>
      <rPr>
        <sz val="11"/>
        <rFont val="ＭＳ Ｐゴシック"/>
        <family val="3"/>
        <charset val="128"/>
      </rPr>
      <t>率（％）</t>
    </r>
    <rPh sb="0" eb="1">
      <t>リツ</t>
    </rPh>
    <phoneticPr fontId="3"/>
  </si>
  <si>
    <r>
      <rPr>
        <sz val="11"/>
        <rFont val="ＭＳ Ｐゴシック"/>
        <family val="3"/>
        <charset val="128"/>
      </rPr>
      <t>あたりの状況</t>
    </r>
    <rPh sb="4" eb="6">
      <t>ジョウキョウ</t>
    </rPh>
    <phoneticPr fontId="3"/>
  </si>
  <si>
    <r>
      <rPr>
        <sz val="8"/>
        <rFont val="ＭＳ Ｐゴシック"/>
        <family val="3"/>
        <charset val="128"/>
      </rPr>
      <t>令和５年１月１日現在</t>
    </r>
    <rPh sb="0" eb="2">
      <t>レイワ</t>
    </rPh>
    <rPh sb="3" eb="4">
      <t>ネン</t>
    </rPh>
    <rPh sb="5" eb="6">
      <t>ガツ</t>
    </rPh>
    <rPh sb="7" eb="8">
      <t>ニチ</t>
    </rPh>
    <rPh sb="8" eb="10">
      <t>ゲンザイ</t>
    </rPh>
    <phoneticPr fontId="3"/>
  </si>
  <si>
    <r>
      <rPr>
        <sz val="11"/>
        <rFont val="ＭＳ Ｐゴシック"/>
        <family val="3"/>
        <charset val="128"/>
      </rPr>
      <t>（</t>
    </r>
    <r>
      <rPr>
        <sz val="11"/>
        <rFont val="Arial"/>
        <family val="2"/>
      </rPr>
      <t>2022</t>
    </r>
    <r>
      <rPr>
        <sz val="11"/>
        <rFont val="ＭＳ Ｐゴシック"/>
        <family val="3"/>
        <charset val="128"/>
      </rPr>
      <t>年）</t>
    </r>
    <rPh sb="5" eb="6">
      <t>ネン</t>
    </rPh>
    <phoneticPr fontId="3"/>
  </si>
  <si>
    <r>
      <rPr>
        <sz val="11"/>
        <rFont val="ＭＳ Ｐゴシック"/>
        <family val="3"/>
        <charset val="128"/>
      </rPr>
      <t>（</t>
    </r>
    <r>
      <rPr>
        <sz val="11"/>
        <rFont val="Arial"/>
        <family val="2"/>
      </rPr>
      <t>2021</t>
    </r>
    <r>
      <rPr>
        <sz val="11"/>
        <rFont val="ＭＳ Ｐゴシック"/>
        <family val="3"/>
        <charset val="128"/>
      </rPr>
      <t>年）</t>
    </r>
    <rPh sb="5" eb="6">
      <t>ネン</t>
    </rPh>
    <phoneticPr fontId="3"/>
  </si>
  <si>
    <r>
      <rPr>
        <sz val="11"/>
        <rFont val="ＭＳ Ｐゴシック"/>
        <family val="3"/>
        <charset val="128"/>
      </rPr>
      <t>※　令和３年「内重傷者</t>
    </r>
    <r>
      <rPr>
        <sz val="11"/>
        <rFont val="Arial"/>
        <family val="2"/>
      </rPr>
      <t>(</t>
    </r>
    <r>
      <rPr>
        <sz val="11"/>
        <rFont val="ＭＳ Ｐゴシック"/>
        <family val="3"/>
        <charset val="128"/>
      </rPr>
      <t>人</t>
    </r>
    <r>
      <rPr>
        <sz val="11"/>
        <rFont val="Arial"/>
        <family val="2"/>
      </rPr>
      <t>)</t>
    </r>
    <r>
      <rPr>
        <sz val="11"/>
        <rFont val="ＭＳ Ｐゴシック"/>
        <family val="3"/>
        <charset val="128"/>
      </rPr>
      <t>」、令和４年さいたま市の「内重傷者</t>
    </r>
    <r>
      <rPr>
        <sz val="11"/>
        <rFont val="Arial"/>
        <family val="2"/>
      </rPr>
      <t>(</t>
    </r>
    <r>
      <rPr>
        <sz val="11"/>
        <rFont val="ＭＳ Ｐゴシック"/>
        <family val="3"/>
        <charset val="128"/>
      </rPr>
      <t>人</t>
    </r>
    <r>
      <rPr>
        <sz val="11"/>
        <rFont val="Arial"/>
        <family val="2"/>
      </rPr>
      <t>)</t>
    </r>
    <r>
      <rPr>
        <sz val="11"/>
        <rFont val="ＭＳ Ｐゴシック"/>
        <family val="3"/>
        <charset val="128"/>
      </rPr>
      <t>」は、未集計</t>
    </r>
    <rPh sb="2" eb="4">
      <t>レイワ</t>
    </rPh>
    <rPh sb="5" eb="6">
      <t>ネン</t>
    </rPh>
    <rPh sb="7" eb="8">
      <t>ウチ</t>
    </rPh>
    <rPh sb="8" eb="11">
      <t>ジュウショウシャ</t>
    </rPh>
    <rPh sb="12" eb="13">
      <t>ニン</t>
    </rPh>
    <rPh sb="16" eb="18">
      <t>レイワ</t>
    </rPh>
    <rPh sb="19" eb="20">
      <t>ネン</t>
    </rPh>
    <rPh sb="24" eb="25">
      <t>シ</t>
    </rPh>
    <rPh sb="37" eb="40">
      <t>ミシュウケイ</t>
    </rPh>
    <phoneticPr fontId="3"/>
  </si>
  <si>
    <r>
      <rPr>
        <sz val="10"/>
        <rFont val="ＭＳ Ｐゴシック"/>
        <family val="3"/>
        <charset val="128"/>
      </rPr>
      <t>内重傷者数（人）</t>
    </r>
    <rPh sb="0" eb="1">
      <t>ウチ</t>
    </rPh>
    <rPh sb="1" eb="3">
      <t>ジュウショウ</t>
    </rPh>
    <rPh sb="3" eb="4">
      <t>モノ</t>
    </rPh>
    <rPh sb="4" eb="5">
      <t>スウ</t>
    </rPh>
    <rPh sb="6" eb="7">
      <t>ヒト</t>
    </rPh>
    <phoneticPr fontId="3"/>
  </si>
  <si>
    <r>
      <rPr>
        <sz val="11"/>
        <rFont val="ＭＳ Ｐゴシック"/>
        <family val="3"/>
        <charset val="128"/>
      </rPr>
      <t>内重傷者数</t>
    </r>
    <phoneticPr fontId="3"/>
  </si>
  <si>
    <r>
      <rPr>
        <sz val="11"/>
        <rFont val="ＭＳ Ｐゴシック"/>
        <family val="3"/>
        <charset val="128"/>
      </rPr>
      <t xml:space="preserve">件数は自転車と歩行者が１当・２当（又は２当・１当）となった事故を計上、死傷者数はその事故によって生じた死傷者数を計上した。
高速隊は除く。
発生場所が大阪市内の事故を集計対象とした。
</t>
    </r>
    <r>
      <rPr>
        <sz val="11"/>
        <rFont val="Arial"/>
        <family val="2"/>
      </rPr>
      <t>H17</t>
    </r>
    <r>
      <rPr>
        <sz val="11"/>
        <rFont val="ＭＳ Ｐゴシック"/>
        <family val="3"/>
        <charset val="128"/>
      </rPr>
      <t>～</t>
    </r>
    <r>
      <rPr>
        <sz val="11"/>
        <rFont val="Arial"/>
        <family val="2"/>
      </rPr>
      <t>H29</t>
    </r>
    <r>
      <rPr>
        <sz val="11"/>
        <rFont val="ＭＳ Ｐゴシック"/>
        <family val="3"/>
        <charset val="128"/>
      </rPr>
      <t>は、「内重傷者数」の記録なし。</t>
    </r>
    <phoneticPr fontId="3"/>
  </si>
  <si>
    <r>
      <rPr>
        <sz val="10"/>
        <rFont val="ＭＳ Ｐゴシック"/>
        <family val="3"/>
        <charset val="128"/>
      </rPr>
      <t>内重傷者数
（人）</t>
    </r>
    <rPh sb="0" eb="1">
      <t>ウチ</t>
    </rPh>
    <rPh sb="1" eb="3">
      <t>ジュウショウ</t>
    </rPh>
    <rPh sb="3" eb="4">
      <t>モノ</t>
    </rPh>
    <rPh sb="4" eb="5">
      <t>スウ</t>
    </rPh>
    <rPh sb="7" eb="8">
      <t>ヒト</t>
    </rPh>
    <phoneticPr fontId="3"/>
  </si>
  <si>
    <r>
      <rPr>
        <sz val="11"/>
        <color indexed="8"/>
        <rFont val="ＭＳ Ｐゴシック"/>
        <family val="3"/>
        <charset val="128"/>
      </rPr>
      <t>内重傷者数（人）</t>
    </r>
    <phoneticPr fontId="3"/>
  </si>
  <si>
    <r>
      <rPr>
        <sz val="8"/>
        <rFont val="ＭＳ Ｐゴシック"/>
        <family val="3"/>
        <charset val="128"/>
      </rPr>
      <t>内重傷者数</t>
    </r>
    <rPh sb="0" eb="1">
      <t>ウチ</t>
    </rPh>
    <rPh sb="1" eb="5">
      <t>ジュウショウシャスウ</t>
    </rPh>
    <phoneticPr fontId="3"/>
  </si>
  <si>
    <r>
      <rPr>
        <sz val="10"/>
        <rFont val="ＭＳ Ｐゴシック"/>
        <family val="3"/>
        <charset val="128"/>
      </rPr>
      <t>内重傷者数</t>
    </r>
    <rPh sb="0" eb="1">
      <t>ウチ</t>
    </rPh>
    <rPh sb="1" eb="5">
      <t>ジュウショウシャスウ</t>
    </rPh>
    <phoneticPr fontId="3"/>
  </si>
  <si>
    <r>
      <rPr>
        <sz val="11"/>
        <rFont val="ＭＳ Ｐゴシック"/>
        <family val="3"/>
        <charset val="128"/>
      </rPr>
      <t>令和</t>
    </r>
    <r>
      <rPr>
        <sz val="11"/>
        <rFont val="Arial"/>
        <family val="2"/>
      </rPr>
      <t>4</t>
    </r>
    <rPh sb="0" eb="2">
      <t>レイワ</t>
    </rPh>
    <phoneticPr fontId="3"/>
  </si>
  <si>
    <r>
      <rPr>
        <sz val="11"/>
        <rFont val="ＭＳ Ｐゴシック"/>
        <family val="3"/>
        <charset val="128"/>
      </rPr>
      <t>内重傷者数（人）</t>
    </r>
    <rPh sb="0" eb="1">
      <t>ウチ</t>
    </rPh>
    <rPh sb="1" eb="5">
      <t>ジュウショウシャスウ</t>
    </rPh>
    <phoneticPr fontId="3"/>
  </si>
  <si>
    <t>令和３</t>
    <phoneticPr fontId="3"/>
  </si>
  <si>
    <r>
      <rPr>
        <sz val="11"/>
        <rFont val="ＭＳ Ｐゴシック"/>
        <family val="3"/>
        <charset val="128"/>
      </rPr>
      <t>令和</t>
    </r>
    <r>
      <rPr>
        <sz val="11"/>
        <rFont val="ＭＳ Ｐゴシック"/>
        <family val="3"/>
        <charset val="128"/>
      </rPr>
      <t>４</t>
    </r>
    <rPh sb="0" eb="2">
      <t>レイワ</t>
    </rPh>
    <phoneticPr fontId="3"/>
  </si>
  <si>
    <r>
      <rPr>
        <sz val="8"/>
        <rFont val="ＭＳ Ｐゴシック"/>
        <family val="3"/>
        <charset val="128"/>
      </rPr>
      <t>内重傷者数</t>
    </r>
    <rPh sb="0" eb="5">
      <t>ウチジュウショウシャスウ</t>
    </rPh>
    <phoneticPr fontId="3"/>
  </si>
  <si>
    <r>
      <rPr>
        <sz val="9"/>
        <rFont val="ＭＳ Ｐゴシック"/>
        <family val="3"/>
        <charset val="128"/>
      </rPr>
      <t>内重傷者数</t>
    </r>
    <rPh sb="0" eb="1">
      <t>ウチ</t>
    </rPh>
    <rPh sb="1" eb="5">
      <t>ジュウショウシャスウ</t>
    </rPh>
    <phoneticPr fontId="3"/>
  </si>
  <si>
    <r>
      <rPr>
        <sz val="11"/>
        <rFont val="ＭＳ Ｐゴシック"/>
        <family val="3"/>
        <charset val="128"/>
      </rPr>
      <t>内重傷者数</t>
    </r>
    <rPh sb="0" eb="1">
      <t>ウチ</t>
    </rPh>
    <rPh sb="1" eb="5">
      <t>ジュウショウシャスウ</t>
    </rPh>
    <phoneticPr fontId="3"/>
  </si>
  <si>
    <r>
      <rPr>
        <sz val="11"/>
        <rFont val="ＭＳ Ｐゴシック"/>
        <family val="3"/>
        <charset val="128"/>
      </rPr>
      <t>内重傷者数</t>
    </r>
    <rPh sb="0" eb="1">
      <t>ウチ</t>
    </rPh>
    <rPh sb="1" eb="4">
      <t>ジュウショウシャ</t>
    </rPh>
    <rPh sb="4" eb="5">
      <t>スウ</t>
    </rPh>
    <phoneticPr fontId="3"/>
  </si>
  <si>
    <r>
      <rPr>
        <sz val="9"/>
        <rFont val="ＭＳ Ｐゴシック"/>
        <family val="3"/>
        <charset val="128"/>
      </rPr>
      <t>内
重傷者数</t>
    </r>
    <phoneticPr fontId="3"/>
  </si>
  <si>
    <t>Ｒ４</t>
  </si>
  <si>
    <r>
      <rPr>
        <sz val="9"/>
        <rFont val="ＭＳ ゴシック"/>
        <family val="2"/>
        <charset val="128"/>
      </rPr>
      <t>Ｒ４</t>
    </r>
    <phoneticPr fontId="3"/>
  </si>
  <si>
    <r>
      <rPr>
        <sz val="9"/>
        <rFont val="ＭＳ ゴシック"/>
        <family val="2"/>
        <charset val="128"/>
      </rPr>
      <t>Ｒ３</t>
    </r>
    <phoneticPr fontId="3"/>
  </si>
  <si>
    <t>Ｒ３</t>
  </si>
  <si>
    <r>
      <rPr>
        <sz val="9"/>
        <rFont val="ＭＳ Ｐゴシック"/>
        <family val="3"/>
        <charset val="128"/>
      </rPr>
      <t>（件数：件／死者数・負傷者数・内重傷者数：人）</t>
    </r>
    <rPh sb="15" eb="16">
      <t>ウチ</t>
    </rPh>
    <rPh sb="16" eb="19">
      <t>ジュウショウシャ</t>
    </rPh>
    <rPh sb="19" eb="20">
      <t>スウ</t>
    </rPh>
    <phoneticPr fontId="3"/>
  </si>
  <si>
    <r>
      <rPr>
        <sz val="9"/>
        <rFont val="ＭＳ Ｐゴシック"/>
        <family val="3"/>
        <charset val="128"/>
      </rPr>
      <t>（件数：件／死者数・負傷者数・内重傷者数：人）</t>
    </r>
    <rPh sb="15" eb="16">
      <t>ウチ</t>
    </rPh>
    <rPh sb="16" eb="20">
      <t>ジュウショウシャスウ</t>
    </rPh>
    <phoneticPr fontId="3"/>
  </si>
  <si>
    <r>
      <rPr>
        <sz val="11"/>
        <rFont val="ＭＳ Ｐゴシック"/>
        <family val="3"/>
        <charset val="128"/>
      </rPr>
      <t>令和元</t>
    </r>
    <rPh sb="0" eb="2">
      <t>レイワ</t>
    </rPh>
    <rPh sb="2" eb="3">
      <t>モト</t>
    </rPh>
    <phoneticPr fontId="3"/>
  </si>
  <si>
    <r>
      <rPr>
        <sz val="11"/>
        <rFont val="ＭＳ Ｐゴシック"/>
        <family val="3"/>
        <charset val="128"/>
      </rPr>
      <t>令和２</t>
    </r>
    <rPh sb="0" eb="2">
      <t>レイワ</t>
    </rPh>
    <phoneticPr fontId="3"/>
  </si>
  <si>
    <r>
      <rPr>
        <sz val="11"/>
        <rFont val="ＭＳ Ｐゴシック"/>
        <family val="3"/>
        <charset val="128"/>
      </rPr>
      <t>令和３</t>
    </r>
    <rPh sb="0" eb="2">
      <t>レイワ</t>
    </rPh>
    <phoneticPr fontId="3"/>
  </si>
  <si>
    <r>
      <rPr>
        <sz val="11"/>
        <rFont val="ＭＳ Ｐゴシック"/>
        <family val="3"/>
        <charset val="128"/>
      </rPr>
      <t>平成</t>
    </r>
    <r>
      <rPr>
        <sz val="11"/>
        <rFont val="Arial"/>
        <family val="2"/>
      </rPr>
      <t>26</t>
    </r>
    <rPh sb="0" eb="2">
      <t>ヘイセイ</t>
    </rPh>
    <phoneticPr fontId="3"/>
  </si>
  <si>
    <r>
      <rPr>
        <sz val="11"/>
        <rFont val="ＭＳ Ｐゴシック"/>
        <family val="3"/>
        <charset val="128"/>
      </rPr>
      <t>平成</t>
    </r>
    <r>
      <rPr>
        <sz val="11"/>
        <rFont val="Arial"/>
        <family val="2"/>
      </rPr>
      <t>27</t>
    </r>
    <rPh sb="0" eb="2">
      <t>ヘイセイ</t>
    </rPh>
    <phoneticPr fontId="3"/>
  </si>
  <si>
    <r>
      <rPr>
        <sz val="11"/>
        <rFont val="ＭＳ Ｐゴシック"/>
        <family val="3"/>
        <charset val="128"/>
      </rPr>
      <t>平成</t>
    </r>
    <r>
      <rPr>
        <sz val="11"/>
        <rFont val="Arial"/>
        <family val="2"/>
      </rPr>
      <t>28</t>
    </r>
    <rPh sb="0" eb="2">
      <t>ヘイセイ</t>
    </rPh>
    <phoneticPr fontId="3"/>
  </si>
  <si>
    <r>
      <rPr>
        <sz val="11"/>
        <rFont val="ＭＳ Ｐゴシック"/>
        <family val="3"/>
        <charset val="128"/>
      </rPr>
      <t>平成</t>
    </r>
    <r>
      <rPr>
        <sz val="11"/>
        <rFont val="Arial"/>
        <family val="2"/>
      </rPr>
      <t>29</t>
    </r>
    <rPh sb="0" eb="2">
      <t>ヘイセイ</t>
    </rPh>
    <phoneticPr fontId="3"/>
  </si>
  <si>
    <r>
      <rPr>
        <sz val="11"/>
        <rFont val="ＭＳ Ｐゴシック"/>
        <family val="3"/>
        <charset val="128"/>
      </rPr>
      <t>平成</t>
    </r>
    <r>
      <rPr>
        <sz val="11"/>
        <rFont val="Arial"/>
        <family val="2"/>
      </rPr>
      <t>30</t>
    </r>
    <rPh sb="0" eb="2">
      <t>ヘイセイ</t>
    </rPh>
    <phoneticPr fontId="3"/>
  </si>
  <si>
    <r>
      <rPr>
        <sz val="11"/>
        <rFont val="ＭＳ Ｐゴシック"/>
        <family val="3"/>
        <charset val="128"/>
      </rPr>
      <t>幹線道路とは、８ページ記載の国道、主要地方道、一般府道、大阪市道を指す。
（以下のページについても同様である。）</t>
    </r>
    <rPh sb="0" eb="2">
      <t>カンセン</t>
    </rPh>
    <rPh sb="2" eb="4">
      <t>ドウロ</t>
    </rPh>
    <rPh sb="11" eb="13">
      <t>キサイ</t>
    </rPh>
    <rPh sb="14" eb="16">
      <t>コクドウ</t>
    </rPh>
    <rPh sb="17" eb="19">
      <t>シュヨウ</t>
    </rPh>
    <rPh sb="19" eb="21">
      <t>チホウ</t>
    </rPh>
    <rPh sb="21" eb="22">
      <t>ミチ</t>
    </rPh>
    <rPh sb="23" eb="25">
      <t>イッパン</t>
    </rPh>
    <rPh sb="25" eb="27">
      <t>フドウ</t>
    </rPh>
    <rPh sb="28" eb="30">
      <t>オオサカ</t>
    </rPh>
    <rPh sb="30" eb="32">
      <t>シドウ</t>
    </rPh>
    <rPh sb="33" eb="34">
      <t>サ</t>
    </rPh>
    <rPh sb="38" eb="40">
      <t>イカ</t>
    </rPh>
    <rPh sb="49" eb="51">
      <t>ドウヨウ</t>
    </rPh>
    <phoneticPr fontId="3"/>
  </si>
  <si>
    <r>
      <rPr>
        <sz val="11"/>
        <rFont val="ＭＳ Ｐゴシック"/>
        <family val="3"/>
        <charset val="128"/>
      </rPr>
      <t>昭和</t>
    </r>
    <r>
      <rPr>
        <sz val="11"/>
        <rFont val="Arial"/>
        <family val="2"/>
      </rPr>
      <t>46</t>
    </r>
    <r>
      <rPr>
        <sz val="11"/>
        <rFont val="ＭＳ Ｐゴシック"/>
        <family val="3"/>
        <charset val="128"/>
      </rPr>
      <t>年～平成</t>
    </r>
    <r>
      <rPr>
        <sz val="11"/>
        <rFont val="Arial"/>
        <family val="2"/>
      </rPr>
      <t>29</t>
    </r>
    <r>
      <rPr>
        <sz val="11"/>
        <rFont val="ＭＳ Ｐゴシック"/>
        <family val="3"/>
        <charset val="128"/>
      </rPr>
      <t>年は、「内重傷者数」の内訳記録なし。</t>
    </r>
    <rPh sb="0" eb="2">
      <t>ショウワ</t>
    </rPh>
    <rPh sb="4" eb="5">
      <t>ネン</t>
    </rPh>
    <rPh sb="6" eb="8">
      <t>ヘイセイ</t>
    </rPh>
    <rPh sb="10" eb="11">
      <t>ネン</t>
    </rPh>
    <rPh sb="14" eb="15">
      <t>ウチ</t>
    </rPh>
    <rPh sb="15" eb="19">
      <t>ジュウショウシャスウ</t>
    </rPh>
    <rPh sb="21" eb="23">
      <t>ウチワケ</t>
    </rPh>
    <rPh sb="23" eb="25">
      <t>キロク</t>
    </rPh>
    <phoneticPr fontId="3"/>
  </si>
  <si>
    <r>
      <rPr>
        <sz val="8"/>
        <rFont val="ＭＳ Ｐゴシック"/>
        <family val="3"/>
        <charset val="128"/>
      </rPr>
      <t>内
重傷者数</t>
    </r>
    <phoneticPr fontId="3"/>
  </si>
  <si>
    <r>
      <rPr>
        <sz val="9"/>
        <rFont val="ＭＳ ゴシック"/>
        <family val="3"/>
        <charset val="128"/>
      </rPr>
      <t>（件数：件／死者数・負傷者数・内重傷者数：人）</t>
    </r>
    <rPh sb="15" eb="16">
      <t>ウチ</t>
    </rPh>
    <rPh sb="16" eb="20">
      <t>ジュウショウシャスウ</t>
    </rPh>
    <phoneticPr fontId="3"/>
  </si>
  <si>
    <r>
      <rPr>
        <sz val="11"/>
        <rFont val="ＭＳ ゴシック"/>
        <family val="3"/>
        <charset val="128"/>
      </rPr>
      <t>内重傷者数（人）</t>
    </r>
    <rPh sb="0" eb="1">
      <t>ウチ</t>
    </rPh>
    <rPh sb="1" eb="4">
      <t>ジュウショウシャ</t>
    </rPh>
    <rPh sb="3" eb="4">
      <t>モノ</t>
    </rPh>
    <rPh sb="4" eb="5">
      <t>スウ</t>
    </rPh>
    <rPh sb="6" eb="7">
      <t>ヒト</t>
    </rPh>
    <phoneticPr fontId="3"/>
  </si>
  <si>
    <r>
      <rPr>
        <sz val="11"/>
        <rFont val="ＭＳ ゴシック"/>
        <family val="3"/>
        <charset val="128"/>
      </rPr>
      <t>令和４年</t>
    </r>
    <rPh sb="0" eb="2">
      <t>レイワ</t>
    </rPh>
    <rPh sb="3" eb="4">
      <t>ネン</t>
    </rPh>
    <phoneticPr fontId="3"/>
  </si>
  <si>
    <r>
      <rPr>
        <sz val="11"/>
        <rFont val="ＭＳ ゴシック"/>
        <family val="3"/>
        <charset val="128"/>
      </rPr>
      <t>令和３年</t>
    </r>
    <rPh sb="0" eb="2">
      <t>レイワ</t>
    </rPh>
    <rPh sb="3" eb="4">
      <t>ネン</t>
    </rPh>
    <phoneticPr fontId="3"/>
  </si>
  <si>
    <r>
      <rPr>
        <sz val="9"/>
        <rFont val="Arial Unicode MS"/>
        <family val="3"/>
        <charset val="128"/>
      </rPr>
      <t>（件数：件／死者数・負傷者数・重傷者数：人）</t>
    </r>
    <rPh sb="15" eb="19">
      <t>ジュウショウシャスウ</t>
    </rPh>
    <phoneticPr fontId="3"/>
  </si>
  <si>
    <r>
      <rPr>
        <sz val="11"/>
        <rFont val="Arial Unicode MS"/>
        <family val="3"/>
        <charset val="128"/>
      </rPr>
      <t>内重傷者</t>
    </r>
    <rPh sb="0" eb="1">
      <t>ウチ</t>
    </rPh>
    <rPh sb="1" eb="4">
      <t>ジュウショウシャ</t>
    </rPh>
    <phoneticPr fontId="3"/>
  </si>
  <si>
    <r>
      <rPr>
        <sz val="9"/>
        <rFont val="Arial Unicode MS"/>
        <family val="3"/>
        <charset val="128"/>
      </rPr>
      <t>内重傷者数</t>
    </r>
    <rPh sb="0" eb="1">
      <t>ウチ</t>
    </rPh>
    <rPh sb="1" eb="4">
      <t>ジュウショウシャ</t>
    </rPh>
    <rPh sb="4" eb="5">
      <t>スウ</t>
    </rPh>
    <phoneticPr fontId="3"/>
  </si>
  <si>
    <r>
      <rPr>
        <sz val="11"/>
        <rFont val="Arial Unicode MS"/>
        <family val="3"/>
        <charset val="128"/>
      </rPr>
      <t>内
重傷者数</t>
    </r>
    <rPh sb="0" eb="1">
      <t>ウチ</t>
    </rPh>
    <rPh sb="2" eb="4">
      <t>ジュウショウ</t>
    </rPh>
    <rPh sb="4" eb="5">
      <t>モノ</t>
    </rPh>
    <rPh sb="5" eb="6">
      <t>スウ</t>
    </rPh>
    <phoneticPr fontId="3"/>
  </si>
  <si>
    <r>
      <rPr>
        <sz val="11"/>
        <rFont val="Arial Unicode MS"/>
        <family val="3"/>
        <charset val="128"/>
      </rPr>
      <t>令和</t>
    </r>
    <r>
      <rPr>
        <sz val="11"/>
        <rFont val="Arial"/>
        <family val="2"/>
      </rPr>
      <t>4</t>
    </r>
    <r>
      <rPr>
        <sz val="11"/>
        <rFont val="Arial Unicode MS"/>
        <family val="3"/>
        <charset val="128"/>
      </rPr>
      <t>年</t>
    </r>
    <rPh sb="0" eb="2">
      <t>レイワ</t>
    </rPh>
    <rPh sb="3" eb="4">
      <t>ネン</t>
    </rPh>
    <phoneticPr fontId="3"/>
  </si>
  <si>
    <r>
      <rPr>
        <sz val="9"/>
        <rFont val="Arial Unicode MS"/>
        <family val="3"/>
        <charset val="128"/>
      </rPr>
      <t>（件数：件／死者数・負傷者数・内重傷者数：人）</t>
    </r>
    <rPh sb="15" eb="16">
      <t>ウチ</t>
    </rPh>
    <rPh sb="16" eb="20">
      <t>ジュウショウシャスウ</t>
    </rPh>
    <phoneticPr fontId="3"/>
  </si>
  <si>
    <r>
      <rPr>
        <sz val="11"/>
        <rFont val="Arial Unicode MS"/>
        <family val="3"/>
        <charset val="128"/>
      </rPr>
      <t>交通
安全
計画</t>
    </r>
    <rPh sb="0" eb="2">
      <t>コウツウ</t>
    </rPh>
    <rPh sb="3" eb="5">
      <t>アンゼン</t>
    </rPh>
    <rPh sb="6" eb="8">
      <t>ケイカク</t>
    </rPh>
    <phoneticPr fontId="3"/>
  </si>
  <si>
    <r>
      <rPr>
        <sz val="8"/>
        <rFont val="Arial Unicode MS"/>
        <family val="3"/>
        <charset val="128"/>
      </rPr>
      <t>内重傷者数</t>
    </r>
    <rPh sb="0" eb="1">
      <t>ウチ</t>
    </rPh>
    <rPh sb="1" eb="4">
      <t>ジュウショウシャ</t>
    </rPh>
    <rPh sb="4" eb="5">
      <t>スウ</t>
    </rPh>
    <phoneticPr fontId="3"/>
  </si>
  <si>
    <r>
      <rPr>
        <sz val="11"/>
        <rFont val="BIZ UDPゴシック"/>
        <family val="3"/>
        <charset val="128"/>
      </rPr>
      <t>令和</t>
    </r>
    <r>
      <rPr>
        <sz val="11"/>
        <rFont val="Arial"/>
        <family val="2"/>
      </rPr>
      <t>4</t>
    </r>
    <r>
      <rPr>
        <sz val="11"/>
        <rFont val="BIZ UDPゴシック"/>
        <family val="3"/>
        <charset val="128"/>
      </rPr>
      <t>年</t>
    </r>
    <rPh sb="0" eb="2">
      <t>レイワ</t>
    </rPh>
    <rPh sb="3" eb="4">
      <t>ネン</t>
    </rPh>
    <phoneticPr fontId="3"/>
  </si>
  <si>
    <r>
      <rPr>
        <sz val="11"/>
        <rFont val="BIZ UDPゴシック"/>
        <family val="3"/>
        <charset val="128"/>
      </rPr>
      <t>令和</t>
    </r>
    <r>
      <rPr>
        <sz val="11"/>
        <rFont val="Arial"/>
        <family val="2"/>
      </rPr>
      <t>3</t>
    </r>
    <r>
      <rPr>
        <sz val="11"/>
        <rFont val="BIZ UDPゴシック"/>
        <family val="3"/>
        <charset val="128"/>
      </rPr>
      <t>年</t>
    </r>
    <rPh sb="0" eb="2">
      <t>レイワ</t>
    </rPh>
    <rPh sb="3" eb="4">
      <t>ネン</t>
    </rPh>
    <phoneticPr fontId="3"/>
  </si>
  <si>
    <r>
      <rPr>
        <sz val="11"/>
        <rFont val="BIZ UDPゴシック"/>
        <family val="3"/>
        <charset val="128"/>
      </rPr>
      <t>内
重傷者数</t>
    </r>
    <rPh sb="0" eb="1">
      <t>ウチ</t>
    </rPh>
    <rPh sb="2" eb="5">
      <t>ジュウショウシャ</t>
    </rPh>
    <rPh sb="5" eb="6">
      <t>スウ</t>
    </rPh>
    <phoneticPr fontId="3"/>
  </si>
  <si>
    <r>
      <rPr>
        <sz val="11"/>
        <rFont val="BIZ UDPゴシック"/>
        <family val="3"/>
        <charset val="128"/>
      </rPr>
      <t>内重傷者数</t>
    </r>
    <rPh sb="0" eb="1">
      <t>ウチ</t>
    </rPh>
    <rPh sb="1" eb="4">
      <t>ジュウショウシャ</t>
    </rPh>
    <rPh sb="4" eb="5">
      <t>スウ</t>
    </rPh>
    <phoneticPr fontId="3"/>
  </si>
  <si>
    <t>総数</t>
    <rPh sb="0" eb="2">
      <t>ソウスウ</t>
    </rPh>
    <phoneticPr fontId="3"/>
  </si>
  <si>
    <t>総　　数</t>
    <rPh sb="0" eb="1">
      <t>ソウ</t>
    </rPh>
    <rPh sb="3" eb="4">
      <t>スウ</t>
    </rPh>
    <phoneticPr fontId="3"/>
  </si>
  <si>
    <r>
      <rPr>
        <sz val="11"/>
        <rFont val="ＭＳ Ｐゴシック"/>
        <family val="3"/>
        <charset val="128"/>
      </rPr>
      <t>総数</t>
    </r>
    <rPh sb="0" eb="2">
      <t>ソウスウ</t>
    </rPh>
    <phoneticPr fontId="3"/>
  </si>
  <si>
    <r>
      <rPr>
        <sz val="11"/>
        <rFont val="ＭＳ Ｐゴシック"/>
        <family val="3"/>
        <charset val="128"/>
      </rPr>
      <t>総　　数</t>
    </r>
    <rPh sb="0" eb="1">
      <t>ソウ</t>
    </rPh>
    <rPh sb="3" eb="4">
      <t>スウ</t>
    </rPh>
    <phoneticPr fontId="3"/>
  </si>
  <si>
    <r>
      <rPr>
        <sz val="11"/>
        <rFont val="ＭＳ Ｐゴシック"/>
        <family val="3"/>
        <charset val="128"/>
      </rPr>
      <t>　総　　　数</t>
    </r>
    <rPh sb="1" eb="2">
      <t>フサ</t>
    </rPh>
    <rPh sb="5" eb="6">
      <t>スウ</t>
    </rPh>
    <phoneticPr fontId="3"/>
  </si>
  <si>
    <r>
      <rPr>
        <sz val="11"/>
        <rFont val="ＭＳ Ｐゴシック"/>
        <family val="3"/>
        <charset val="128"/>
      </rPr>
      <t>総　数</t>
    </r>
    <rPh sb="0" eb="1">
      <t>ソウ</t>
    </rPh>
    <rPh sb="2" eb="3">
      <t>スウ</t>
    </rPh>
    <phoneticPr fontId="3"/>
  </si>
  <si>
    <r>
      <rPr>
        <sz val="11"/>
        <rFont val="ＭＳ ゴシック"/>
        <family val="3"/>
        <charset val="128"/>
      </rPr>
      <t>総数</t>
    </r>
    <rPh sb="0" eb="2">
      <t>ソウスウ</t>
    </rPh>
    <phoneticPr fontId="3"/>
  </si>
  <si>
    <r>
      <rPr>
        <sz val="10"/>
        <rFont val="ＭＳ Ｐゴシック"/>
        <family val="3"/>
        <charset val="128"/>
      </rPr>
      <t>総数</t>
    </r>
    <rPh sb="0" eb="2">
      <t>ソウスウ</t>
    </rPh>
    <phoneticPr fontId="3"/>
  </si>
  <si>
    <r>
      <rPr>
        <sz val="9"/>
        <rFont val="ＭＳ Ｐゴシック"/>
        <family val="3"/>
        <charset val="128"/>
      </rPr>
      <t>総数</t>
    </r>
    <rPh sb="0" eb="2">
      <t>ソウスウ</t>
    </rPh>
    <phoneticPr fontId="3"/>
  </si>
  <si>
    <r>
      <rPr>
        <sz val="11"/>
        <rFont val="BIZ UDPゴシック"/>
        <family val="3"/>
        <charset val="128"/>
      </rPr>
      <t>市域内総数</t>
    </r>
    <rPh sb="0" eb="1">
      <t>シ</t>
    </rPh>
    <rPh sb="1" eb="3">
      <t>イキナイ</t>
    </rPh>
    <rPh sb="3" eb="5">
      <t>ソウスウ</t>
    </rPh>
    <phoneticPr fontId="3"/>
  </si>
  <si>
    <r>
      <rPr>
        <sz val="8"/>
        <rFont val="ＭＳ Ｐゴシック"/>
        <family val="3"/>
        <charset val="128"/>
      </rPr>
      <t>月別</t>
    </r>
    <rPh sb="0" eb="2">
      <t>ツキベツ</t>
    </rPh>
    <phoneticPr fontId="3"/>
  </si>
  <si>
    <r>
      <rPr>
        <sz val="11"/>
        <rFont val="ＭＳ Ｐゴシック"/>
        <family val="3"/>
        <charset val="128"/>
      </rPr>
      <t>　</t>
    </r>
    <r>
      <rPr>
        <sz val="11"/>
        <rFont val="Arial"/>
        <family val="2"/>
      </rPr>
      <t>(</t>
    </r>
    <r>
      <rPr>
        <sz val="11"/>
        <rFont val="ＭＳ Ｐゴシック"/>
        <family val="3"/>
        <charset val="128"/>
      </rPr>
      <t>注</t>
    </r>
    <r>
      <rPr>
        <sz val="11"/>
        <rFont val="Arial"/>
        <family val="2"/>
      </rPr>
      <t>)S51</t>
    </r>
    <r>
      <rPr>
        <sz val="11"/>
        <rFont val="ＭＳ Ｐゴシック"/>
        <family val="3"/>
        <charset val="128"/>
      </rPr>
      <t>「内重傷者数」は記録なし。</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</si>
</sst>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quot;△ &quot;#,##0"/>
    <numFmt numFmtId="178" formatCode="#,##0;&quot;▲ &quot;#,##0"/>
    <numFmt numFmtId="179" formatCode="0.0;&quot;△ &quot;0.0"/>
    <numFmt numFmtId="180" formatCode="#,##0.0;&quot;▲ &quot;#,##0.0"/>
    <numFmt numFmtId="181" formatCode="0;&quot;▲ &quot;0"/>
    <numFmt numFmtId="182" formatCode="0.0;&quot;▲ &quot;0.0"/>
    <numFmt numFmtId="183" formatCode="#,##0_);[Red]\(#,##0\)"/>
    <numFmt numFmtId="184" formatCode="#,##0_ ;[Red]\-#,##0\ "/>
    <numFmt numFmtId="185" formatCode="0.0"/>
    <numFmt numFmtId="186" formatCode="#,##0.0;[Red]\-#,##0.0"/>
    <numFmt numFmtId="187" formatCode="General&quot;件&quot;"/>
    <numFmt numFmtId="188" formatCode="#,##0.0_);[Red]\(#,##0.0\)"/>
    <numFmt numFmtId="189" formatCode="0.0_ "/>
    <numFmt numFmtId="190" formatCode="0.0_);[Red]\(0.0\)"/>
    <numFmt numFmtId="191" formatCode="#,##0.00;&quot;▲ &quot;#,##0.00"/>
  </numFmts>
  <fonts count="61">
    <font>
      <sz val="11"/>
      <name val="ＭＳ Ｐゴシック"/>
      <family val="3"/>
      <charset val="128"/>
    </font>
    <font>
      <sz val="11"/>
      <name val="ＭＳ Ｐゴシック"/>
      <family val="3"/>
      <charset val="128"/>
    </font>
    <font>
      <b/>
      <sz val="14"/>
      <name val="BIZ UDPゴシック"/>
      <family val="3"/>
      <charset val="128"/>
    </font>
    <font>
      <sz val="6"/>
      <name val="ＭＳ Ｐゴシック"/>
      <family val="3"/>
      <charset val="128"/>
    </font>
    <font>
      <sz val="11"/>
      <name val="Arial"/>
      <family val="2"/>
    </font>
    <font>
      <sz val="11"/>
      <name val="BIZ UDPゴシック"/>
      <family val="3"/>
      <charset val="128"/>
    </font>
    <font>
      <sz val="9"/>
      <name val="Arial"/>
      <family val="2"/>
    </font>
    <font>
      <sz val="9"/>
      <name val="BIZ UDPゴシック"/>
      <family val="3"/>
      <charset val="128"/>
    </font>
    <font>
      <sz val="12"/>
      <name val="Arial"/>
      <family val="2"/>
    </font>
    <font>
      <sz val="12"/>
      <name val="Arial Unicode MS"/>
      <family val="3"/>
      <charset val="128"/>
    </font>
    <font>
      <sz val="11"/>
      <name val="Arial Unicode MS"/>
      <family val="3"/>
      <charset val="128"/>
    </font>
    <font>
      <sz val="9"/>
      <name val="Arial Unicode MS"/>
      <family val="3"/>
      <charset val="128"/>
    </font>
    <font>
      <sz val="10"/>
      <name val="Arial"/>
      <family val="2"/>
    </font>
    <font>
      <sz val="13"/>
      <name val="Arial"/>
      <family val="2"/>
    </font>
    <font>
      <b/>
      <sz val="14"/>
      <name val="Arial"/>
      <family val="2"/>
    </font>
    <font>
      <sz val="10"/>
      <color indexed="8"/>
      <name val="Arial"/>
      <family val="2"/>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indexed="63"/>
      <name val="Arial"/>
      <family val="2"/>
    </font>
    <font>
      <sz val="11"/>
      <color indexed="63"/>
      <name val="ＭＳ Ｐゴシック"/>
      <family val="3"/>
      <charset val="128"/>
    </font>
    <font>
      <sz val="10"/>
      <color theme="1"/>
      <name val="Arial"/>
      <family val="2"/>
    </font>
    <font>
      <sz val="11"/>
      <color indexed="10"/>
      <name val="Arial"/>
      <family val="2"/>
    </font>
    <font>
      <sz val="9"/>
      <name val="ＭＳ Ｐゴシック"/>
      <family val="3"/>
      <charset val="128"/>
    </font>
    <font>
      <sz val="8"/>
      <name val="ＭＳ Ｐゴシック"/>
      <family val="3"/>
      <charset val="128"/>
    </font>
    <font>
      <sz val="10"/>
      <name val="ＭＳ Ｐゴシック"/>
      <family val="3"/>
      <charset val="128"/>
    </font>
    <font>
      <sz val="8"/>
      <name val="Arial"/>
      <family val="2"/>
    </font>
    <font>
      <sz val="18"/>
      <color indexed="8"/>
      <name val="Arial"/>
      <family val="2"/>
    </font>
    <font>
      <sz val="18"/>
      <color indexed="8"/>
      <name val="ＭＳ Ｐゴシック"/>
      <family val="3"/>
      <charset val="128"/>
    </font>
    <font>
      <sz val="18"/>
      <name val="Arial"/>
      <family val="2"/>
    </font>
    <font>
      <sz val="14"/>
      <color indexed="8"/>
      <name val="Arial"/>
      <family val="2"/>
    </font>
    <font>
      <sz val="6"/>
      <name val="Arial"/>
      <family val="2"/>
    </font>
    <font>
      <sz val="11"/>
      <color indexed="8"/>
      <name val="Arial"/>
      <family val="2"/>
    </font>
    <font>
      <sz val="12"/>
      <name val="ＭＳ Ｐゴシック"/>
      <family val="3"/>
      <charset val="128"/>
    </font>
    <font>
      <sz val="9"/>
      <name val="ＭＳ ゴシック"/>
      <family val="2"/>
      <charset val="128"/>
    </font>
    <font>
      <sz val="9"/>
      <color indexed="8"/>
      <name val="Arial"/>
      <family val="2"/>
    </font>
    <font>
      <b/>
      <sz val="14"/>
      <name val="ＭＳ Ｐゴシック"/>
      <family val="3"/>
      <charset val="128"/>
    </font>
    <font>
      <b/>
      <sz val="12"/>
      <name val="Arial"/>
      <family val="2"/>
    </font>
    <font>
      <b/>
      <sz val="11"/>
      <name val="Arial"/>
      <family val="2"/>
    </font>
    <font>
      <b/>
      <sz val="11"/>
      <color rgb="FFFF0000"/>
      <name val="Arial"/>
      <family val="2"/>
    </font>
    <font>
      <sz val="11"/>
      <color rgb="FFFF0000"/>
      <name val="Arial"/>
      <family val="2"/>
    </font>
    <font>
      <sz val="12"/>
      <name val="ＭＳ 明朝"/>
      <family val="1"/>
      <charset val="128"/>
    </font>
    <font>
      <sz val="11"/>
      <color theme="1"/>
      <name val="Arial"/>
      <family val="2"/>
    </font>
    <font>
      <sz val="7"/>
      <name val="Arial"/>
      <family val="2"/>
    </font>
    <font>
      <sz val="7"/>
      <name val="ＭＳ Ｐゴシック"/>
      <family val="3"/>
      <charset val="128"/>
    </font>
    <font>
      <sz val="11"/>
      <color indexed="8"/>
      <name val="ＭＳ Ｐゴシック"/>
      <family val="3"/>
      <charset val="128"/>
    </font>
    <font>
      <sz val="8"/>
      <name val="ＭＳ 明朝"/>
      <family val="1"/>
      <charset val="128"/>
    </font>
    <font>
      <sz val="11"/>
      <name val="ＭＳ 明朝"/>
      <family val="1"/>
      <charset val="128"/>
    </font>
    <font>
      <sz val="10"/>
      <color indexed="10"/>
      <name val="Arial"/>
      <family val="2"/>
    </font>
    <font>
      <sz val="10.5"/>
      <name val="Arial"/>
      <family val="2"/>
    </font>
    <font>
      <sz val="10.5"/>
      <name val="ＭＳ Ｐゴシック"/>
      <family val="3"/>
      <charset val="128"/>
    </font>
    <font>
      <sz val="12"/>
      <color theme="1"/>
      <name val="ＭＳ Ｐゴシック"/>
      <family val="3"/>
      <charset val="128"/>
    </font>
    <font>
      <sz val="20"/>
      <color theme="1"/>
      <name val="游ゴシック"/>
      <family val="2"/>
      <charset val="128"/>
      <scheme val="minor"/>
    </font>
    <font>
      <sz val="12"/>
      <color theme="1"/>
      <name val="Arial"/>
      <family val="2"/>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8"/>
      <color indexed="8"/>
      <name val="Arial"/>
      <family val="2"/>
    </font>
    <font>
      <sz val="8"/>
      <color indexed="8"/>
      <name val="ＭＳ Ｐゴシック"/>
      <family val="3"/>
      <charset val="128"/>
    </font>
    <font>
      <sz val="8"/>
      <name val="Arial Unicode MS"/>
      <family val="3"/>
      <charset val="128"/>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indexed="13"/>
        <bgColor indexed="64"/>
      </patternFill>
    </fill>
  </fills>
  <borders count="8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2114">
    <xf numFmtId="0" fontId="0" fillId="0" borderId="0" xfId="0"/>
    <xf numFmtId="0" fontId="2" fillId="0" borderId="0" xfId="0" applyFont="1" applyFill="1" applyAlignment="1">
      <alignment vertical="center"/>
    </xf>
    <xf numFmtId="0" fontId="4" fillId="0" borderId="0" xfId="0" applyFont="1" applyFill="1"/>
    <xf numFmtId="0" fontId="4" fillId="0" borderId="2" xfId="0" applyFont="1" applyFill="1" applyBorder="1"/>
    <xf numFmtId="0" fontId="4" fillId="0" borderId="3" xfId="0" applyFont="1" applyFill="1" applyBorder="1"/>
    <xf numFmtId="0" fontId="4" fillId="0" borderId="4" xfId="0" applyFont="1" applyFill="1" applyBorder="1" applyAlignment="1">
      <alignment horizontal="right" vertical="center"/>
    </xf>
    <xf numFmtId="0" fontId="4" fillId="0" borderId="8" xfId="0" applyFont="1" applyFill="1" applyBorder="1"/>
    <xf numFmtId="0" fontId="4" fillId="0" borderId="1" xfId="0" applyFont="1" applyFill="1" applyBorder="1"/>
    <xf numFmtId="0" fontId="4" fillId="0" borderId="9" xfId="0" applyFont="1" applyFill="1" applyBorder="1"/>
    <xf numFmtId="0" fontId="4" fillId="0" borderId="0" xfId="0" applyFont="1" applyFill="1" applyBorder="1"/>
    <xf numFmtId="0" fontId="4" fillId="0" borderId="12" xfId="0" applyFont="1"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vertical="center"/>
    </xf>
    <xf numFmtId="176" fontId="4" fillId="0" borderId="18" xfId="0" applyNumberFormat="1" applyFont="1" applyFill="1" applyBorder="1" applyAlignment="1">
      <alignment vertical="center"/>
    </xf>
    <xf numFmtId="177" fontId="4" fillId="0" borderId="6" xfId="0" applyNumberFormat="1" applyFont="1" applyFill="1" applyBorder="1" applyAlignment="1">
      <alignment vertical="center"/>
    </xf>
    <xf numFmtId="178" fontId="4" fillId="0" borderId="19" xfId="1" applyNumberFormat="1" applyFont="1" applyFill="1" applyBorder="1" applyAlignment="1">
      <alignment vertical="center"/>
    </xf>
    <xf numFmtId="179" fontId="4" fillId="0" borderId="6" xfId="0" applyNumberFormat="1" applyFont="1" applyFill="1" applyBorder="1" applyAlignment="1">
      <alignment vertical="center"/>
    </xf>
    <xf numFmtId="180" fontId="4" fillId="0" borderId="7" xfId="2" applyNumberFormat="1" applyFont="1" applyFill="1" applyBorder="1" applyAlignment="1">
      <alignment vertical="center"/>
    </xf>
    <xf numFmtId="0" fontId="4" fillId="0" borderId="22" xfId="0" applyFont="1" applyFill="1" applyBorder="1" applyAlignment="1">
      <alignment horizontal="distributed" vertical="center"/>
    </xf>
    <xf numFmtId="176" fontId="4" fillId="0" borderId="24" xfId="0" applyNumberFormat="1" applyFont="1" applyFill="1" applyBorder="1" applyAlignment="1">
      <alignment vertical="center"/>
    </xf>
    <xf numFmtId="177" fontId="4" fillId="0" borderId="25" xfId="0" applyNumberFormat="1" applyFont="1" applyFill="1" applyBorder="1" applyAlignment="1">
      <alignment vertical="center"/>
    </xf>
    <xf numFmtId="178" fontId="4" fillId="0" borderId="26" xfId="1" applyNumberFormat="1" applyFont="1" applyFill="1" applyBorder="1" applyAlignment="1">
      <alignment vertical="center"/>
    </xf>
    <xf numFmtId="179" fontId="4" fillId="0" borderId="25" xfId="0" applyNumberFormat="1" applyFont="1" applyFill="1" applyBorder="1" applyAlignment="1">
      <alignment vertical="center"/>
    </xf>
    <xf numFmtId="180" fontId="4" fillId="0" borderId="27" xfId="2" applyNumberFormat="1" applyFont="1" applyFill="1" applyBorder="1" applyAlignment="1">
      <alignment vertical="center"/>
    </xf>
    <xf numFmtId="0" fontId="4" fillId="0" borderId="22" xfId="0" applyFont="1" applyFill="1" applyBorder="1" applyAlignment="1">
      <alignment horizontal="center" vertical="center" shrinkToFit="1"/>
    </xf>
    <xf numFmtId="178" fontId="4" fillId="0" borderId="28" xfId="1" applyNumberFormat="1" applyFont="1" applyFill="1" applyBorder="1" applyAlignment="1">
      <alignment vertical="center"/>
    </xf>
    <xf numFmtId="180" fontId="4" fillId="0" borderId="27" xfId="2" applyNumberFormat="1" applyFont="1" applyFill="1" applyBorder="1" applyAlignment="1">
      <alignment horizontal="right" vertical="center"/>
    </xf>
    <xf numFmtId="177" fontId="4" fillId="0" borderId="32" xfId="0" applyNumberFormat="1" applyFont="1" applyFill="1" applyBorder="1" applyAlignment="1">
      <alignment vertical="center"/>
    </xf>
    <xf numFmtId="179" fontId="4" fillId="0" borderId="32" xfId="0" applyNumberFormat="1" applyFont="1" applyFill="1" applyBorder="1" applyAlignment="1">
      <alignment vertical="center"/>
    </xf>
    <xf numFmtId="180" fontId="4" fillId="0" borderId="34" xfId="2" applyNumberFormat="1" applyFont="1" applyFill="1" applyBorder="1" applyAlignment="1">
      <alignment vertical="center"/>
    </xf>
    <xf numFmtId="178" fontId="4" fillId="0" borderId="35" xfId="1" applyNumberFormat="1" applyFont="1" applyFill="1" applyBorder="1" applyAlignment="1">
      <alignment vertical="center"/>
    </xf>
    <xf numFmtId="0" fontId="4" fillId="0" borderId="37" xfId="0" applyFont="1" applyFill="1" applyBorder="1" applyAlignment="1">
      <alignment horizontal="center" vertical="center" shrinkToFit="1"/>
    </xf>
    <xf numFmtId="178" fontId="4" fillId="0" borderId="40" xfId="1" applyNumberFormat="1" applyFont="1" applyFill="1" applyBorder="1" applyAlignment="1">
      <alignment vertical="center"/>
    </xf>
    <xf numFmtId="178" fontId="4" fillId="0" borderId="41" xfId="1" applyNumberFormat="1" applyFont="1" applyFill="1" applyBorder="1" applyAlignment="1">
      <alignment vertical="center"/>
    </xf>
    <xf numFmtId="176" fontId="4" fillId="0" borderId="43" xfId="0" applyNumberFormat="1" applyFont="1" applyFill="1" applyBorder="1" applyAlignment="1">
      <alignment vertical="center"/>
    </xf>
    <xf numFmtId="177" fontId="4" fillId="0" borderId="13" xfId="0" applyNumberFormat="1" applyFont="1" applyFill="1" applyBorder="1" applyAlignment="1">
      <alignment vertical="center"/>
    </xf>
    <xf numFmtId="179" fontId="4" fillId="0" borderId="13" xfId="0" applyNumberFormat="1" applyFont="1" applyFill="1" applyBorder="1" applyAlignment="1">
      <alignment vertical="center"/>
    </xf>
    <xf numFmtId="180" fontId="4" fillId="0" borderId="14" xfId="2" applyNumberFormat="1" applyFont="1" applyFill="1" applyBorder="1" applyAlignment="1">
      <alignment vertical="center"/>
    </xf>
    <xf numFmtId="176" fontId="4" fillId="0" borderId="45" xfId="0" applyNumberFormat="1" applyFont="1" applyFill="1" applyBorder="1" applyAlignment="1">
      <alignment vertical="center"/>
    </xf>
    <xf numFmtId="177" fontId="4" fillId="0" borderId="37" xfId="0" applyNumberFormat="1" applyFont="1" applyFill="1" applyBorder="1" applyAlignment="1">
      <alignment vertical="center"/>
    </xf>
    <xf numFmtId="179" fontId="4" fillId="0" borderId="37" xfId="0" applyNumberFormat="1" applyFont="1" applyFill="1" applyBorder="1" applyAlignment="1">
      <alignment vertical="center"/>
    </xf>
    <xf numFmtId="180" fontId="4" fillId="0" borderId="46" xfId="2" applyNumberFormat="1" applyFont="1" applyFill="1" applyBorder="1" applyAlignment="1">
      <alignment vertical="center"/>
    </xf>
    <xf numFmtId="177" fontId="4" fillId="0" borderId="30" xfId="0" applyNumberFormat="1" applyFont="1" applyFill="1" applyBorder="1" applyAlignment="1">
      <alignment vertical="center"/>
    </xf>
    <xf numFmtId="0" fontId="4" fillId="0" borderId="0" xfId="0" applyFont="1" applyFill="1" applyBorder="1" applyAlignment="1"/>
    <xf numFmtId="0" fontId="4" fillId="0" borderId="4" xfId="0" applyFont="1" applyFill="1" applyBorder="1" applyAlignment="1">
      <alignment horizontal="right"/>
    </xf>
    <xf numFmtId="0" fontId="4" fillId="0" borderId="1" xfId="0" applyFont="1" applyFill="1" applyBorder="1" applyAlignment="1">
      <alignment horizontal="center"/>
    </xf>
    <xf numFmtId="0" fontId="4" fillId="0" borderId="17" xfId="0" applyFont="1" applyFill="1" applyBorder="1"/>
    <xf numFmtId="0" fontId="4" fillId="0" borderId="6" xfId="0" applyFont="1" applyFill="1" applyBorder="1"/>
    <xf numFmtId="0" fontId="4" fillId="0" borderId="7" xfId="0" applyFont="1" applyFill="1" applyBorder="1"/>
    <xf numFmtId="0" fontId="4" fillId="0" borderId="16" xfId="0" applyFont="1" applyFill="1" applyBorder="1"/>
    <xf numFmtId="0" fontId="4" fillId="0" borderId="35" xfId="0" applyFont="1" applyFill="1" applyBorder="1"/>
    <xf numFmtId="181" fontId="4" fillId="0" borderId="3" xfId="0" applyNumberFormat="1" applyFont="1" applyFill="1" applyBorder="1"/>
    <xf numFmtId="0" fontId="4" fillId="0" borderId="13" xfId="0" applyFont="1" applyFill="1" applyBorder="1"/>
    <xf numFmtId="0" fontId="4" fillId="0" borderId="53" xfId="0" applyFont="1" applyFill="1" applyBorder="1"/>
    <xf numFmtId="0" fontId="4" fillId="0" borderId="54" xfId="0" applyFont="1" applyFill="1" applyBorder="1"/>
    <xf numFmtId="0" fontId="4" fillId="0" borderId="28" xfId="0" applyFont="1" applyFill="1" applyBorder="1"/>
    <xf numFmtId="181" fontId="4" fillId="0" borderId="21" xfId="0" applyNumberFormat="1" applyFont="1" applyFill="1" applyBorder="1"/>
    <xf numFmtId="0" fontId="4" fillId="0" borderId="22" xfId="0" applyFont="1" applyFill="1" applyBorder="1"/>
    <xf numFmtId="0" fontId="4" fillId="0" borderId="25" xfId="0" applyFont="1" applyFill="1" applyBorder="1"/>
    <xf numFmtId="0" fontId="4" fillId="0" borderId="27" xfId="0" applyFont="1" applyFill="1" applyBorder="1"/>
    <xf numFmtId="0" fontId="4" fillId="0" borderId="26" xfId="0" applyFont="1" applyFill="1" applyBorder="1"/>
    <xf numFmtId="181" fontId="4" fillId="0" borderId="0" xfId="0" applyNumberFormat="1" applyFont="1" applyFill="1" applyBorder="1"/>
    <xf numFmtId="0" fontId="4" fillId="0" borderId="55" xfId="0" applyFont="1" applyFill="1" applyBorder="1"/>
    <xf numFmtId="0" fontId="4" fillId="0" borderId="37" xfId="0" applyFont="1" applyFill="1" applyBorder="1"/>
    <xf numFmtId="0" fontId="4" fillId="0" borderId="46" xfId="0" applyFont="1" applyFill="1" applyBorder="1"/>
    <xf numFmtId="0" fontId="4" fillId="0" borderId="41" xfId="0" applyFont="1" applyFill="1" applyBorder="1"/>
    <xf numFmtId="0" fontId="4" fillId="0" borderId="51" xfId="0" applyFont="1" applyFill="1" applyBorder="1"/>
    <xf numFmtId="0" fontId="4" fillId="0" borderId="33" xfId="0" applyFont="1" applyFill="1" applyBorder="1"/>
    <xf numFmtId="181" fontId="4" fillId="0" borderId="1" xfId="0" applyNumberFormat="1" applyFont="1" applyFill="1" applyBorder="1"/>
    <xf numFmtId="0" fontId="4" fillId="0" borderId="0" xfId="0" applyFont="1" applyFill="1" applyAlignment="1">
      <alignment vertical="center"/>
    </xf>
    <xf numFmtId="0" fontId="8" fillId="0" borderId="0" xfId="0" applyFont="1" applyFill="1"/>
    <xf numFmtId="0" fontId="4" fillId="0" borderId="50" xfId="0" applyFont="1" applyFill="1" applyBorder="1" applyAlignment="1">
      <alignment horizontal="right"/>
    </xf>
    <xf numFmtId="0" fontId="4" fillId="0" borderId="58" xfId="0" applyFont="1" applyFill="1" applyBorder="1"/>
    <xf numFmtId="183" fontId="4" fillId="0" borderId="17" xfId="1" applyNumberFormat="1" applyFont="1" applyFill="1" applyBorder="1" applyAlignment="1">
      <alignment vertical="center"/>
    </xf>
    <xf numFmtId="183" fontId="4" fillId="0" borderId="59" xfId="0" applyNumberFormat="1" applyFont="1" applyFill="1" applyBorder="1" applyAlignment="1">
      <alignment vertical="center"/>
    </xf>
    <xf numFmtId="183" fontId="4" fillId="0" borderId="6" xfId="1" applyNumberFormat="1" applyFont="1" applyFill="1" applyBorder="1" applyAlignment="1">
      <alignment vertical="center"/>
    </xf>
    <xf numFmtId="183" fontId="4" fillId="0" borderId="16" xfId="1" applyNumberFormat="1" applyFont="1" applyFill="1" applyBorder="1" applyAlignment="1">
      <alignment vertical="center"/>
    </xf>
    <xf numFmtId="183" fontId="4" fillId="0" borderId="59" xfId="1" applyNumberFormat="1" applyFont="1" applyFill="1" applyBorder="1" applyAlignment="1">
      <alignment vertical="center"/>
    </xf>
    <xf numFmtId="0" fontId="4" fillId="0" borderId="47" xfId="0" applyFont="1" applyFill="1" applyBorder="1" applyAlignment="1">
      <alignment horizontal="center"/>
    </xf>
    <xf numFmtId="183" fontId="4" fillId="0" borderId="42" xfId="1" applyNumberFormat="1" applyFont="1" applyFill="1" applyBorder="1" applyAlignment="1">
      <alignment vertical="center"/>
    </xf>
    <xf numFmtId="183" fontId="4" fillId="0" borderId="29" xfId="0" applyNumberFormat="1" applyFont="1" applyFill="1" applyBorder="1" applyAlignment="1">
      <alignment vertical="center"/>
    </xf>
    <xf numFmtId="183" fontId="4" fillId="0" borderId="13" xfId="1" applyNumberFormat="1" applyFont="1" applyFill="1" applyBorder="1" applyAlignment="1">
      <alignment vertical="center"/>
    </xf>
    <xf numFmtId="183" fontId="4" fillId="0" borderId="47" xfId="1" applyNumberFormat="1" applyFont="1" applyFill="1" applyBorder="1" applyAlignment="1">
      <alignment vertical="center"/>
    </xf>
    <xf numFmtId="183" fontId="4" fillId="0" borderId="29" xfId="1" applyNumberFormat="1" applyFont="1" applyFill="1" applyBorder="1" applyAlignment="1">
      <alignment vertical="center"/>
    </xf>
    <xf numFmtId="0" fontId="4" fillId="0" borderId="22" xfId="0" applyFont="1" applyFill="1" applyBorder="1" applyAlignment="1">
      <alignment horizontal="center"/>
    </xf>
    <xf numFmtId="183" fontId="4" fillId="0" borderId="23" xfId="1" applyNumberFormat="1" applyFont="1" applyFill="1" applyBorder="1" applyAlignment="1">
      <alignment vertical="center"/>
    </xf>
    <xf numFmtId="183" fontId="4" fillId="0" borderId="21" xfId="0" applyNumberFormat="1" applyFont="1" applyFill="1" applyBorder="1" applyAlignment="1">
      <alignment vertical="center"/>
    </xf>
    <xf numFmtId="183" fontId="4" fillId="0" borderId="25" xfId="1" applyNumberFormat="1" applyFont="1" applyFill="1" applyBorder="1" applyAlignment="1">
      <alignment vertical="center"/>
    </xf>
    <xf numFmtId="183" fontId="4" fillId="0" borderId="22" xfId="1" applyNumberFormat="1" applyFont="1" applyFill="1" applyBorder="1" applyAlignment="1">
      <alignment vertical="center"/>
    </xf>
    <xf numFmtId="183" fontId="4" fillId="0" borderId="21" xfId="1" applyNumberFormat="1" applyFont="1" applyFill="1" applyBorder="1" applyAlignment="1">
      <alignment vertical="center"/>
    </xf>
    <xf numFmtId="0" fontId="4" fillId="0" borderId="54" xfId="0" applyFont="1" applyFill="1" applyBorder="1" applyAlignment="1">
      <alignment horizontal="center"/>
    </xf>
    <xf numFmtId="183" fontId="4" fillId="0" borderId="10" xfId="1" applyNumberFormat="1" applyFont="1" applyFill="1" applyBorder="1" applyAlignment="1">
      <alignment vertical="center"/>
    </xf>
    <xf numFmtId="183" fontId="4" fillId="0" borderId="36" xfId="0" applyNumberFormat="1" applyFont="1" applyFill="1" applyBorder="1" applyAlignment="1">
      <alignment vertical="center"/>
    </xf>
    <xf numFmtId="183" fontId="4" fillId="0" borderId="0" xfId="1" applyNumberFormat="1" applyFont="1" applyFill="1" applyBorder="1" applyAlignment="1">
      <alignment vertical="center"/>
    </xf>
    <xf numFmtId="183" fontId="4" fillId="0" borderId="54" xfId="1" applyNumberFormat="1" applyFont="1" applyFill="1" applyBorder="1" applyAlignment="1">
      <alignment vertical="center"/>
    </xf>
    <xf numFmtId="183" fontId="4" fillId="0" borderId="36" xfId="1" applyNumberFormat="1" applyFont="1" applyFill="1" applyBorder="1" applyAlignment="1">
      <alignment vertical="center"/>
    </xf>
    <xf numFmtId="0" fontId="4" fillId="0" borderId="55" xfId="0" applyFont="1" applyFill="1" applyBorder="1" applyAlignment="1">
      <alignment horizontal="center"/>
    </xf>
    <xf numFmtId="183" fontId="4" fillId="0" borderId="44" xfId="1" applyNumberFormat="1" applyFont="1" applyFill="1" applyBorder="1" applyAlignment="1">
      <alignment vertical="center"/>
    </xf>
    <xf numFmtId="183" fontId="4" fillId="0" borderId="61" xfId="0" applyNumberFormat="1" applyFont="1" applyFill="1" applyBorder="1" applyAlignment="1">
      <alignment vertical="center"/>
    </xf>
    <xf numFmtId="183" fontId="4" fillId="0" borderId="37" xfId="1" applyNumberFormat="1" applyFont="1" applyFill="1" applyBorder="1" applyAlignment="1">
      <alignment vertical="center"/>
    </xf>
    <xf numFmtId="183" fontId="4" fillId="0" borderId="55" xfId="1" applyNumberFormat="1" applyFont="1" applyFill="1" applyBorder="1" applyAlignment="1">
      <alignment vertical="center"/>
    </xf>
    <xf numFmtId="183" fontId="4" fillId="0" borderId="61" xfId="1" applyNumberFormat="1" applyFont="1" applyFill="1" applyBorder="1" applyAlignment="1">
      <alignment vertical="center"/>
    </xf>
    <xf numFmtId="183" fontId="0" fillId="0" borderId="47" xfId="1" applyNumberFormat="1" applyFont="1" applyFill="1" applyBorder="1" applyAlignment="1">
      <alignment horizontal="right" vertical="center"/>
    </xf>
    <xf numFmtId="183" fontId="4" fillId="0" borderId="52" xfId="1" applyNumberFormat="1" applyFont="1" applyFill="1" applyBorder="1" applyAlignment="1">
      <alignment vertical="center"/>
    </xf>
    <xf numFmtId="183" fontId="4" fillId="0" borderId="13" xfId="0" applyNumberFormat="1" applyFont="1" applyFill="1" applyBorder="1" applyAlignment="1">
      <alignment vertical="center"/>
    </xf>
    <xf numFmtId="183" fontId="4" fillId="0" borderId="62" xfId="1" applyNumberFormat="1" applyFont="1" applyFill="1" applyBorder="1" applyAlignment="1">
      <alignment vertical="center"/>
    </xf>
    <xf numFmtId="183" fontId="4" fillId="0" borderId="56" xfId="1" applyNumberFormat="1" applyFont="1" applyFill="1" applyBorder="1" applyAlignment="1">
      <alignment vertical="center"/>
    </xf>
    <xf numFmtId="183" fontId="4" fillId="0" borderId="20" xfId="1" applyNumberFormat="1" applyFont="1" applyFill="1" applyBorder="1" applyAlignment="1">
      <alignment vertical="center"/>
    </xf>
    <xf numFmtId="183" fontId="4" fillId="0" borderId="62" xfId="0" applyNumberFormat="1" applyFont="1" applyFill="1" applyBorder="1" applyAlignment="1">
      <alignment vertical="center"/>
    </xf>
    <xf numFmtId="183" fontId="4" fillId="0" borderId="22" xfId="0" applyNumberFormat="1" applyFont="1" applyFill="1" applyBorder="1" applyAlignment="1">
      <alignment vertical="center"/>
    </xf>
    <xf numFmtId="183" fontId="4" fillId="0" borderId="20" xfId="0" applyNumberFormat="1" applyFont="1" applyFill="1" applyBorder="1" applyAlignment="1">
      <alignment vertical="center"/>
    </xf>
    <xf numFmtId="183" fontId="4" fillId="0" borderId="54" xfId="0" applyNumberFormat="1" applyFont="1" applyFill="1" applyBorder="1" applyAlignment="1">
      <alignment vertical="center"/>
    </xf>
    <xf numFmtId="183" fontId="4" fillId="0" borderId="52" xfId="0" applyNumberFormat="1" applyFont="1" applyFill="1" applyBorder="1" applyAlignment="1">
      <alignment vertical="center"/>
    </xf>
    <xf numFmtId="183" fontId="4" fillId="0" borderId="47" xfId="0" applyNumberFormat="1" applyFont="1" applyFill="1" applyBorder="1" applyAlignment="1">
      <alignment vertical="center"/>
    </xf>
    <xf numFmtId="0" fontId="4" fillId="0" borderId="24" xfId="0" applyFont="1" applyFill="1" applyBorder="1" applyAlignment="1">
      <alignment horizontal="center"/>
    </xf>
    <xf numFmtId="0" fontId="4" fillId="0" borderId="31" xfId="0" applyFont="1" applyFill="1" applyBorder="1" applyAlignment="1">
      <alignment horizontal="center"/>
    </xf>
    <xf numFmtId="0" fontId="4" fillId="0" borderId="0" xfId="0" applyFont="1"/>
    <xf numFmtId="0" fontId="12" fillId="0" borderId="0" xfId="0" applyFont="1"/>
    <xf numFmtId="182" fontId="4" fillId="0" borderId="34" xfId="0" applyNumberFormat="1" applyFont="1" applyBorder="1" applyAlignment="1">
      <alignment horizontal="right" vertical="center"/>
    </xf>
    <xf numFmtId="38" fontId="4" fillId="0" borderId="48" xfId="1" applyFont="1" applyBorder="1" applyAlignment="1">
      <alignment horizontal="center" vertical="center"/>
    </xf>
    <xf numFmtId="178" fontId="4" fillId="0" borderId="40" xfId="1" applyNumberFormat="1" applyFont="1" applyBorder="1" applyAlignment="1">
      <alignment horizontal="right" vertical="center"/>
    </xf>
    <xf numFmtId="182" fontId="4" fillId="0" borderId="14" xfId="0" applyNumberFormat="1" applyFont="1" applyBorder="1" applyAlignment="1">
      <alignment horizontal="right" vertical="center"/>
    </xf>
    <xf numFmtId="38" fontId="4" fillId="0" borderId="47" xfId="1" applyFont="1" applyBorder="1" applyAlignment="1">
      <alignment horizontal="center" vertical="center"/>
    </xf>
    <xf numFmtId="178" fontId="4" fillId="0" borderId="12" xfId="1" applyNumberFormat="1" applyFont="1" applyBorder="1" applyAlignment="1">
      <alignment horizontal="right" vertical="center"/>
    </xf>
    <xf numFmtId="182" fontId="4" fillId="0" borderId="27" xfId="0" applyNumberFormat="1" applyFont="1" applyBorder="1" applyAlignment="1">
      <alignment horizontal="right" vertical="center"/>
    </xf>
    <xf numFmtId="38" fontId="4" fillId="0" borderId="22" xfId="1" applyFont="1" applyBorder="1" applyAlignment="1">
      <alignment horizontal="center" vertical="center"/>
    </xf>
    <xf numFmtId="178" fontId="4" fillId="0" borderId="26" xfId="1" applyNumberFormat="1" applyFont="1" applyBorder="1" applyAlignment="1">
      <alignment horizontal="right" vertical="center"/>
    </xf>
    <xf numFmtId="182" fontId="4" fillId="0" borderId="7" xfId="0" applyNumberFormat="1" applyFont="1" applyBorder="1" applyAlignment="1">
      <alignment horizontal="right" vertical="center"/>
    </xf>
    <xf numFmtId="38" fontId="4" fillId="0" borderId="16" xfId="1" applyFont="1" applyBorder="1" applyAlignment="1">
      <alignment horizontal="center" vertical="center"/>
    </xf>
    <xf numFmtId="178" fontId="4" fillId="0" borderId="35" xfId="1" applyNumberFormat="1" applyFont="1" applyBorder="1" applyAlignment="1">
      <alignment horizontal="right" vertical="center"/>
    </xf>
    <xf numFmtId="0" fontId="4" fillId="0" borderId="9" xfId="0" applyFont="1" applyBorder="1"/>
    <xf numFmtId="0" fontId="4" fillId="0" borderId="8" xfId="0" applyFont="1" applyBorder="1"/>
    <xf numFmtId="0" fontId="4" fillId="0" borderId="4" xfId="0" applyFont="1" applyBorder="1" applyAlignment="1">
      <alignment horizontal="right"/>
    </xf>
    <xf numFmtId="0" fontId="4" fillId="0" borderId="2" xfId="0" applyFont="1" applyBorder="1" applyAlignment="1">
      <alignment horizontal="right"/>
    </xf>
    <xf numFmtId="0" fontId="13" fillId="0" borderId="0" xfId="0" applyFont="1" applyFill="1"/>
    <xf numFmtId="0" fontId="9" fillId="0" borderId="0" xfId="0" applyFont="1" applyFill="1"/>
    <xf numFmtId="0" fontId="4" fillId="0" borderId="64" xfId="0" applyFont="1" applyFill="1" applyBorder="1" applyAlignment="1">
      <alignment horizontal="right"/>
    </xf>
    <xf numFmtId="0" fontId="4" fillId="0" borderId="65" xfId="0" applyFont="1" applyFill="1" applyBorder="1"/>
    <xf numFmtId="0" fontId="6" fillId="0" borderId="1" xfId="0" applyFont="1" applyFill="1" applyBorder="1" applyAlignment="1">
      <alignment horizontal="right"/>
    </xf>
    <xf numFmtId="0" fontId="4" fillId="0" borderId="66" xfId="0" applyFont="1" applyFill="1" applyBorder="1" applyAlignment="1">
      <alignment horizontal="center"/>
    </xf>
    <xf numFmtId="38" fontId="4" fillId="0" borderId="0" xfId="1" applyFont="1" applyFill="1" applyBorder="1"/>
    <xf numFmtId="0" fontId="4" fillId="0" borderId="36" xfId="0" applyFont="1" applyFill="1" applyBorder="1"/>
    <xf numFmtId="185" fontId="4" fillId="0" borderId="36" xfId="0" applyNumberFormat="1" applyFont="1" applyFill="1" applyBorder="1"/>
    <xf numFmtId="186" fontId="4" fillId="0" borderId="54" xfId="1" applyNumberFormat="1" applyFont="1" applyFill="1" applyBorder="1"/>
    <xf numFmtId="186" fontId="4" fillId="0" borderId="60" xfId="1" applyNumberFormat="1" applyFont="1" applyFill="1" applyBorder="1"/>
    <xf numFmtId="0" fontId="4" fillId="0" borderId="67" xfId="0" applyFont="1" applyFill="1" applyBorder="1" applyAlignment="1">
      <alignment horizontal="center"/>
    </xf>
    <xf numFmtId="38" fontId="4" fillId="0" borderId="25" xfId="1" applyFont="1" applyFill="1" applyBorder="1"/>
    <xf numFmtId="185" fontId="4" fillId="0" borderId="21" xfId="0" applyNumberFormat="1" applyFont="1" applyFill="1" applyBorder="1"/>
    <xf numFmtId="186" fontId="4" fillId="0" borderId="22" xfId="1" applyNumberFormat="1" applyFont="1" applyFill="1" applyBorder="1"/>
    <xf numFmtId="186" fontId="4" fillId="0" borderId="24" xfId="1" applyNumberFormat="1" applyFont="1" applyFill="1" applyBorder="1"/>
    <xf numFmtId="185" fontId="4" fillId="0" borderId="22" xfId="0" applyNumberFormat="1" applyFont="1" applyFill="1" applyBorder="1"/>
    <xf numFmtId="185" fontId="4" fillId="0" borderId="24" xfId="0" applyNumberFormat="1" applyFont="1" applyFill="1" applyBorder="1"/>
    <xf numFmtId="185" fontId="4" fillId="0" borderId="54" xfId="0" applyNumberFormat="1" applyFont="1" applyFill="1" applyBorder="1"/>
    <xf numFmtId="185" fontId="4" fillId="0" borderId="60" xfId="0" applyNumberFormat="1" applyFont="1" applyFill="1" applyBorder="1"/>
    <xf numFmtId="0" fontId="4" fillId="0" borderId="0" xfId="0" applyFont="1" applyFill="1" applyAlignment="1">
      <alignment horizontal="center" vertical="center"/>
    </xf>
    <xf numFmtId="38" fontId="4" fillId="0" borderId="13" xfId="1" applyFont="1" applyFill="1" applyBorder="1"/>
    <xf numFmtId="185" fontId="4" fillId="0" borderId="29" xfId="0" applyNumberFormat="1" applyFont="1" applyFill="1" applyBorder="1"/>
    <xf numFmtId="185" fontId="4" fillId="0" borderId="13" xfId="0" applyNumberFormat="1" applyFont="1" applyFill="1" applyBorder="1"/>
    <xf numFmtId="185" fontId="4" fillId="0" borderId="43" xfId="0" applyNumberFormat="1" applyFont="1" applyFill="1" applyBorder="1"/>
    <xf numFmtId="0" fontId="4" fillId="0" borderId="68" xfId="0" applyFont="1" applyFill="1" applyBorder="1" applyAlignment="1">
      <alignment horizontal="center"/>
    </xf>
    <xf numFmtId="38" fontId="4" fillId="0" borderId="42" xfId="1" applyFont="1" applyFill="1" applyBorder="1"/>
    <xf numFmtId="38" fontId="4" fillId="0" borderId="62" xfId="1" applyFont="1" applyFill="1" applyBorder="1"/>
    <xf numFmtId="38" fontId="4" fillId="0" borderId="52" xfId="1" applyFont="1" applyFill="1" applyBorder="1"/>
    <xf numFmtId="185" fontId="4" fillId="0" borderId="29" xfId="0" applyNumberFormat="1" applyFont="1" applyFill="1" applyBorder="1" applyAlignment="1">
      <alignment horizontal="right"/>
    </xf>
    <xf numFmtId="185" fontId="4" fillId="0" borderId="13" xfId="0" applyNumberFormat="1" applyFont="1" applyFill="1" applyBorder="1" applyAlignment="1">
      <alignment horizontal="right"/>
    </xf>
    <xf numFmtId="185" fontId="4" fillId="0" borderId="24" xfId="0" applyNumberFormat="1" applyFont="1" applyFill="1" applyBorder="1" applyAlignment="1">
      <alignment horizontal="right"/>
    </xf>
    <xf numFmtId="185" fontId="4" fillId="0" borderId="21" xfId="0" applyNumberFormat="1" applyFont="1" applyFill="1" applyBorder="1" applyAlignment="1">
      <alignment horizontal="right"/>
    </xf>
    <xf numFmtId="0" fontId="4" fillId="0" borderId="69" xfId="0" applyFont="1" applyFill="1" applyBorder="1" applyAlignment="1">
      <alignment vertical="center"/>
    </xf>
    <xf numFmtId="185" fontId="4" fillId="0" borderId="0" xfId="0" applyNumberFormat="1" applyFont="1" applyFill="1" applyBorder="1"/>
    <xf numFmtId="0" fontId="2" fillId="0" borderId="0" xfId="0" applyFont="1" applyFill="1"/>
    <xf numFmtId="0" fontId="14" fillId="0" borderId="0" xfId="0" applyFont="1" applyFill="1"/>
    <xf numFmtId="0" fontId="4" fillId="0" borderId="0" xfId="0" applyFont="1" applyFill="1" applyAlignment="1">
      <alignment horizontal="left"/>
    </xf>
    <xf numFmtId="0" fontId="4" fillId="0" borderId="0" xfId="0" applyFont="1" applyFill="1" applyAlignment="1"/>
    <xf numFmtId="0" fontId="6" fillId="0" borderId="2" xfId="0" applyFont="1" applyFill="1" applyBorder="1"/>
    <xf numFmtId="0" fontId="6" fillId="0" borderId="3" xfId="0" applyFont="1" applyFill="1" applyBorder="1"/>
    <xf numFmtId="0" fontId="6" fillId="0" borderId="3" xfId="0" applyFont="1" applyFill="1" applyBorder="1" applyAlignment="1">
      <alignment horizontal="right"/>
    </xf>
    <xf numFmtId="0" fontId="6" fillId="0" borderId="10" xfId="0" applyFont="1" applyFill="1" applyBorder="1"/>
    <xf numFmtId="0" fontId="6" fillId="0" borderId="0" xfId="0" applyFont="1" applyFill="1" applyBorder="1"/>
    <xf numFmtId="38" fontId="15" fillId="0" borderId="64" xfId="1" applyFont="1" applyFill="1" applyBorder="1" applyAlignment="1">
      <alignment vertical="center"/>
    </xf>
    <xf numFmtId="176" fontId="4" fillId="0" borderId="0" xfId="0" applyNumberFormat="1" applyFont="1" applyFill="1"/>
    <xf numFmtId="38" fontId="15" fillId="0" borderId="67" xfId="1" applyFont="1" applyFill="1" applyBorder="1" applyAlignment="1">
      <alignment vertical="center"/>
    </xf>
    <xf numFmtId="0" fontId="4" fillId="0" borderId="36" xfId="0" applyFont="1" applyFill="1" applyBorder="1" applyAlignment="1">
      <alignment horizontal="distributed" vertical="center"/>
    </xf>
    <xf numFmtId="38" fontId="15" fillId="0" borderId="66" xfId="1" applyFont="1" applyFill="1" applyBorder="1" applyAlignment="1">
      <alignment vertical="center"/>
    </xf>
    <xf numFmtId="0" fontId="4" fillId="0" borderId="61" xfId="0" applyFont="1" applyFill="1" applyBorder="1" applyAlignment="1">
      <alignment horizontal="distributed" vertical="center"/>
    </xf>
    <xf numFmtId="0" fontId="4" fillId="0" borderId="54" xfId="0" applyFont="1" applyFill="1" applyBorder="1" applyAlignment="1">
      <alignment horizontal="distributed" vertical="center"/>
    </xf>
    <xf numFmtId="0" fontId="4" fillId="0" borderId="24" xfId="0" applyFont="1" applyFill="1" applyBorder="1" applyAlignment="1">
      <alignment horizontal="distributed" vertical="center"/>
    </xf>
    <xf numFmtId="0" fontId="4" fillId="0" borderId="51" xfId="0" applyFont="1" applyFill="1" applyBorder="1" applyAlignment="1">
      <alignment horizontal="distributed" vertical="center"/>
    </xf>
    <xf numFmtId="0" fontId="4" fillId="0" borderId="31" xfId="0" applyFont="1" applyFill="1" applyBorder="1" applyAlignment="1">
      <alignment horizontal="distributed" vertical="center"/>
    </xf>
    <xf numFmtId="38" fontId="15" fillId="0" borderId="69" xfId="1" applyFont="1" applyFill="1" applyBorder="1" applyAlignment="1">
      <alignment vertical="center"/>
    </xf>
    <xf numFmtId="38" fontId="15" fillId="0" borderId="71" xfId="1" applyFont="1" applyFill="1" applyBorder="1" applyAlignment="1">
      <alignment vertical="center"/>
    </xf>
    <xf numFmtId="0" fontId="4" fillId="0" borderId="55" xfId="0" applyFont="1" applyFill="1" applyBorder="1" applyAlignment="1">
      <alignment horizontal="distributed" vertical="center"/>
    </xf>
    <xf numFmtId="0" fontId="4" fillId="0" borderId="0" xfId="0" applyFont="1" applyFill="1" applyBorder="1" applyAlignment="1">
      <alignment horizontal="right"/>
    </xf>
    <xf numFmtId="0" fontId="4" fillId="0" borderId="21" xfId="0" applyFont="1" applyFill="1" applyBorder="1"/>
    <xf numFmtId="0" fontId="4" fillId="0" borderId="21" xfId="0" applyFont="1" applyFill="1" applyBorder="1" applyAlignment="1">
      <alignment horizontal="center" vertical="center"/>
    </xf>
    <xf numFmtId="38" fontId="4" fillId="0" borderId="21" xfId="1" applyFont="1" applyFill="1" applyBorder="1" applyAlignment="1">
      <alignment vertical="center"/>
    </xf>
    <xf numFmtId="0" fontId="4" fillId="0" borderId="67" xfId="0" applyFont="1" applyFill="1" applyBorder="1" applyAlignment="1">
      <alignment horizontal="distributed" vertical="center"/>
    </xf>
    <xf numFmtId="0" fontId="4" fillId="0" borderId="69" xfId="0" applyFont="1" applyFill="1" applyBorder="1" applyAlignment="1">
      <alignment horizontal="distributed" vertical="center"/>
    </xf>
    <xf numFmtId="38" fontId="6" fillId="0" borderId="8" xfId="1" applyFont="1" applyFill="1" applyBorder="1" applyAlignment="1">
      <alignment horizontal="right" vertical="center"/>
    </xf>
    <xf numFmtId="38" fontId="6" fillId="0" borderId="72" xfId="1" applyFont="1" applyFill="1" applyBorder="1" applyAlignment="1">
      <alignment horizontal="right" vertical="center"/>
    </xf>
    <xf numFmtId="38" fontId="6" fillId="0" borderId="73" xfId="1" applyFont="1" applyFill="1" applyBorder="1" applyAlignment="1">
      <alignment horizontal="right" vertical="center"/>
    </xf>
    <xf numFmtId="176" fontId="20" fillId="0" borderId="21" xfId="0" applyNumberFormat="1" applyFont="1" applyFill="1" applyBorder="1" applyAlignment="1">
      <alignment horizontal="center" vertical="center"/>
    </xf>
    <xf numFmtId="176" fontId="20" fillId="0" borderId="0" xfId="0" applyNumberFormat="1" applyFont="1" applyFill="1" applyBorder="1" applyAlignment="1"/>
    <xf numFmtId="38" fontId="6" fillId="0" borderId="63" xfId="1" applyFont="1" applyFill="1" applyBorder="1" applyAlignment="1">
      <alignment horizontal="right" vertical="center"/>
    </xf>
    <xf numFmtId="38" fontId="6" fillId="0" borderId="74" xfId="1" applyFont="1" applyFill="1" applyBorder="1" applyAlignment="1">
      <alignment horizontal="right" vertical="center"/>
    </xf>
    <xf numFmtId="176" fontId="12" fillId="0" borderId="3" xfId="0" applyNumberFormat="1" applyFont="1" applyFill="1" applyBorder="1" applyAlignment="1">
      <alignment horizontal="right" vertical="center"/>
    </xf>
    <xf numFmtId="0" fontId="4" fillId="0" borderId="64" xfId="0" applyFont="1" applyFill="1" applyBorder="1" applyAlignment="1">
      <alignment horizontal="distributed" vertical="center"/>
    </xf>
    <xf numFmtId="183" fontId="4" fillId="0" borderId="5" xfId="1" applyNumberFormat="1" applyFont="1" applyFill="1" applyBorder="1"/>
    <xf numFmtId="183" fontId="4" fillId="0" borderId="5" xfId="0" applyNumberFormat="1" applyFont="1" applyFill="1" applyBorder="1"/>
    <xf numFmtId="183" fontId="4" fillId="0" borderId="60" xfId="1" applyNumberFormat="1" applyFont="1" applyFill="1" applyBorder="1"/>
    <xf numFmtId="183" fontId="4" fillId="0" borderId="24" xfId="1" applyNumberFormat="1" applyFont="1" applyFill="1" applyBorder="1"/>
    <xf numFmtId="183" fontId="4" fillId="0" borderId="24" xfId="0" applyNumberFormat="1" applyFont="1" applyFill="1" applyBorder="1"/>
    <xf numFmtId="0" fontId="4" fillId="0" borderId="66" xfId="0" applyFont="1" applyFill="1" applyBorder="1" applyAlignment="1">
      <alignment horizontal="distributed" vertical="center"/>
    </xf>
    <xf numFmtId="183" fontId="4" fillId="0" borderId="60" xfId="0" applyNumberFormat="1" applyFont="1" applyFill="1" applyBorder="1"/>
    <xf numFmtId="183" fontId="4" fillId="0" borderId="31" xfId="1" applyNumberFormat="1" applyFont="1" applyFill="1" applyBorder="1"/>
    <xf numFmtId="183" fontId="4" fillId="0" borderId="31" xfId="0" applyNumberFormat="1" applyFont="1" applyFill="1" applyBorder="1"/>
    <xf numFmtId="0" fontId="4" fillId="0" borderId="65" xfId="0" applyFont="1" applyFill="1" applyBorder="1" applyAlignment="1">
      <alignment horizontal="distributed" vertical="center"/>
    </xf>
    <xf numFmtId="183" fontId="4" fillId="0" borderId="51" xfId="0" applyNumberFormat="1" applyFont="1" applyFill="1" applyBorder="1"/>
    <xf numFmtId="183" fontId="4" fillId="0" borderId="11" xfId="0" applyNumberFormat="1" applyFont="1" applyFill="1" applyBorder="1"/>
    <xf numFmtId="183" fontId="4" fillId="0" borderId="1" xfId="1" applyNumberFormat="1" applyFont="1" applyFill="1" applyBorder="1"/>
    <xf numFmtId="0" fontId="23" fillId="0" borderId="0" xfId="0" applyFont="1" applyFill="1"/>
    <xf numFmtId="176" fontId="23" fillId="0" borderId="0" xfId="0" applyNumberFormat="1" applyFont="1" applyFill="1" applyBorder="1" applyAlignment="1">
      <alignment vertical="center"/>
    </xf>
    <xf numFmtId="0" fontId="12" fillId="0" borderId="25" xfId="0" applyFont="1" applyFill="1" applyBorder="1" applyAlignment="1">
      <alignment vertical="center"/>
    </xf>
    <xf numFmtId="0" fontId="12" fillId="0" borderId="22" xfId="0" applyFont="1" applyFill="1" applyBorder="1" applyAlignment="1">
      <alignment horizontal="distributed" vertical="center"/>
    </xf>
    <xf numFmtId="0" fontId="4" fillId="0" borderId="0" xfId="0" applyNumberFormat="1" applyFont="1" applyFill="1" applyAlignment="1">
      <alignment vertical="center"/>
    </xf>
    <xf numFmtId="0" fontId="12" fillId="0" borderId="37" xfId="0" applyFont="1" applyFill="1" applyBorder="1" applyAlignment="1">
      <alignment horizontal="distributed" vertical="center"/>
    </xf>
    <xf numFmtId="0" fontId="12" fillId="0" borderId="25" xfId="0" applyFont="1" applyFill="1" applyBorder="1" applyAlignment="1">
      <alignment horizontal="distributed" vertical="center"/>
    </xf>
    <xf numFmtId="0" fontId="23" fillId="0" borderId="0" xfId="0" applyFont="1" applyFill="1" applyBorder="1"/>
    <xf numFmtId="176" fontId="23" fillId="0" borderId="0" xfId="0" applyNumberFormat="1" applyFont="1" applyFill="1" applyBorder="1"/>
    <xf numFmtId="183" fontId="4" fillId="0" borderId="0" xfId="0" applyNumberFormat="1" applyFont="1" applyFill="1"/>
    <xf numFmtId="0" fontId="27" fillId="0" borderId="22" xfId="0" applyFont="1" applyFill="1" applyBorder="1" applyAlignment="1">
      <alignment horizontal="distributed" vertical="center"/>
    </xf>
    <xf numFmtId="0" fontId="12" fillId="0" borderId="47" xfId="0" applyFont="1" applyFill="1" applyBorder="1" applyAlignment="1">
      <alignment horizontal="distributed" vertical="center"/>
    </xf>
    <xf numFmtId="0" fontId="12" fillId="0" borderId="13" xfId="0" applyFont="1" applyFill="1" applyBorder="1" applyAlignment="1">
      <alignment horizontal="distributed" vertical="center"/>
    </xf>
    <xf numFmtId="0" fontId="12" fillId="0" borderId="48" xfId="0" applyFont="1" applyFill="1" applyBorder="1" applyAlignment="1">
      <alignment horizontal="distributed" vertical="center"/>
    </xf>
    <xf numFmtId="0" fontId="4" fillId="0" borderId="0" xfId="0" applyFont="1" applyFill="1" applyBorder="1" applyAlignment="1">
      <alignment horizontal="center" vertical="center" wrapText="1"/>
    </xf>
    <xf numFmtId="183" fontId="4" fillId="0" borderId="74" xfId="1" applyNumberFormat="1" applyFont="1" applyFill="1" applyBorder="1" applyAlignment="1">
      <alignment vertical="center"/>
    </xf>
    <xf numFmtId="183" fontId="4" fillId="0" borderId="77" xfId="1" applyNumberFormat="1" applyFont="1" applyFill="1" applyBorder="1" applyAlignment="1">
      <alignment vertical="center"/>
    </xf>
    <xf numFmtId="183" fontId="4" fillId="0" borderId="76" xfId="1" applyNumberFormat="1" applyFont="1" applyFill="1" applyBorder="1" applyAlignment="1">
      <alignment vertical="center"/>
    </xf>
    <xf numFmtId="0" fontId="4" fillId="0" borderId="73" xfId="0" applyFont="1" applyFill="1" applyBorder="1"/>
    <xf numFmtId="0" fontId="28" fillId="0" borderId="0" xfId="0" applyFont="1" applyAlignment="1">
      <alignment vertical="center"/>
    </xf>
    <xf numFmtId="0" fontId="30" fillId="0" borderId="0" xfId="0" applyFont="1" applyAlignment="1">
      <alignment vertical="center"/>
    </xf>
    <xf numFmtId="0" fontId="4" fillId="0" borderId="0" xfId="0" applyFont="1" applyAlignment="1">
      <alignment vertical="center"/>
    </xf>
    <xf numFmtId="0" fontId="31" fillId="0" borderId="0" xfId="0" applyFont="1" applyAlignment="1">
      <alignment vertical="center"/>
    </xf>
    <xf numFmtId="187" fontId="4" fillId="0" borderId="0" xfId="0" applyNumberFormat="1" applyFont="1"/>
    <xf numFmtId="0" fontId="4" fillId="0" borderId="6" xfId="0" applyFont="1" applyFill="1" applyBorder="1"/>
    <xf numFmtId="0" fontId="12" fillId="0" borderId="52" xfId="0" applyFont="1" applyFill="1" applyBorder="1" applyAlignment="1">
      <alignment horizontal="distributed" vertical="center"/>
    </xf>
    <xf numFmtId="0" fontId="12" fillId="0" borderId="29" xfId="0" applyFont="1" applyFill="1" applyBorder="1" applyAlignment="1">
      <alignment horizontal="distributed" vertical="center"/>
    </xf>
    <xf numFmtId="0" fontId="12" fillId="0" borderId="43" xfId="0" applyFont="1" applyFill="1" applyBorder="1" applyAlignment="1">
      <alignment horizontal="distributed" vertical="center"/>
    </xf>
    <xf numFmtId="184" fontId="33" fillId="0" borderId="5" xfId="1" applyNumberFormat="1" applyFont="1" applyFill="1" applyBorder="1" applyAlignment="1">
      <alignment vertical="center"/>
    </xf>
    <xf numFmtId="184" fontId="33" fillId="0" borderId="24" xfId="1" applyNumberFormat="1" applyFont="1" applyFill="1" applyBorder="1" applyAlignment="1">
      <alignment vertical="center"/>
    </xf>
    <xf numFmtId="184" fontId="33" fillId="0" borderId="11" xfId="1" applyNumberFormat="1" applyFont="1" applyFill="1" applyBorder="1" applyAlignment="1">
      <alignment vertical="center"/>
    </xf>
    <xf numFmtId="184" fontId="33" fillId="0" borderId="74" xfId="1" applyNumberFormat="1" applyFont="1" applyFill="1" applyBorder="1" applyAlignment="1">
      <alignment vertical="center"/>
    </xf>
    <xf numFmtId="184" fontId="33" fillId="0" borderId="72" xfId="1" applyNumberFormat="1" applyFont="1" applyFill="1" applyBorder="1" applyAlignment="1">
      <alignment vertical="center"/>
    </xf>
    <xf numFmtId="184" fontId="33" fillId="0" borderId="78" xfId="1" applyNumberFormat="1" applyFont="1" applyFill="1" applyBorder="1" applyAlignment="1">
      <alignment vertical="center"/>
    </xf>
    <xf numFmtId="184" fontId="33" fillId="0" borderId="73" xfId="1" applyNumberFormat="1" applyFont="1" applyFill="1" applyBorder="1" applyAlignment="1">
      <alignment vertical="center"/>
    </xf>
    <xf numFmtId="0" fontId="6" fillId="0" borderId="0" xfId="0" applyFont="1" applyFill="1" applyBorder="1" applyAlignment="1">
      <alignment horizontal="right"/>
    </xf>
    <xf numFmtId="0" fontId="6" fillId="0" borderId="9" xfId="0" applyFont="1" applyFill="1" applyBorder="1"/>
    <xf numFmtId="0" fontId="12" fillId="0" borderId="45" xfId="0" applyFont="1" applyFill="1" applyBorder="1" applyAlignment="1">
      <alignment horizontal="distributed" vertical="center"/>
    </xf>
    <xf numFmtId="183" fontId="4" fillId="0" borderId="58" xfId="1" applyNumberFormat="1" applyFont="1" applyFill="1" applyBorder="1" applyAlignment="1">
      <alignment horizontal="right" vertical="center"/>
    </xf>
    <xf numFmtId="183" fontId="33" fillId="0" borderId="16" xfId="1" applyNumberFormat="1" applyFont="1" applyFill="1" applyBorder="1" applyAlignment="1">
      <alignment horizontal="right" vertical="center"/>
    </xf>
    <xf numFmtId="183" fontId="33" fillId="0" borderId="18" xfId="1" applyNumberFormat="1" applyFont="1" applyFill="1" applyBorder="1" applyAlignment="1">
      <alignment horizontal="right" vertical="center"/>
    </xf>
    <xf numFmtId="38" fontId="33" fillId="0" borderId="0" xfId="1" applyFont="1" applyFill="1" applyBorder="1" applyAlignment="1">
      <alignment horizontal="right" vertical="center"/>
    </xf>
    <xf numFmtId="0" fontId="12" fillId="0" borderId="24" xfId="0" applyFont="1" applyFill="1" applyBorder="1" applyAlignment="1">
      <alignment horizontal="distributed" vertical="center"/>
    </xf>
    <xf numFmtId="183" fontId="4" fillId="0" borderId="62" xfId="1" applyNumberFormat="1" applyFont="1" applyFill="1" applyBorder="1" applyAlignment="1">
      <alignment horizontal="right" vertical="center"/>
    </xf>
    <xf numFmtId="183" fontId="33" fillId="0" borderId="22" xfId="1" applyNumberFormat="1" applyFont="1" applyFill="1" applyBorder="1" applyAlignment="1">
      <alignment horizontal="right" vertical="center"/>
    </xf>
    <xf numFmtId="183" fontId="33" fillId="0" borderId="24" xfId="1" applyNumberFormat="1" applyFont="1" applyFill="1" applyBorder="1" applyAlignment="1">
      <alignment horizontal="right" vertical="center"/>
    </xf>
    <xf numFmtId="183" fontId="4" fillId="0" borderId="20" xfId="1" applyNumberFormat="1" applyFont="1" applyFill="1" applyBorder="1" applyAlignment="1">
      <alignment horizontal="right" vertical="center"/>
    </xf>
    <xf numFmtId="183" fontId="33" fillId="0" borderId="25" xfId="1" applyNumberFormat="1" applyFont="1" applyFill="1" applyBorder="1" applyAlignment="1">
      <alignment horizontal="right" vertical="center"/>
    </xf>
    <xf numFmtId="0" fontId="12" fillId="0" borderId="43" xfId="0" applyFont="1" applyFill="1" applyBorder="1" applyAlignment="1">
      <alignment horizontal="center" vertical="center" wrapText="1"/>
    </xf>
    <xf numFmtId="188" fontId="4" fillId="0" borderId="49" xfId="0" applyNumberFormat="1" applyFont="1" applyFill="1" applyBorder="1" applyAlignment="1">
      <alignment horizontal="right" vertical="center"/>
    </xf>
    <xf numFmtId="188" fontId="4" fillId="0" borderId="32" xfId="0" applyNumberFormat="1" applyFont="1" applyFill="1" applyBorder="1" applyAlignment="1">
      <alignment horizontal="right" vertical="center"/>
    </xf>
    <xf numFmtId="188" fontId="4" fillId="0" borderId="48" xfId="0" applyNumberFormat="1" applyFont="1" applyFill="1" applyBorder="1" applyAlignment="1">
      <alignment horizontal="right" vertical="center"/>
    </xf>
    <xf numFmtId="188" fontId="4" fillId="0" borderId="31" xfId="0" applyNumberFormat="1" applyFont="1" applyFill="1" applyBorder="1" applyAlignment="1">
      <alignment horizontal="right" vertical="center"/>
    </xf>
    <xf numFmtId="185" fontId="33" fillId="0" borderId="0" xfId="0" applyNumberFormat="1" applyFont="1" applyFill="1" applyBorder="1" applyAlignment="1">
      <alignment horizontal="right" vertical="center"/>
    </xf>
    <xf numFmtId="183" fontId="33" fillId="0" borderId="6" xfId="1" applyNumberFormat="1" applyFont="1" applyFill="1" applyBorder="1" applyAlignment="1">
      <alignment horizontal="right" vertical="center"/>
    </xf>
    <xf numFmtId="183" fontId="33" fillId="0" borderId="21" xfId="1" applyNumberFormat="1" applyFont="1" applyFill="1" applyBorder="1" applyAlignment="1">
      <alignment horizontal="right" vertical="center"/>
    </xf>
    <xf numFmtId="0" fontId="12" fillId="0" borderId="31" xfId="0" applyFont="1" applyFill="1" applyBorder="1" applyAlignment="1">
      <alignment horizontal="center" vertical="center" wrapText="1"/>
    </xf>
    <xf numFmtId="183" fontId="33" fillId="0" borderId="59" xfId="1" applyNumberFormat="1" applyFont="1" applyFill="1" applyBorder="1" applyAlignment="1">
      <alignment horizontal="right" vertical="center"/>
    </xf>
    <xf numFmtId="188" fontId="4" fillId="0" borderId="39" xfId="0" applyNumberFormat="1" applyFont="1" applyFill="1" applyBorder="1" applyAlignment="1">
      <alignment horizontal="right" vertical="center"/>
    </xf>
    <xf numFmtId="188" fontId="4" fillId="0" borderId="11" xfId="0" applyNumberFormat="1" applyFont="1" applyFill="1" applyBorder="1" applyAlignment="1">
      <alignment horizontal="right" vertical="center"/>
    </xf>
    <xf numFmtId="0" fontId="4" fillId="0" borderId="0" xfId="0" applyFont="1" applyFill="1" applyAlignment="1">
      <alignment vertical="top" wrapText="1"/>
    </xf>
    <xf numFmtId="0" fontId="8" fillId="0" borderId="0" xfId="0" applyFont="1" applyAlignment="1">
      <alignment vertical="center"/>
    </xf>
    <xf numFmtId="0" fontId="6" fillId="0" borderId="52" xfId="0" applyFont="1" applyBorder="1" applyAlignment="1">
      <alignment horizontal="center" vertical="center"/>
    </xf>
    <xf numFmtId="0" fontId="6" fillId="0" borderId="29"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3" xfId="0" applyFont="1" applyBorder="1" applyAlignment="1">
      <alignment horizontal="center" vertical="center"/>
    </xf>
    <xf numFmtId="188" fontId="36" fillId="0" borderId="19" xfId="0" applyNumberFormat="1" applyFont="1" applyFill="1" applyBorder="1" applyAlignment="1">
      <alignment vertical="center"/>
    </xf>
    <xf numFmtId="188" fontId="36" fillId="0" borderId="70" xfId="0" applyNumberFormat="1" applyFont="1" applyFill="1" applyBorder="1" applyAlignment="1">
      <alignment vertical="center"/>
    </xf>
    <xf numFmtId="188" fontId="36" fillId="0" borderId="5" xfId="0" applyNumberFormat="1" applyFont="1" applyFill="1" applyBorder="1" applyAlignment="1">
      <alignment vertical="center"/>
    </xf>
    <xf numFmtId="183" fontId="36" fillId="0" borderId="20" xfId="0" applyNumberFormat="1" applyFont="1" applyFill="1" applyBorder="1" applyAlignment="1">
      <alignment vertical="center"/>
    </xf>
    <xf numFmtId="183" fontId="36" fillId="0" borderId="36" xfId="0" applyNumberFormat="1" applyFont="1" applyFill="1" applyBorder="1" applyAlignment="1">
      <alignment vertical="center"/>
    </xf>
    <xf numFmtId="183" fontId="36" fillId="0" borderId="54" xfId="0" applyNumberFormat="1" applyFont="1" applyFill="1" applyBorder="1" applyAlignment="1">
      <alignment vertical="center"/>
    </xf>
    <xf numFmtId="183" fontId="36" fillId="0" borderId="31" xfId="0" applyNumberFormat="1" applyFont="1" applyFill="1" applyBorder="1" applyAlignment="1">
      <alignment vertical="center"/>
    </xf>
    <xf numFmtId="188" fontId="36" fillId="0" borderId="40" xfId="0" applyNumberFormat="1" applyFont="1" applyFill="1" applyBorder="1" applyAlignment="1">
      <alignment vertical="center"/>
    </xf>
    <xf numFmtId="188" fontId="36" fillId="0" borderId="57" xfId="0" applyNumberFormat="1" applyFont="1" applyFill="1" applyBorder="1" applyAlignment="1">
      <alignment vertical="center"/>
    </xf>
    <xf numFmtId="188" fontId="36" fillId="0" borderId="31" xfId="0" applyNumberFormat="1" applyFont="1" applyFill="1" applyBorder="1" applyAlignment="1">
      <alignment vertical="center"/>
    </xf>
    <xf numFmtId="183" fontId="36" fillId="0" borderId="38" xfId="0" applyNumberFormat="1" applyFont="1" applyFill="1" applyBorder="1" applyAlignment="1">
      <alignment vertical="center"/>
    </xf>
    <xf numFmtId="183" fontId="36" fillId="0" borderId="39" xfId="0" applyNumberFormat="1" applyFont="1" applyFill="1" applyBorder="1" applyAlignment="1">
      <alignment vertical="center"/>
    </xf>
    <xf numFmtId="183" fontId="36" fillId="0" borderId="51" xfId="0" applyNumberFormat="1" applyFont="1" applyFill="1" applyBorder="1" applyAlignment="1">
      <alignment vertical="center"/>
    </xf>
    <xf numFmtId="188" fontId="36" fillId="0" borderId="58" xfId="0" applyNumberFormat="1" applyFont="1" applyFill="1" applyBorder="1" applyAlignment="1">
      <alignment vertical="center"/>
    </xf>
    <xf numFmtId="188" fontId="36" fillId="0" borderId="59" xfId="0" applyNumberFormat="1" applyFont="1" applyFill="1" applyBorder="1" applyAlignment="1">
      <alignment vertical="center"/>
    </xf>
    <xf numFmtId="188" fontId="36" fillId="0" borderId="18" xfId="0" applyNumberFormat="1" applyFont="1" applyFill="1" applyBorder="1" applyAlignment="1">
      <alignment vertical="center"/>
    </xf>
    <xf numFmtId="0" fontId="6" fillId="0" borderId="31" xfId="0" applyFont="1" applyBorder="1" applyAlignment="1">
      <alignment horizontal="center" vertical="center"/>
    </xf>
    <xf numFmtId="188" fontId="36" fillId="0" borderId="49" xfId="0" applyNumberFormat="1" applyFont="1" applyFill="1" applyBorder="1" applyAlignment="1">
      <alignment vertical="center"/>
    </xf>
    <xf numFmtId="0" fontId="6" fillId="0" borderId="0" xfId="0" applyFont="1"/>
    <xf numFmtId="0" fontId="6" fillId="0" borderId="0" xfId="0" applyFont="1" applyAlignment="1">
      <alignment vertical="center" wrapText="1"/>
    </xf>
    <xf numFmtId="0" fontId="4" fillId="0" borderId="0" xfId="0" applyFont="1" applyAlignment="1">
      <alignment wrapText="1"/>
    </xf>
    <xf numFmtId="0" fontId="4" fillId="0" borderId="7" xfId="0" applyFont="1" applyFill="1" applyBorder="1" applyAlignment="1">
      <alignment horizontal="right" vertical="center"/>
    </xf>
    <xf numFmtId="0" fontId="4" fillId="0" borderId="10" xfId="0" applyFont="1" applyFill="1" applyBorder="1"/>
    <xf numFmtId="0" fontId="4" fillId="0" borderId="42" xfId="0" applyFont="1" applyFill="1" applyBorder="1" applyAlignment="1">
      <alignment horizontal="center" vertical="center"/>
    </xf>
    <xf numFmtId="0" fontId="4" fillId="0" borderId="13" xfId="0" applyFont="1" applyFill="1" applyBorder="1" applyAlignment="1">
      <alignment horizontal="center" vertical="center"/>
    </xf>
    <xf numFmtId="0" fontId="12" fillId="0" borderId="8" xfId="0" applyFont="1" applyFill="1" applyBorder="1"/>
    <xf numFmtId="0" fontId="4" fillId="0" borderId="2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8" xfId="0" applyFont="1" applyFill="1" applyBorder="1" applyAlignment="1">
      <alignment vertical="center"/>
    </xf>
    <xf numFmtId="184" fontId="33" fillId="0" borderId="58" xfId="1" applyNumberFormat="1" applyFont="1" applyFill="1" applyBorder="1" applyAlignment="1">
      <alignment vertical="center"/>
    </xf>
    <xf numFmtId="0" fontId="4" fillId="0" borderId="24" xfId="0" applyFont="1" applyFill="1" applyBorder="1" applyAlignment="1">
      <alignment vertical="center"/>
    </xf>
    <xf numFmtId="184" fontId="33" fillId="0" borderId="62" xfId="1" applyNumberFormat="1" applyFont="1" applyFill="1" applyBorder="1" applyAlignment="1">
      <alignment vertical="center"/>
    </xf>
    <xf numFmtId="0" fontId="4" fillId="0" borderId="56" xfId="0" applyFont="1" applyFill="1" applyBorder="1" applyAlignment="1">
      <alignment horizontal="center" vertical="center"/>
    </xf>
    <xf numFmtId="0" fontId="4" fillId="0" borderId="23" xfId="0" applyFont="1" applyFill="1" applyBorder="1" applyAlignment="1">
      <alignment vertical="center"/>
    </xf>
    <xf numFmtId="0" fontId="4" fillId="0" borderId="27" xfId="0" applyFont="1" applyFill="1" applyBorder="1" applyAlignment="1">
      <alignment vertical="center"/>
    </xf>
    <xf numFmtId="0" fontId="4" fillId="0" borderId="52"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1" xfId="0" applyFont="1" applyFill="1" applyBorder="1" applyAlignment="1">
      <alignment vertical="center"/>
    </xf>
    <xf numFmtId="184" fontId="33" fillId="0" borderId="49" xfId="1" applyNumberFormat="1" applyFont="1" applyFill="1" applyBorder="1" applyAlignment="1">
      <alignment vertical="center"/>
    </xf>
    <xf numFmtId="184" fontId="33" fillId="0" borderId="59" xfId="1" applyNumberFormat="1" applyFont="1" applyFill="1" applyBorder="1" applyAlignment="1">
      <alignment vertical="center"/>
    </xf>
    <xf numFmtId="184" fontId="33" fillId="0" borderId="18" xfId="1" applyNumberFormat="1" applyFont="1" applyFill="1" applyBorder="1" applyAlignment="1">
      <alignment vertical="center"/>
    </xf>
    <xf numFmtId="184" fontId="33" fillId="0" borderId="21" xfId="1" applyNumberFormat="1" applyFont="1" applyFill="1" applyBorder="1" applyAlignment="1">
      <alignment vertical="center"/>
    </xf>
    <xf numFmtId="184" fontId="33" fillId="0" borderId="57" xfId="1" applyNumberFormat="1" applyFont="1" applyFill="1" applyBorder="1" applyAlignment="1">
      <alignment vertical="center"/>
    </xf>
    <xf numFmtId="184" fontId="33" fillId="0" borderId="31" xfId="1" applyNumberFormat="1" applyFont="1" applyFill="1" applyBorder="1" applyAlignment="1">
      <alignment vertical="center"/>
    </xf>
    <xf numFmtId="0" fontId="0" fillId="0" borderId="28" xfId="0" applyBorder="1" applyAlignment="1">
      <alignment horizontal="center" vertical="center" wrapText="1"/>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4" fillId="0" borderId="36" xfId="0" applyFont="1" applyFill="1" applyBorder="1" applyAlignment="1">
      <alignment horizontal="center" vertical="center" textRotation="255"/>
    </xf>
    <xf numFmtId="0" fontId="4" fillId="0" borderId="3" xfId="0" applyFont="1" applyBorder="1" applyAlignment="1">
      <alignment horizontal="right"/>
    </xf>
    <xf numFmtId="0" fontId="4" fillId="0" borderId="1" xfId="0" applyFont="1" applyBorder="1"/>
    <xf numFmtId="0" fontId="0" fillId="0" borderId="37" xfId="0" applyBorder="1" applyAlignment="1">
      <alignment wrapText="1"/>
    </xf>
    <xf numFmtId="0" fontId="0" fillId="0" borderId="39" xfId="0" applyBorder="1" applyAlignment="1"/>
    <xf numFmtId="0" fontId="4" fillId="0" borderId="66" xfId="0" applyFont="1" applyFill="1" applyBorder="1" applyAlignment="1">
      <alignment horizontal="right"/>
    </xf>
    <xf numFmtId="0" fontId="4" fillId="0" borderId="0" xfId="0" applyFont="1" applyFill="1" applyBorder="1" applyAlignment="1">
      <alignment horizontal="center"/>
    </xf>
    <xf numFmtId="0" fontId="0" fillId="0" borderId="53" xfId="0" applyBorder="1" applyAlignment="1"/>
    <xf numFmtId="0" fontId="0" fillId="0" borderId="54" xfId="0" applyFont="1" applyFill="1" applyBorder="1" applyAlignment="1">
      <alignment horizontal="distributed" vertical="center"/>
    </xf>
    <xf numFmtId="0" fontId="4" fillId="0" borderId="44" xfId="0" applyFont="1" applyFill="1" applyBorder="1"/>
    <xf numFmtId="0" fontId="4" fillId="0" borderId="31" xfId="0" applyFont="1" applyFill="1" applyBorder="1" applyAlignment="1">
      <alignment horizontal="distributed" vertical="center" wrapText="1"/>
    </xf>
    <xf numFmtId="0" fontId="4" fillId="0" borderId="38" xfId="0" applyFont="1" applyFill="1" applyBorder="1"/>
    <xf numFmtId="0" fontId="4" fillId="0" borderId="75" xfId="0" applyFont="1" applyFill="1" applyBorder="1"/>
    <xf numFmtId="0" fontId="4" fillId="0" borderId="76" xfId="0" applyFont="1" applyFill="1" applyBorder="1"/>
    <xf numFmtId="0" fontId="4" fillId="0" borderId="56" xfId="0" applyFont="1" applyFill="1" applyBorder="1" applyAlignment="1">
      <alignment vertical="center"/>
    </xf>
    <xf numFmtId="0" fontId="4" fillId="0" borderId="15" xfId="0" applyFont="1" applyFill="1" applyBorder="1" applyAlignment="1">
      <alignment vertical="center"/>
    </xf>
    <xf numFmtId="0" fontId="25" fillId="0" borderId="7" xfId="0" applyFont="1" applyFill="1" applyBorder="1" applyAlignment="1">
      <alignment horizontal="distributed" vertical="center"/>
    </xf>
    <xf numFmtId="0" fontId="32" fillId="0" borderId="10" xfId="0" applyFont="1" applyFill="1" applyBorder="1" applyAlignment="1">
      <alignment vertical="top"/>
    </xf>
    <xf numFmtId="0" fontId="32" fillId="0" borderId="9" xfId="0" applyFont="1" applyFill="1" applyBorder="1" applyAlignment="1">
      <alignment vertical="center"/>
    </xf>
    <xf numFmtId="0" fontId="12" fillId="0" borderId="7" xfId="0" applyFont="1" applyFill="1" applyBorder="1" applyAlignment="1">
      <alignment horizontal="distributed" vertical="center"/>
    </xf>
    <xf numFmtId="0" fontId="12" fillId="0" borderId="27" xfId="0" applyFont="1" applyFill="1" applyBorder="1" applyAlignment="1">
      <alignment horizontal="distributed" vertical="center"/>
    </xf>
    <xf numFmtId="0" fontId="12" fillId="0" borderId="34" xfId="0" applyFont="1" applyFill="1" applyBorder="1" applyAlignment="1">
      <alignment horizontal="center" vertical="center" wrapText="1"/>
    </xf>
    <xf numFmtId="0" fontId="12" fillId="0" borderId="46" xfId="0" applyFont="1" applyFill="1" applyBorder="1" applyAlignment="1">
      <alignment horizontal="distributed" vertical="center"/>
    </xf>
    <xf numFmtId="0" fontId="4" fillId="0" borderId="4" xfId="0" applyFont="1" applyFill="1" applyBorder="1" applyAlignment="1">
      <alignment horizontal="right" vertical="center"/>
    </xf>
    <xf numFmtId="0" fontId="0" fillId="0" borderId="27" xfId="0" applyBorder="1" applyAlignment="1">
      <alignment horizontal="center" vertical="center" wrapText="1"/>
    </xf>
    <xf numFmtId="0" fontId="0" fillId="0" borderId="14" xfId="0" applyBorder="1" applyAlignment="1">
      <alignment wrapText="1"/>
    </xf>
    <xf numFmtId="0" fontId="4" fillId="0" borderId="16" xfId="0" applyFont="1" applyFill="1" applyBorder="1" applyAlignment="1">
      <alignment horizontal="center"/>
    </xf>
    <xf numFmtId="176" fontId="4" fillId="0" borderId="17" xfId="0" applyNumberFormat="1" applyFont="1" applyFill="1" applyBorder="1" applyAlignment="1">
      <alignment vertical="center"/>
    </xf>
    <xf numFmtId="176" fontId="4" fillId="0" borderId="23" xfId="0" applyNumberFormat="1" applyFont="1" applyFill="1" applyBorder="1" applyAlignment="1">
      <alignment vertical="center"/>
    </xf>
    <xf numFmtId="176" fontId="4" fillId="0" borderId="42" xfId="0" applyNumberFormat="1" applyFont="1" applyFill="1" applyBorder="1" applyAlignment="1">
      <alignment vertical="center"/>
    </xf>
    <xf numFmtId="176" fontId="4" fillId="0" borderId="30" xfId="0" applyNumberFormat="1" applyFont="1" applyFill="1" applyBorder="1" applyAlignment="1">
      <alignment vertical="center"/>
    </xf>
    <xf numFmtId="176" fontId="4" fillId="0" borderId="31" xfId="0" applyNumberFormat="1" applyFont="1" applyFill="1" applyBorder="1" applyAlignment="1">
      <alignment vertical="center"/>
    </xf>
    <xf numFmtId="176" fontId="4" fillId="0" borderId="44" xfId="0" applyNumberFormat="1" applyFont="1" applyFill="1" applyBorder="1" applyAlignment="1">
      <alignment vertical="center"/>
    </xf>
    <xf numFmtId="176" fontId="4" fillId="0" borderId="49" xfId="0" applyNumberFormat="1" applyFont="1" applyFill="1" applyBorder="1" applyAlignment="1">
      <alignment vertical="center"/>
    </xf>
    <xf numFmtId="176" fontId="4" fillId="0" borderId="32" xfId="0" applyNumberFormat="1" applyFont="1" applyFill="1" applyBorder="1" applyAlignment="1">
      <alignment vertical="center"/>
    </xf>
    <xf numFmtId="183" fontId="4" fillId="0" borderId="24" xfId="1" applyNumberFormat="1" applyFont="1" applyFill="1" applyBorder="1" applyAlignment="1">
      <alignment vertical="center"/>
    </xf>
    <xf numFmtId="183" fontId="4" fillId="0" borderId="49" xfId="0" applyNumberFormat="1" applyFont="1" applyFill="1" applyBorder="1" applyAlignment="1">
      <alignment vertical="center"/>
    </xf>
    <xf numFmtId="183" fontId="4" fillId="0" borderId="57" xfId="1" applyNumberFormat="1" applyFont="1" applyFill="1" applyBorder="1" applyAlignment="1">
      <alignment vertical="center"/>
    </xf>
    <xf numFmtId="183" fontId="4" fillId="0" borderId="31" xfId="1" applyNumberFormat="1" applyFont="1" applyFill="1" applyBorder="1" applyAlignment="1">
      <alignment vertical="center"/>
    </xf>
    <xf numFmtId="183" fontId="4" fillId="0" borderId="57" xfId="0" applyNumberFormat="1" applyFont="1" applyFill="1" applyBorder="1" applyAlignment="1">
      <alignment vertical="center"/>
    </xf>
    <xf numFmtId="183" fontId="4" fillId="0" borderId="48" xfId="0" applyNumberFormat="1" applyFont="1" applyFill="1" applyBorder="1" applyAlignment="1">
      <alignment vertical="center"/>
    </xf>
    <xf numFmtId="183" fontId="4" fillId="0" borderId="43" xfId="1" applyNumberFormat="1" applyFont="1" applyFill="1" applyBorder="1" applyAlignment="1">
      <alignment vertical="center"/>
    </xf>
    <xf numFmtId="183" fontId="4" fillId="0" borderId="45" xfId="1" applyNumberFormat="1" applyFont="1" applyFill="1" applyBorder="1" applyAlignment="1">
      <alignment vertical="center"/>
    </xf>
    <xf numFmtId="183" fontId="4" fillId="0" borderId="60" xfId="1" applyNumberFormat="1" applyFont="1" applyFill="1" applyBorder="1" applyAlignment="1">
      <alignment vertical="center"/>
    </xf>
    <xf numFmtId="183" fontId="4" fillId="0" borderId="24" xfId="0" applyNumberFormat="1" applyFont="1" applyFill="1" applyBorder="1" applyAlignment="1">
      <alignment vertical="center"/>
    </xf>
    <xf numFmtId="183" fontId="4" fillId="0" borderId="60" xfId="0" applyNumberFormat="1" applyFont="1" applyFill="1" applyBorder="1" applyAlignment="1">
      <alignment vertical="center"/>
    </xf>
    <xf numFmtId="183" fontId="4" fillId="0" borderId="43" xfId="0" applyNumberFormat="1" applyFont="1" applyFill="1" applyBorder="1" applyAlignment="1">
      <alignment vertical="center"/>
    </xf>
    <xf numFmtId="183" fontId="4" fillId="0" borderId="31" xfId="0" applyNumberFormat="1" applyFont="1" applyFill="1" applyBorder="1" applyAlignment="1">
      <alignment vertical="center"/>
    </xf>
    <xf numFmtId="185" fontId="0" fillId="0" borderId="24" xfId="0" applyNumberFormat="1" applyFont="1" applyFill="1" applyBorder="1" applyAlignment="1">
      <alignment horizontal="right"/>
    </xf>
    <xf numFmtId="38" fontId="12" fillId="0" borderId="58" xfId="1" applyFont="1" applyFill="1" applyBorder="1" applyAlignment="1">
      <alignment horizontal="right" vertical="center"/>
    </xf>
    <xf numFmtId="38" fontId="12" fillId="0" borderId="59" xfId="1" applyFont="1" applyFill="1" applyBorder="1" applyAlignment="1">
      <alignment horizontal="right" vertical="center"/>
    </xf>
    <xf numFmtId="38" fontId="12" fillId="0" borderId="16" xfId="1" applyFont="1" applyFill="1" applyBorder="1" applyAlignment="1">
      <alignment horizontal="right" vertical="center"/>
    </xf>
    <xf numFmtId="38" fontId="12" fillId="0" borderId="23" xfId="1" applyFont="1" applyFill="1" applyBorder="1" applyAlignment="1">
      <alignment vertical="center"/>
    </xf>
    <xf numFmtId="38" fontId="12" fillId="0" borderId="21" xfId="1" applyFont="1" applyFill="1" applyBorder="1" applyAlignment="1">
      <alignment vertical="center"/>
    </xf>
    <xf numFmtId="38" fontId="12" fillId="0" borderId="26" xfId="1" applyFont="1" applyFill="1" applyBorder="1" applyAlignment="1">
      <alignment vertical="center"/>
    </xf>
    <xf numFmtId="38" fontId="12" fillId="0" borderId="62" xfId="1" applyFont="1" applyFill="1" applyBorder="1" applyAlignment="1">
      <alignment vertical="center"/>
    </xf>
    <xf numFmtId="38" fontId="12" fillId="0" borderId="22" xfId="1" applyFont="1" applyFill="1" applyBorder="1" applyAlignment="1">
      <alignment vertical="center"/>
    </xf>
    <xf numFmtId="38" fontId="12" fillId="0" borderId="20" xfId="1" applyFont="1" applyFill="1" applyBorder="1" applyAlignment="1">
      <alignment vertical="center"/>
    </xf>
    <xf numFmtId="38" fontId="12" fillId="0" borderId="36" xfId="1" applyFont="1" applyFill="1" applyBorder="1" applyAlignment="1">
      <alignment vertical="center"/>
    </xf>
    <xf numFmtId="38" fontId="12" fillId="0" borderId="54" xfId="1" applyFont="1" applyFill="1" applyBorder="1" applyAlignment="1">
      <alignment vertical="center"/>
    </xf>
    <xf numFmtId="38" fontId="12" fillId="0" borderId="49" xfId="1" applyFont="1" applyFill="1" applyBorder="1" applyAlignment="1">
      <alignment vertical="center"/>
    </xf>
    <xf numFmtId="38" fontId="12" fillId="0" borderId="57" xfId="1" applyFont="1" applyFill="1" applyBorder="1" applyAlignment="1">
      <alignment vertical="center"/>
    </xf>
    <xf numFmtId="38" fontId="12" fillId="0" borderId="48" xfId="1" applyFont="1" applyFill="1" applyBorder="1" applyAlignment="1">
      <alignment vertical="center"/>
    </xf>
    <xf numFmtId="38" fontId="12" fillId="0" borderId="58" xfId="1" applyFont="1" applyFill="1" applyBorder="1" applyAlignment="1">
      <alignment vertical="center"/>
    </xf>
    <xf numFmtId="38" fontId="12" fillId="0" borderId="59" xfId="1" applyFont="1" applyFill="1" applyBorder="1" applyAlignment="1">
      <alignment vertical="center"/>
    </xf>
    <xf numFmtId="38" fontId="12" fillId="0" borderId="18" xfId="1" applyFont="1" applyFill="1" applyBorder="1" applyAlignment="1">
      <alignment vertical="center"/>
    </xf>
    <xf numFmtId="38" fontId="12" fillId="0" borderId="24" xfId="1" applyFont="1" applyFill="1" applyBorder="1" applyAlignment="1">
      <alignment vertical="center"/>
    </xf>
    <xf numFmtId="38" fontId="12" fillId="0" borderId="52" xfId="1" applyFont="1" applyFill="1" applyBorder="1" applyAlignment="1">
      <alignment vertical="center"/>
    </xf>
    <xf numFmtId="38" fontId="12" fillId="0" borderId="29" xfId="1" applyFont="1" applyFill="1" applyBorder="1" applyAlignment="1">
      <alignment vertical="center"/>
    </xf>
    <xf numFmtId="38" fontId="12" fillId="0" borderId="43" xfId="1" applyFont="1" applyFill="1" applyBorder="1" applyAlignment="1">
      <alignment vertical="center"/>
    </xf>
    <xf numFmtId="38" fontId="12" fillId="0" borderId="56" xfId="1" applyFont="1" applyFill="1" applyBorder="1" applyAlignment="1">
      <alignment vertical="center"/>
    </xf>
    <xf numFmtId="38" fontId="12" fillId="0" borderId="61" xfId="1" applyFont="1" applyFill="1" applyBorder="1" applyAlignment="1">
      <alignment vertical="center"/>
    </xf>
    <xf numFmtId="38" fontId="12" fillId="0" borderId="55" xfId="1" applyFont="1" applyFill="1" applyBorder="1" applyAlignment="1">
      <alignment vertical="center"/>
    </xf>
    <xf numFmtId="38" fontId="12" fillId="0" borderId="47" xfId="1" applyFont="1" applyFill="1" applyBorder="1" applyAlignment="1">
      <alignment vertical="center"/>
    </xf>
    <xf numFmtId="176" fontId="12" fillId="0" borderId="56" xfId="0" applyNumberFormat="1" applyFont="1" applyFill="1" applyBorder="1" applyAlignment="1">
      <alignment horizontal="right" vertical="center"/>
    </xf>
    <xf numFmtId="176" fontId="12" fillId="0" borderId="61" xfId="0" applyNumberFormat="1" applyFont="1" applyFill="1" applyBorder="1" applyAlignment="1">
      <alignment horizontal="right" vertical="center"/>
    </xf>
    <xf numFmtId="176" fontId="12" fillId="0" borderId="45" xfId="0" applyNumberFormat="1" applyFont="1" applyFill="1" applyBorder="1" applyAlignment="1">
      <alignment horizontal="right" vertical="center"/>
    </xf>
    <xf numFmtId="176" fontId="12" fillId="0" borderId="62" xfId="0" applyNumberFormat="1" applyFont="1" applyFill="1" applyBorder="1" applyAlignment="1">
      <alignment horizontal="right" vertical="center"/>
    </xf>
    <xf numFmtId="176" fontId="12" fillId="0" borderId="21" xfId="0" applyNumberFormat="1" applyFont="1" applyFill="1" applyBorder="1" applyAlignment="1">
      <alignment horizontal="right" vertical="center"/>
    </xf>
    <xf numFmtId="176" fontId="12" fillId="0" borderId="24" xfId="0" applyNumberFormat="1" applyFont="1" applyFill="1" applyBorder="1" applyAlignment="1">
      <alignment horizontal="right" vertical="center"/>
    </xf>
    <xf numFmtId="38" fontId="12" fillId="0" borderId="52" xfId="1" applyFont="1" applyFill="1" applyBorder="1" applyAlignment="1">
      <alignment horizontal="right" vertical="center"/>
    </xf>
    <xf numFmtId="176" fontId="12" fillId="0" borderId="29" xfId="0" applyNumberFormat="1" applyFont="1" applyFill="1" applyBorder="1" applyAlignment="1">
      <alignment horizontal="right" vertical="center"/>
    </xf>
    <xf numFmtId="176" fontId="12" fillId="0" borderId="43" xfId="0" applyNumberFormat="1" applyFont="1" applyFill="1" applyBorder="1" applyAlignment="1">
      <alignment horizontal="right" vertical="center"/>
    </xf>
    <xf numFmtId="38" fontId="12" fillId="0" borderId="30" xfId="1" applyFont="1" applyFill="1" applyBorder="1" applyAlignment="1">
      <alignment horizontal="right" vertical="center"/>
    </xf>
    <xf numFmtId="176" fontId="12" fillId="0" borderId="48" xfId="0" applyNumberFormat="1" applyFont="1" applyFill="1" applyBorder="1" applyAlignment="1">
      <alignment horizontal="right" vertical="center"/>
    </xf>
    <xf numFmtId="176" fontId="12" fillId="0" borderId="31" xfId="0" applyNumberFormat="1" applyFont="1" applyFill="1" applyBorder="1" applyAlignment="1">
      <alignment horizontal="right" vertical="center"/>
    </xf>
    <xf numFmtId="176" fontId="12" fillId="0" borderId="52" xfId="0" applyNumberFormat="1" applyFont="1" applyFill="1" applyBorder="1" applyAlignment="1">
      <alignment horizontal="right" vertical="center"/>
    </xf>
    <xf numFmtId="176" fontId="12" fillId="0" borderId="30" xfId="0" applyNumberFormat="1" applyFont="1" applyFill="1" applyBorder="1" applyAlignment="1">
      <alignment horizontal="right" vertical="center"/>
    </xf>
    <xf numFmtId="176" fontId="12" fillId="0" borderId="57" xfId="0" applyNumberFormat="1" applyFont="1" applyFill="1" applyBorder="1" applyAlignment="1">
      <alignment horizontal="right" vertical="center"/>
    </xf>
    <xf numFmtId="183" fontId="4" fillId="0" borderId="2" xfId="1" applyNumberFormat="1" applyFont="1" applyFill="1" applyBorder="1"/>
    <xf numFmtId="183" fontId="4" fillId="0" borderId="3" xfId="0" applyNumberFormat="1" applyFont="1" applyFill="1" applyBorder="1"/>
    <xf numFmtId="183" fontId="4" fillId="0" borderId="0" xfId="1" applyNumberFormat="1" applyFont="1" applyFill="1" applyBorder="1"/>
    <xf numFmtId="183" fontId="4" fillId="0" borderId="23" xfId="1" applyNumberFormat="1" applyFont="1" applyFill="1" applyBorder="1"/>
    <xf numFmtId="183" fontId="4" fillId="0" borderId="25" xfId="0" applyNumberFormat="1" applyFont="1" applyFill="1" applyBorder="1"/>
    <xf numFmtId="183" fontId="4" fillId="0" borderId="25" xfId="1" applyNumberFormat="1" applyFont="1" applyFill="1" applyBorder="1"/>
    <xf numFmtId="183" fontId="4" fillId="0" borderId="10" xfId="1" applyNumberFormat="1" applyFont="1" applyFill="1" applyBorder="1"/>
    <xf numFmtId="183" fontId="4" fillId="0" borderId="0" xfId="0" applyNumberFormat="1" applyFont="1" applyFill="1" applyBorder="1"/>
    <xf numFmtId="183" fontId="4" fillId="0" borderId="30" xfId="1" applyNumberFormat="1" applyFont="1" applyFill="1" applyBorder="1"/>
    <xf numFmtId="183" fontId="4" fillId="0" borderId="32" xfId="0" applyNumberFormat="1" applyFont="1" applyFill="1" applyBorder="1"/>
    <xf numFmtId="183" fontId="4" fillId="0" borderId="32" xfId="1" applyNumberFormat="1" applyFont="1" applyFill="1" applyBorder="1"/>
    <xf numFmtId="0" fontId="4" fillId="0" borderId="21" xfId="0" applyNumberFormat="1" applyFont="1" applyFill="1" applyBorder="1" applyAlignment="1">
      <alignment vertical="center"/>
    </xf>
    <xf numFmtId="0" fontId="4" fillId="0" borderId="22" xfId="0" applyNumberFormat="1" applyFont="1" applyFill="1" applyBorder="1" applyAlignment="1">
      <alignment vertical="center"/>
    </xf>
    <xf numFmtId="0" fontId="4" fillId="0" borderId="24" xfId="0" applyNumberFormat="1" applyFont="1" applyFill="1" applyBorder="1" applyAlignment="1">
      <alignment vertical="center"/>
    </xf>
    <xf numFmtId="0" fontId="4" fillId="0" borderId="29" xfId="0" applyNumberFormat="1" applyFont="1" applyFill="1" applyBorder="1" applyAlignment="1">
      <alignment vertical="center"/>
    </xf>
    <xf numFmtId="0" fontId="4" fillId="0" borderId="47" xfId="0" applyNumberFormat="1" applyFont="1" applyFill="1" applyBorder="1" applyAlignment="1">
      <alignment vertical="center"/>
    </xf>
    <xf numFmtId="0" fontId="4" fillId="0" borderId="57" xfId="0" applyNumberFormat="1" applyFont="1" applyFill="1" applyBorder="1"/>
    <xf numFmtId="0" fontId="4" fillId="0" borderId="48" xfId="0" applyNumberFormat="1" applyFont="1" applyFill="1" applyBorder="1"/>
    <xf numFmtId="0" fontId="4" fillId="0" borderId="31" xfId="0" applyNumberFormat="1" applyFont="1" applyFill="1" applyBorder="1"/>
    <xf numFmtId="0" fontId="4" fillId="0" borderId="61" xfId="0" applyNumberFormat="1" applyFont="1" applyFill="1" applyBorder="1" applyAlignment="1">
      <alignment vertical="center"/>
    </xf>
    <xf numFmtId="0" fontId="4" fillId="0" borderId="55" xfId="0" applyNumberFormat="1" applyFont="1" applyFill="1" applyBorder="1" applyAlignment="1">
      <alignment vertical="center"/>
    </xf>
    <xf numFmtId="0" fontId="4" fillId="0" borderId="36" xfId="0" applyNumberFormat="1" applyFont="1" applyFill="1" applyBorder="1" applyAlignment="1">
      <alignment vertical="center"/>
    </xf>
    <xf numFmtId="0" fontId="4" fillId="0" borderId="54" xfId="0" applyNumberFormat="1" applyFont="1" applyFill="1" applyBorder="1" applyAlignment="1">
      <alignment vertical="center"/>
    </xf>
    <xf numFmtId="0" fontId="4" fillId="0" borderId="43" xfId="0" applyNumberFormat="1" applyFont="1" applyFill="1" applyBorder="1" applyAlignment="1">
      <alignment vertical="center"/>
    </xf>
    <xf numFmtId="0" fontId="4" fillId="0" borderId="74" xfId="0" applyNumberFormat="1" applyFont="1" applyFill="1" applyBorder="1" applyAlignment="1">
      <alignment vertical="center"/>
    </xf>
    <xf numFmtId="0" fontId="4" fillId="0" borderId="73" xfId="0" applyNumberFormat="1" applyFont="1" applyFill="1" applyBorder="1"/>
    <xf numFmtId="187" fontId="0" fillId="0" borderId="0" xfId="0" applyNumberFormat="1" applyFont="1"/>
    <xf numFmtId="183" fontId="4" fillId="0" borderId="58" xfId="1" applyNumberFormat="1" applyFont="1" applyFill="1" applyBorder="1" applyAlignment="1">
      <alignment horizontal="center" vertical="center"/>
    </xf>
    <xf numFmtId="188" fontId="4" fillId="0" borderId="51" xfId="0" applyNumberFormat="1" applyFont="1" applyFill="1" applyBorder="1" applyAlignment="1">
      <alignment horizontal="right" vertical="center"/>
    </xf>
    <xf numFmtId="188" fontId="4" fillId="0" borderId="57" xfId="0" applyNumberFormat="1" applyFont="1" applyFill="1" applyBorder="1" applyAlignment="1">
      <alignment horizontal="right" vertical="center"/>
    </xf>
    <xf numFmtId="183" fontId="4" fillId="0" borderId="59" xfId="1" applyNumberFormat="1" applyFont="1" applyFill="1" applyBorder="1" applyAlignment="1">
      <alignment horizontal="center" vertical="center"/>
    </xf>
    <xf numFmtId="183" fontId="4" fillId="0" borderId="62" xfId="1" applyNumberFormat="1" applyFont="1" applyFill="1" applyBorder="1" applyAlignment="1">
      <alignment horizontal="center" vertical="center"/>
    </xf>
    <xf numFmtId="183" fontId="4" fillId="0" borderId="21" xfId="1" applyNumberFormat="1" applyFont="1" applyFill="1" applyBorder="1" applyAlignment="1">
      <alignment horizontal="center" vertical="center"/>
    </xf>
    <xf numFmtId="0" fontId="4" fillId="0" borderId="0" xfId="0" applyFont="1" applyFill="1" applyAlignment="1">
      <alignment horizontal="right"/>
    </xf>
    <xf numFmtId="183" fontId="36" fillId="0" borderId="58" xfId="0" applyNumberFormat="1" applyFont="1" applyFill="1" applyBorder="1" applyAlignment="1">
      <alignment vertical="center"/>
    </xf>
    <xf numFmtId="183" fontId="36" fillId="0" borderId="59" xfId="0" applyNumberFormat="1" applyFont="1" applyFill="1" applyBorder="1" applyAlignment="1">
      <alignment vertical="center"/>
    </xf>
    <xf numFmtId="183" fontId="36" fillId="0" borderId="16" xfId="0" applyNumberFormat="1" applyFont="1" applyFill="1" applyBorder="1" applyAlignment="1">
      <alignment vertical="center"/>
    </xf>
    <xf numFmtId="183" fontId="36" fillId="0" borderId="5" xfId="0" applyNumberFormat="1" applyFont="1" applyFill="1" applyBorder="1" applyAlignment="1">
      <alignment vertical="center"/>
    </xf>
    <xf numFmtId="184" fontId="4" fillId="0" borderId="59" xfId="1" applyNumberFormat="1" applyFont="1" applyFill="1" applyBorder="1" applyAlignment="1">
      <alignment vertical="center"/>
    </xf>
    <xf numFmtId="184" fontId="4" fillId="0" borderId="18" xfId="1" applyNumberFormat="1" applyFont="1" applyFill="1" applyBorder="1" applyAlignment="1">
      <alignment vertical="center"/>
    </xf>
    <xf numFmtId="184" fontId="4" fillId="0" borderId="21" xfId="1" applyNumberFormat="1" applyFont="1" applyFill="1" applyBorder="1" applyAlignment="1">
      <alignment vertical="center"/>
    </xf>
    <xf numFmtId="184" fontId="4" fillId="0" borderId="24" xfId="1" applyNumberFormat="1" applyFont="1" applyFill="1" applyBorder="1" applyAlignment="1">
      <alignment vertical="center"/>
    </xf>
    <xf numFmtId="184" fontId="4" fillId="0" borderId="57" xfId="1" applyNumberFormat="1" applyFont="1" applyFill="1" applyBorder="1" applyAlignment="1">
      <alignment vertical="center"/>
    </xf>
    <xf numFmtId="184" fontId="4" fillId="0" borderId="31" xfId="1" applyNumberFormat="1" applyFont="1" applyFill="1" applyBorder="1" applyAlignment="1">
      <alignment vertical="center"/>
    </xf>
    <xf numFmtId="0" fontId="0" fillId="0" borderId="53" xfId="0" applyBorder="1" applyAlignment="1">
      <alignment horizontal="center" vertical="center" wrapText="1"/>
    </xf>
    <xf numFmtId="183" fontId="4" fillId="0" borderId="18" xfId="1" applyNumberFormat="1" applyFont="1" applyFill="1" applyBorder="1" applyAlignment="1">
      <alignment vertical="center"/>
    </xf>
    <xf numFmtId="0" fontId="4" fillId="0" borderId="3" xfId="0" applyFont="1" applyFill="1" applyBorder="1" applyAlignment="1"/>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56" xfId="0" applyFont="1" applyFill="1" applyBorder="1" applyAlignment="1">
      <alignment horizontal="center" vertical="center"/>
    </xf>
    <xf numFmtId="184" fontId="4" fillId="0" borderId="23" xfId="1" applyNumberFormat="1" applyFont="1" applyFill="1" applyBorder="1" applyAlignment="1">
      <alignment horizontal="right" vertical="center"/>
    </xf>
    <xf numFmtId="184" fontId="4" fillId="0" borderId="30" xfId="1" applyNumberFormat="1" applyFont="1" applyFill="1" applyBorder="1" applyAlignment="1">
      <alignment horizontal="right" vertical="center"/>
    </xf>
    <xf numFmtId="184" fontId="4" fillId="0" borderId="42" xfId="1" applyNumberFormat="1" applyFont="1" applyFill="1" applyBorder="1" applyAlignment="1">
      <alignment horizontal="right" vertical="center"/>
    </xf>
    <xf numFmtId="184" fontId="4" fillId="0" borderId="17" xfId="1" applyNumberFormat="1" applyFont="1" applyFill="1" applyBorder="1" applyAlignment="1">
      <alignment horizontal="right" vertical="center"/>
    </xf>
    <xf numFmtId="0" fontId="0" fillId="0" borderId="27" xfId="0" applyBorder="1" applyAlignment="1">
      <alignment horizontal="distributed" vertical="center"/>
    </xf>
    <xf numFmtId="0" fontId="4" fillId="0" borderId="3" xfId="0" applyFont="1" applyFill="1" applyBorder="1" applyAlignment="1">
      <alignment horizontal="right"/>
    </xf>
    <xf numFmtId="0" fontId="4" fillId="0" borderId="0" xfId="0" applyFont="1" applyFill="1" applyAlignment="1"/>
    <xf numFmtId="0" fontId="4" fillId="0" borderId="15"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63" xfId="0" applyFont="1" applyFill="1" applyBorder="1" applyAlignment="1">
      <alignment horizontal="distributed" vertical="center"/>
    </xf>
    <xf numFmtId="0" fontId="4" fillId="0" borderId="0" xfId="0" applyFont="1" applyFill="1" applyAlignment="1">
      <alignment vertical="top" wrapText="1"/>
    </xf>
    <xf numFmtId="0" fontId="4" fillId="0" borderId="2" xfId="0" applyFont="1" applyFill="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30" xfId="0" applyFont="1" applyFill="1" applyBorder="1" applyAlignment="1">
      <alignment horizontal="distributed" vertical="center"/>
    </xf>
    <xf numFmtId="0" fontId="4" fillId="0" borderId="0" xfId="0" applyFont="1" applyFill="1" applyBorder="1" applyAlignment="1">
      <alignment vertical="center"/>
    </xf>
    <xf numFmtId="0" fontId="4" fillId="0" borderId="17" xfId="0" applyFont="1" applyFill="1" applyBorder="1" applyAlignment="1">
      <alignment horizontal="distributed" vertical="center"/>
    </xf>
    <xf numFmtId="0" fontId="4" fillId="0" borderId="23" xfId="0" applyFont="1" applyFill="1" applyBorder="1" applyAlignment="1">
      <alignment horizontal="distributed" vertical="center"/>
    </xf>
    <xf numFmtId="0" fontId="0" fillId="0" borderId="37" xfId="0" applyBorder="1" applyAlignment="1">
      <alignment horizontal="center" vertical="center"/>
    </xf>
    <xf numFmtId="0" fontId="4" fillId="0" borderId="4" xfId="0" applyFont="1" applyFill="1" applyBorder="1" applyAlignment="1">
      <alignment horizontal="right" vertical="center"/>
    </xf>
    <xf numFmtId="183" fontId="4" fillId="0" borderId="49" xfId="1" applyNumberFormat="1" applyFont="1" applyFill="1" applyBorder="1" applyAlignment="1">
      <alignment horizontal="center" vertical="center"/>
    </xf>
    <xf numFmtId="183" fontId="4" fillId="0" borderId="57" xfId="1" applyNumberFormat="1" applyFont="1" applyFill="1" applyBorder="1" applyAlignment="1">
      <alignment horizontal="center" vertical="center"/>
    </xf>
    <xf numFmtId="183" fontId="4" fillId="0" borderId="21" xfId="1" applyNumberFormat="1" applyFont="1" applyFill="1" applyBorder="1" applyAlignment="1">
      <alignment horizontal="right" vertical="center"/>
    </xf>
    <xf numFmtId="0" fontId="4" fillId="0" borderId="0" xfId="0" applyFont="1" applyFill="1" applyAlignment="1">
      <alignment vertical="center" wrapText="1"/>
    </xf>
    <xf numFmtId="0" fontId="4" fillId="0" borderId="45" xfId="0" applyFont="1" applyFill="1" applyBorder="1" applyAlignment="1">
      <alignment horizontal="center" vertical="center"/>
    </xf>
    <xf numFmtId="177" fontId="33" fillId="0" borderId="58" xfId="0" applyNumberFormat="1" applyFont="1" applyFill="1" applyBorder="1" applyAlignment="1">
      <alignment vertical="center"/>
    </xf>
    <xf numFmtId="177" fontId="33" fillId="0" borderId="59" xfId="0" applyNumberFormat="1" applyFont="1" applyFill="1" applyBorder="1" applyAlignment="1">
      <alignment vertical="center"/>
    </xf>
    <xf numFmtId="177" fontId="33" fillId="0" borderId="18" xfId="0" applyNumberFormat="1" applyFont="1" applyFill="1" applyBorder="1" applyAlignment="1">
      <alignment vertical="center"/>
    </xf>
    <xf numFmtId="177" fontId="33" fillId="0" borderId="79" xfId="0" applyNumberFormat="1" applyFont="1" applyFill="1" applyBorder="1" applyAlignment="1">
      <alignment vertical="center"/>
    </xf>
    <xf numFmtId="0" fontId="4" fillId="0" borderId="24" xfId="0" applyFont="1" applyFill="1" applyBorder="1" applyAlignment="1">
      <alignment horizontal="center" vertical="center"/>
    </xf>
    <xf numFmtId="177" fontId="33" fillId="0" borderId="56" xfId="0" applyNumberFormat="1" applyFont="1" applyFill="1" applyBorder="1" applyAlignment="1">
      <alignment vertical="center"/>
    </xf>
    <xf numFmtId="177" fontId="33" fillId="0" borderId="61" xfId="0" applyNumberFormat="1" applyFont="1" applyFill="1" applyBorder="1" applyAlignment="1">
      <alignment vertical="center"/>
    </xf>
    <xf numFmtId="177" fontId="33" fillId="0" borderId="45" xfId="0" applyNumberFormat="1" applyFont="1" applyFill="1" applyBorder="1" applyAlignment="1">
      <alignment vertical="center"/>
    </xf>
    <xf numFmtId="177" fontId="33" fillId="0" borderId="67" xfId="0" applyNumberFormat="1" applyFont="1" applyFill="1" applyBorder="1" applyAlignment="1">
      <alignment vertical="center"/>
    </xf>
    <xf numFmtId="0" fontId="4" fillId="0" borderId="43" xfId="0" applyFont="1" applyFill="1" applyBorder="1" applyAlignment="1">
      <alignment horizontal="center" vertical="center"/>
    </xf>
    <xf numFmtId="178" fontId="33" fillId="0" borderId="49" xfId="0" applyNumberFormat="1" applyFont="1" applyFill="1" applyBorder="1" applyAlignment="1">
      <alignment vertical="center"/>
    </xf>
    <xf numFmtId="178" fontId="33" fillId="0" borderId="40" xfId="0" applyNumberFormat="1" applyFont="1" applyFill="1" applyBorder="1" applyAlignment="1">
      <alignment vertical="center"/>
    </xf>
    <xf numFmtId="178" fontId="33" fillId="0" borderId="34" xfId="0" applyNumberFormat="1" applyFont="1" applyFill="1" applyBorder="1" applyAlignment="1">
      <alignment vertical="center"/>
    </xf>
    <xf numFmtId="178" fontId="33" fillId="0" borderId="69" xfId="0" applyNumberFormat="1" applyFont="1" applyFill="1" applyBorder="1" applyAlignment="1">
      <alignment vertical="center"/>
    </xf>
    <xf numFmtId="0" fontId="4" fillId="0" borderId="18" xfId="0" applyFont="1" applyFill="1" applyBorder="1" applyAlignment="1">
      <alignment horizontal="center" vertical="center"/>
    </xf>
    <xf numFmtId="177" fontId="33" fillId="0" borderId="15" xfId="0" applyNumberFormat="1" applyFont="1" applyFill="1" applyBorder="1" applyAlignment="1">
      <alignment vertical="center"/>
    </xf>
    <xf numFmtId="177" fontId="33" fillId="0" borderId="70" xfId="0" applyNumberFormat="1" applyFont="1" applyFill="1" applyBorder="1" applyAlignment="1">
      <alignment vertical="center"/>
    </xf>
    <xf numFmtId="177" fontId="33" fillId="0" borderId="5" xfId="0" applyNumberFormat="1" applyFont="1" applyFill="1" applyBorder="1" applyAlignment="1">
      <alignment vertical="center"/>
    </xf>
    <xf numFmtId="177" fontId="33" fillId="0" borderId="62" xfId="0" applyNumberFormat="1" applyFont="1" applyFill="1" applyBorder="1" applyAlignment="1">
      <alignment vertical="center"/>
    </xf>
    <xf numFmtId="177" fontId="33" fillId="0" borderId="21" xfId="0" applyNumberFormat="1" applyFont="1" applyFill="1" applyBorder="1" applyAlignment="1">
      <alignment vertical="center"/>
    </xf>
    <xf numFmtId="177" fontId="33" fillId="0" borderId="24" xfId="0" applyNumberFormat="1" applyFont="1" applyFill="1" applyBorder="1" applyAlignment="1">
      <alignment vertical="center"/>
    </xf>
    <xf numFmtId="0" fontId="4" fillId="0" borderId="31" xfId="0" applyFont="1" applyFill="1" applyBorder="1" applyAlignment="1">
      <alignment horizontal="center" vertical="center"/>
    </xf>
    <xf numFmtId="0" fontId="4" fillId="0" borderId="20" xfId="0" applyFont="1" applyFill="1" applyBorder="1" applyAlignment="1">
      <alignment vertical="center"/>
    </xf>
    <xf numFmtId="0" fontId="0" fillId="0" borderId="10" xfId="0" applyFont="1" applyFill="1" applyBorder="1" applyAlignment="1">
      <alignment horizontal="center" vertical="center" shrinkToFit="1"/>
    </xf>
    <xf numFmtId="0" fontId="4" fillId="0" borderId="8" xfId="0" applyFont="1" applyFill="1" applyBorder="1" applyAlignment="1">
      <alignment horizontal="right" vertical="center"/>
    </xf>
    <xf numFmtId="0" fontId="4" fillId="0" borderId="39" xfId="0" applyFont="1" applyFill="1" applyBorder="1" applyAlignment="1">
      <alignment horizontal="right" vertical="center"/>
    </xf>
    <xf numFmtId="0" fontId="0" fillId="0" borderId="4" xfId="0" applyFont="1" applyFill="1" applyBorder="1" applyAlignment="1">
      <alignment horizontal="center"/>
    </xf>
    <xf numFmtId="0" fontId="6" fillId="0" borderId="8" xfId="0" applyFont="1" applyFill="1" applyBorder="1"/>
    <xf numFmtId="0" fontId="6" fillId="0" borderId="1" xfId="0" applyFont="1" applyFill="1" applyBorder="1"/>
    <xf numFmtId="0" fontId="4" fillId="0" borderId="10" xfId="0" applyFont="1" applyFill="1" applyBorder="1" applyAlignment="1">
      <alignment horizontal="right"/>
    </xf>
    <xf numFmtId="0" fontId="4" fillId="0" borderId="36" xfId="0" applyFont="1" applyFill="1" applyBorder="1" applyAlignment="1">
      <alignment horizontal="right"/>
    </xf>
    <xf numFmtId="0" fontId="4" fillId="0" borderId="54" xfId="0" applyFont="1" applyFill="1" applyBorder="1" applyAlignment="1">
      <alignment horizontal="right"/>
    </xf>
    <xf numFmtId="0" fontId="4" fillId="0" borderId="60" xfId="0" applyFont="1" applyFill="1" applyBorder="1" applyAlignment="1">
      <alignment horizontal="right"/>
    </xf>
    <xf numFmtId="184" fontId="33" fillId="0" borderId="78" xfId="1" applyNumberFormat="1" applyFont="1" applyFill="1" applyBorder="1" applyAlignment="1">
      <alignment horizontal="right" vertical="center"/>
    </xf>
    <xf numFmtId="184" fontId="33" fillId="0" borderId="74" xfId="1" applyNumberFormat="1" applyFont="1" applyFill="1" applyBorder="1" applyAlignment="1">
      <alignment horizontal="right" vertical="center"/>
    </xf>
    <xf numFmtId="184" fontId="33" fillId="0" borderId="72" xfId="1" applyNumberFormat="1" applyFont="1" applyFill="1" applyBorder="1" applyAlignment="1">
      <alignment horizontal="right" vertical="center"/>
    </xf>
    <xf numFmtId="184" fontId="33" fillId="0" borderId="73" xfId="1" applyNumberFormat="1" applyFont="1" applyFill="1" applyBorder="1" applyAlignment="1">
      <alignment horizontal="right" vertical="center"/>
    </xf>
    <xf numFmtId="184" fontId="4" fillId="0" borderId="44" xfId="1" applyNumberFormat="1" applyFont="1" applyFill="1" applyBorder="1" applyAlignment="1">
      <alignment horizontal="right" vertical="center"/>
    </xf>
    <xf numFmtId="184" fontId="4" fillId="0" borderId="61" xfId="1" applyNumberFormat="1" applyFont="1" applyFill="1" applyBorder="1" applyAlignment="1">
      <alignment horizontal="right" vertical="center"/>
    </xf>
    <xf numFmtId="184" fontId="4" fillId="0" borderId="55" xfId="1" applyNumberFormat="1" applyFont="1" applyFill="1" applyBorder="1" applyAlignment="1">
      <alignment horizontal="right" vertical="center"/>
    </xf>
    <xf numFmtId="184" fontId="4" fillId="0" borderId="45" xfId="1" applyNumberFormat="1" applyFont="1" applyFill="1" applyBorder="1" applyAlignment="1">
      <alignment horizontal="right" vertical="center"/>
    </xf>
    <xf numFmtId="184" fontId="4" fillId="0" borderId="21" xfId="1" applyNumberFormat="1" applyFont="1" applyFill="1" applyBorder="1" applyAlignment="1">
      <alignment horizontal="right" vertical="center"/>
    </xf>
    <xf numFmtId="184" fontId="4" fillId="0" borderId="22" xfId="1" applyNumberFormat="1" applyFont="1" applyFill="1" applyBorder="1" applyAlignment="1">
      <alignment horizontal="right" vertical="center"/>
    </xf>
    <xf numFmtId="184" fontId="4" fillId="0" borderId="24" xfId="1" applyNumberFormat="1" applyFont="1" applyFill="1" applyBorder="1" applyAlignment="1">
      <alignment horizontal="right" vertical="center"/>
    </xf>
    <xf numFmtId="0" fontId="4" fillId="0" borderId="47" xfId="0" applyFont="1" applyFill="1" applyBorder="1"/>
    <xf numFmtId="0" fontId="4" fillId="0" borderId="32" xfId="0" applyFont="1" applyFill="1" applyBorder="1"/>
    <xf numFmtId="184" fontId="4" fillId="0" borderId="29" xfId="1" applyNumberFormat="1" applyFont="1" applyFill="1" applyBorder="1" applyAlignment="1">
      <alignment horizontal="right" vertical="center"/>
    </xf>
    <xf numFmtId="184" fontId="4" fillId="0" borderId="47" xfId="1" applyNumberFormat="1" applyFont="1" applyFill="1" applyBorder="1" applyAlignment="1">
      <alignment horizontal="right" vertical="center"/>
    </xf>
    <xf numFmtId="184" fontId="4" fillId="0" borderId="43" xfId="1" applyNumberFormat="1" applyFont="1" applyFill="1" applyBorder="1" applyAlignment="1">
      <alignment horizontal="right" vertical="center"/>
    </xf>
    <xf numFmtId="184" fontId="4" fillId="0" borderId="59" xfId="1" applyNumberFormat="1" applyFont="1" applyFill="1" applyBorder="1" applyAlignment="1">
      <alignment horizontal="right" vertical="center"/>
    </xf>
    <xf numFmtId="184" fontId="4" fillId="0" borderId="16" xfId="1" applyNumberFormat="1" applyFont="1" applyFill="1" applyBorder="1" applyAlignment="1">
      <alignment horizontal="right" vertical="center"/>
    </xf>
    <xf numFmtId="184" fontId="4" fillId="0" borderId="18" xfId="1" applyNumberFormat="1" applyFont="1" applyFill="1" applyBorder="1" applyAlignment="1">
      <alignment horizontal="right" vertical="center"/>
    </xf>
    <xf numFmtId="0" fontId="4" fillId="0" borderId="48" xfId="0" applyFont="1" applyFill="1" applyBorder="1"/>
    <xf numFmtId="184" fontId="4" fillId="0" borderId="57" xfId="1" applyNumberFormat="1" applyFont="1" applyFill="1" applyBorder="1" applyAlignment="1">
      <alignment horizontal="right" vertical="center"/>
    </xf>
    <xf numFmtId="184" fontId="4" fillId="0" borderId="48" xfId="1" applyNumberFormat="1" applyFont="1" applyFill="1" applyBorder="1" applyAlignment="1">
      <alignment horizontal="right" vertical="center"/>
    </xf>
    <xf numFmtId="184" fontId="4" fillId="0" borderId="31" xfId="1" applyNumberFormat="1" applyFont="1" applyFill="1" applyBorder="1" applyAlignment="1">
      <alignment horizontal="right" vertical="center"/>
    </xf>
    <xf numFmtId="184" fontId="4" fillId="0" borderId="63" xfId="1" applyNumberFormat="1" applyFont="1" applyFill="1" applyBorder="1" applyAlignment="1">
      <alignment horizontal="right" vertical="center"/>
    </xf>
    <xf numFmtId="184" fontId="4" fillId="0" borderId="74" xfId="1" applyNumberFormat="1" applyFont="1" applyFill="1" applyBorder="1" applyAlignment="1">
      <alignment horizontal="right" vertical="center"/>
    </xf>
    <xf numFmtId="184" fontId="4" fillId="0" borderId="72" xfId="1" applyNumberFormat="1" applyFont="1" applyFill="1" applyBorder="1" applyAlignment="1">
      <alignment horizontal="right" vertical="center"/>
    </xf>
    <xf numFmtId="184" fontId="4" fillId="0" borderId="73" xfId="1" applyNumberFormat="1" applyFont="1" applyFill="1" applyBorder="1" applyAlignment="1">
      <alignment horizontal="right" vertical="center"/>
    </xf>
    <xf numFmtId="0" fontId="4" fillId="0" borderId="2" xfId="0" applyFont="1" applyFill="1" applyBorder="1" applyAlignment="1">
      <alignment vertical="center"/>
    </xf>
    <xf numFmtId="0" fontId="4" fillId="0" borderId="10" xfId="0" applyFont="1" applyFill="1" applyBorder="1" applyAlignment="1">
      <alignment vertical="center"/>
    </xf>
    <xf numFmtId="0" fontId="4" fillId="0" borderId="53" xfId="0" applyFont="1" applyFill="1" applyBorder="1" applyAlignment="1">
      <alignment vertical="center"/>
    </xf>
    <xf numFmtId="0" fontId="0" fillId="0" borderId="27" xfId="0" applyFont="1" applyFill="1" applyBorder="1" applyAlignment="1">
      <alignment horizontal="center" vertical="center" shrinkToFit="1"/>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38" xfId="0" applyFont="1" applyFill="1" applyBorder="1" applyAlignment="1">
      <alignment horizontal="right" vertical="center"/>
    </xf>
    <xf numFmtId="0" fontId="4" fillId="0" borderId="51" xfId="0" applyFont="1" applyFill="1" applyBorder="1" applyAlignment="1">
      <alignment horizontal="right" vertical="center"/>
    </xf>
    <xf numFmtId="0" fontId="4" fillId="0" borderId="11" xfId="0" applyFont="1" applyFill="1" applyBorder="1" applyAlignment="1">
      <alignment horizontal="right" vertical="center"/>
    </xf>
    <xf numFmtId="0" fontId="4" fillId="0" borderId="1" xfId="0" applyFont="1" applyFill="1" applyBorder="1" applyAlignment="1">
      <alignment vertical="center"/>
    </xf>
    <xf numFmtId="184" fontId="33" fillId="0" borderId="77" xfId="1" applyNumberFormat="1" applyFont="1" applyFill="1" applyBorder="1" applyAlignment="1">
      <alignment vertical="center"/>
    </xf>
    <xf numFmtId="0" fontId="4" fillId="0" borderId="4" xfId="0" applyFont="1" applyFill="1" applyBorder="1" applyAlignment="1">
      <alignment vertical="center"/>
    </xf>
    <xf numFmtId="184" fontId="4" fillId="0" borderId="58" xfId="1" applyNumberFormat="1" applyFont="1" applyFill="1" applyBorder="1" applyAlignment="1">
      <alignment vertical="center"/>
    </xf>
    <xf numFmtId="184" fontId="4" fillId="0" borderId="16" xfId="1" applyNumberFormat="1" applyFont="1" applyFill="1" applyBorder="1" applyAlignment="1">
      <alignment vertical="center"/>
    </xf>
    <xf numFmtId="184" fontId="4" fillId="0" borderId="35" xfId="1" applyNumberFormat="1" applyFont="1" applyFill="1" applyBorder="1" applyAlignment="1">
      <alignment vertical="center"/>
    </xf>
    <xf numFmtId="184" fontId="4" fillId="0" borderId="62" xfId="1" applyNumberFormat="1" applyFont="1" applyFill="1" applyBorder="1" applyAlignment="1">
      <alignment vertical="center"/>
    </xf>
    <xf numFmtId="184" fontId="4" fillId="0" borderId="22" xfId="1" applyNumberFormat="1" applyFont="1" applyFill="1" applyBorder="1" applyAlignment="1">
      <alignment vertical="center"/>
    </xf>
    <xf numFmtId="184" fontId="33" fillId="0" borderId="26" xfId="1" applyNumberFormat="1" applyFont="1" applyFill="1" applyBorder="1" applyAlignment="1">
      <alignment vertical="center"/>
    </xf>
    <xf numFmtId="184" fontId="33" fillId="0" borderId="25" xfId="1" applyNumberFormat="1" applyFont="1" applyFill="1" applyBorder="1" applyAlignment="1">
      <alignment vertical="center"/>
    </xf>
    <xf numFmtId="0" fontId="4" fillId="0" borderId="38" xfId="0" applyFont="1" applyFill="1" applyBorder="1" applyAlignment="1">
      <alignment vertical="center"/>
    </xf>
    <xf numFmtId="184" fontId="4" fillId="0" borderId="49" xfId="1" applyNumberFormat="1" applyFont="1" applyFill="1" applyBorder="1" applyAlignment="1">
      <alignment vertical="center"/>
    </xf>
    <xf numFmtId="184" fontId="4" fillId="0" borderId="48" xfId="1" applyNumberFormat="1" applyFont="1" applyFill="1" applyBorder="1" applyAlignment="1">
      <alignment vertical="center"/>
    </xf>
    <xf numFmtId="0" fontId="4" fillId="0" borderId="22" xfId="0" applyFont="1" applyFill="1" applyBorder="1" applyAlignment="1">
      <alignment vertical="center"/>
    </xf>
    <xf numFmtId="0" fontId="4" fillId="0" borderId="48" xfId="0" applyFont="1" applyFill="1" applyBorder="1" applyAlignment="1">
      <alignment vertical="center"/>
    </xf>
    <xf numFmtId="0" fontId="4" fillId="0" borderId="6" xfId="0" applyFont="1" applyFill="1" applyBorder="1" applyAlignment="1">
      <alignment vertical="center"/>
    </xf>
    <xf numFmtId="184" fontId="33" fillId="0" borderId="40" xfId="1" applyNumberFormat="1" applyFont="1" applyFill="1" applyBorder="1" applyAlignment="1">
      <alignment vertical="center"/>
    </xf>
    <xf numFmtId="184" fontId="33" fillId="0" borderId="32" xfId="1" applyNumberFormat="1" applyFont="1" applyFill="1" applyBorder="1" applyAlignment="1">
      <alignment vertical="center"/>
    </xf>
    <xf numFmtId="0" fontId="4" fillId="0" borderId="63" xfId="0" applyFont="1" applyFill="1" applyBorder="1" applyAlignment="1">
      <alignment vertical="center"/>
    </xf>
    <xf numFmtId="0" fontId="4" fillId="0" borderId="76" xfId="0" applyFont="1" applyFill="1" applyBorder="1" applyAlignment="1">
      <alignment vertical="center"/>
    </xf>
    <xf numFmtId="184" fontId="4" fillId="0" borderId="38" xfId="1" applyNumberFormat="1" applyFont="1" applyFill="1" applyBorder="1" applyAlignment="1">
      <alignment vertical="center"/>
    </xf>
    <xf numFmtId="184" fontId="4" fillId="0" borderId="39" xfId="1" applyNumberFormat="1" applyFont="1" applyFill="1" applyBorder="1" applyAlignment="1">
      <alignment vertical="center"/>
    </xf>
    <xf numFmtId="184" fontId="4" fillId="0" borderId="51" xfId="1" applyNumberFormat="1" applyFont="1" applyFill="1" applyBorder="1" applyAlignment="1">
      <alignment vertical="center"/>
    </xf>
    <xf numFmtId="184" fontId="4" fillId="0" borderId="11" xfId="1" applyNumberFormat="1" applyFont="1" applyFill="1" applyBorder="1" applyAlignment="1">
      <alignment vertical="center"/>
    </xf>
    <xf numFmtId="184" fontId="33" fillId="0" borderId="33" xfId="1" applyNumberFormat="1" applyFont="1" applyFill="1" applyBorder="1" applyAlignment="1">
      <alignment vertical="center"/>
    </xf>
    <xf numFmtId="184" fontId="33" fillId="0" borderId="1" xfId="1" applyNumberFormat="1" applyFont="1" applyFill="1" applyBorder="1" applyAlignment="1">
      <alignment vertical="center"/>
    </xf>
    <xf numFmtId="0" fontId="8" fillId="0" borderId="0" xfId="0" applyFont="1" applyFill="1" applyAlignment="1">
      <alignment vertical="center"/>
    </xf>
    <xf numFmtId="0" fontId="6" fillId="0" borderId="4" xfId="0" applyFont="1" applyFill="1" applyBorder="1"/>
    <xf numFmtId="0" fontId="4" fillId="0" borderId="64" xfId="0" applyFont="1" applyFill="1" applyBorder="1" applyAlignment="1">
      <alignment vertical="center"/>
    </xf>
    <xf numFmtId="0" fontId="6" fillId="0" borderId="53" xfId="0" applyFont="1" applyFill="1" applyBorder="1" applyAlignment="1">
      <alignment horizontal="right"/>
    </xf>
    <xf numFmtId="0" fontId="4" fillId="0" borderId="66"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65" xfId="0" applyFont="1" applyFill="1" applyBorder="1" applyAlignment="1">
      <alignment horizontal="right" vertical="center"/>
    </xf>
    <xf numFmtId="0" fontId="4" fillId="0" borderId="53" xfId="0" applyFont="1" applyFill="1" applyBorder="1" applyAlignment="1">
      <alignment horizontal="right" vertical="center"/>
    </xf>
    <xf numFmtId="0" fontId="4" fillId="0" borderId="16" xfId="0" applyFont="1" applyFill="1" applyBorder="1" applyAlignment="1">
      <alignment vertical="center"/>
    </xf>
    <xf numFmtId="184" fontId="4" fillId="0" borderId="79" xfId="1" applyNumberFormat="1" applyFont="1" applyFill="1" applyBorder="1" applyAlignment="1">
      <alignment vertical="center"/>
    </xf>
    <xf numFmtId="184" fontId="4" fillId="0" borderId="67" xfId="1" applyNumberFormat="1" applyFont="1" applyFill="1" applyBorder="1" applyAlignment="1">
      <alignment vertical="center"/>
    </xf>
    <xf numFmtId="0" fontId="4" fillId="0" borderId="25" xfId="0" applyFont="1" applyFill="1" applyBorder="1" applyAlignment="1">
      <alignment vertical="center"/>
    </xf>
    <xf numFmtId="184" fontId="4" fillId="0" borderId="0" xfId="0" applyNumberFormat="1" applyFont="1" applyFill="1"/>
    <xf numFmtId="3" fontId="4" fillId="0" borderId="0" xfId="0" applyNumberFormat="1" applyFont="1" applyFill="1"/>
    <xf numFmtId="0" fontId="4" fillId="0" borderId="13" xfId="0" applyFont="1" applyFill="1" applyBorder="1" applyAlignment="1">
      <alignment vertical="center"/>
    </xf>
    <xf numFmtId="184" fontId="33" fillId="0" borderId="68" xfId="1" applyNumberFormat="1" applyFont="1" applyFill="1" applyBorder="1" applyAlignment="1">
      <alignment vertical="center"/>
    </xf>
    <xf numFmtId="0" fontId="4" fillId="0" borderId="47" xfId="0" applyFont="1" applyFill="1" applyBorder="1" applyAlignment="1">
      <alignment vertical="center"/>
    </xf>
    <xf numFmtId="184" fontId="4" fillId="0" borderId="68" xfId="1" applyNumberFormat="1" applyFont="1" applyFill="1" applyBorder="1" applyAlignment="1">
      <alignment vertical="center"/>
    </xf>
    <xf numFmtId="184" fontId="4" fillId="0" borderId="80" xfId="1" applyNumberFormat="1" applyFont="1" applyFill="1" applyBorder="1" applyAlignment="1">
      <alignment vertical="center"/>
    </xf>
    <xf numFmtId="184" fontId="33" fillId="0" borderId="65" xfId="1" applyNumberFormat="1" applyFont="1" applyFill="1" applyBorder="1" applyAlignment="1">
      <alignment vertical="center"/>
    </xf>
    <xf numFmtId="184" fontId="33" fillId="0" borderId="0" xfId="1" applyNumberFormat="1" applyFont="1" applyFill="1" applyBorder="1" applyAlignment="1">
      <alignment vertical="center"/>
    </xf>
    <xf numFmtId="0" fontId="14" fillId="0" borderId="0" xfId="0" applyFont="1"/>
    <xf numFmtId="0" fontId="38" fillId="0" borderId="0" xfId="0" applyFont="1"/>
    <xf numFmtId="0" fontId="39" fillId="0" borderId="0" xfId="0" applyFont="1"/>
    <xf numFmtId="0" fontId="8" fillId="0" borderId="0" xfId="0" applyFont="1"/>
    <xf numFmtId="0" fontId="40" fillId="2" borderId="0" xfId="0" applyFont="1" applyFill="1"/>
    <xf numFmtId="0" fontId="41" fillId="2" borderId="0" xfId="0" applyFont="1" applyFill="1"/>
    <xf numFmtId="0" fontId="4" fillId="3" borderId="0" xfId="0" applyFont="1" applyFill="1"/>
    <xf numFmtId="0" fontId="8" fillId="0" borderId="47" xfId="0" applyFont="1" applyFill="1" applyBorder="1" applyAlignment="1">
      <alignment horizontal="right"/>
    </xf>
    <xf numFmtId="0" fontId="8" fillId="0" borderId="55" xfId="0" applyFont="1" applyFill="1" applyBorder="1"/>
    <xf numFmtId="0" fontId="8" fillId="0" borderId="47" xfId="0" applyFont="1" applyFill="1" applyBorder="1"/>
    <xf numFmtId="0" fontId="8" fillId="0" borderId="29" xfId="0" applyFont="1" applyFill="1" applyBorder="1" applyAlignment="1">
      <alignment vertical="center"/>
    </xf>
    <xf numFmtId="0" fontId="8" fillId="0" borderId="13" xfId="0" applyFont="1" applyFill="1" applyBorder="1" applyAlignment="1">
      <alignment vertical="center"/>
    </xf>
    <xf numFmtId="0" fontId="8" fillId="0" borderId="12" xfId="0" applyFont="1" applyFill="1" applyBorder="1" applyAlignment="1">
      <alignment vertical="center"/>
    </xf>
    <xf numFmtId="0" fontId="8" fillId="0" borderId="47" xfId="0" applyFont="1" applyFill="1" applyBorder="1" applyAlignment="1">
      <alignment vertical="center"/>
    </xf>
    <xf numFmtId="0" fontId="4" fillId="4" borderId="29" xfId="0" applyFont="1" applyFill="1" applyBorder="1"/>
    <xf numFmtId="0" fontId="4" fillId="0" borderId="29" xfId="0" applyFont="1" applyBorder="1"/>
    <xf numFmtId="0" fontId="4" fillId="0" borderId="47" xfId="0" applyFont="1" applyBorder="1"/>
    <xf numFmtId="0" fontId="4" fillId="3" borderId="29" xfId="0" applyFont="1" applyFill="1" applyBorder="1"/>
    <xf numFmtId="0" fontId="4" fillId="0" borderId="57" xfId="0" applyFont="1" applyBorder="1"/>
    <xf numFmtId="0" fontId="8" fillId="0" borderId="50" xfId="0" applyFont="1" applyFill="1" applyBorder="1" applyAlignment="1">
      <alignment horizontal="center" vertical="center"/>
    </xf>
    <xf numFmtId="0" fontId="8" fillId="0" borderId="70" xfId="0" applyFont="1" applyFill="1" applyBorder="1" applyAlignment="1">
      <alignment vertical="center"/>
    </xf>
    <xf numFmtId="0" fontId="8" fillId="0" borderId="3" xfId="0" applyFont="1" applyFill="1" applyBorder="1" applyAlignment="1">
      <alignment vertical="center"/>
    </xf>
    <xf numFmtId="0" fontId="8" fillId="0" borderId="19" xfId="0" applyFont="1" applyFill="1" applyBorder="1" applyAlignment="1">
      <alignment vertical="center"/>
    </xf>
    <xf numFmtId="0" fontId="8" fillId="0" borderId="50" xfId="0" applyFont="1" applyFill="1" applyBorder="1" applyAlignment="1">
      <alignment vertical="center"/>
    </xf>
    <xf numFmtId="0" fontId="8" fillId="0" borderId="59" xfId="0" applyFont="1" applyFill="1" applyBorder="1" applyAlignment="1">
      <alignment vertical="center"/>
    </xf>
    <xf numFmtId="0" fontId="4" fillId="4" borderId="59" xfId="0" applyFont="1" applyFill="1" applyBorder="1"/>
    <xf numFmtId="0" fontId="4" fillId="0" borderId="59" xfId="0" applyFont="1" applyBorder="1"/>
    <xf numFmtId="0" fontId="4" fillId="0" borderId="16" xfId="0" applyFont="1" applyBorder="1"/>
    <xf numFmtId="0" fontId="4" fillId="3" borderId="59" xfId="0" applyFont="1" applyFill="1" applyBorder="1"/>
    <xf numFmtId="0" fontId="4" fillId="0" borderId="19" xfId="0" applyFont="1" applyBorder="1"/>
    <xf numFmtId="0" fontId="8" fillId="0" borderId="19"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21" xfId="0" applyFont="1" applyFill="1" applyBorder="1" applyAlignment="1">
      <alignment vertical="center"/>
    </xf>
    <xf numFmtId="0" fontId="4" fillId="4" borderId="21" xfId="0" applyFont="1" applyFill="1" applyBorder="1"/>
    <xf numFmtId="0" fontId="4" fillId="0" borderId="21" xfId="0" applyFont="1" applyBorder="1"/>
    <xf numFmtId="0" fontId="4" fillId="0" borderId="22" xfId="0" applyFont="1" applyBorder="1"/>
    <xf numFmtId="0" fontId="4" fillId="3" borderId="21" xfId="0" applyFont="1" applyFill="1" applyBorder="1"/>
    <xf numFmtId="0" fontId="4" fillId="0" borderId="12" xfId="0" applyFont="1" applyBorder="1"/>
    <xf numFmtId="0" fontId="8" fillId="0" borderId="12" xfId="0" applyFont="1" applyFill="1" applyBorder="1" applyAlignment="1">
      <alignment horizontal="center" vertical="center"/>
    </xf>
    <xf numFmtId="0" fontId="4" fillId="0" borderId="48" xfId="0" applyFont="1" applyFill="1" applyBorder="1" applyAlignment="1">
      <alignment horizontal="center"/>
    </xf>
    <xf numFmtId="0" fontId="4" fillId="0" borderId="57" xfId="0" applyFont="1" applyFill="1" applyBorder="1"/>
    <xf numFmtId="0" fontId="4" fillId="4" borderId="57" xfId="0" applyFont="1" applyFill="1" applyBorder="1"/>
    <xf numFmtId="0" fontId="4" fillId="0" borderId="48" xfId="0" applyFont="1" applyBorder="1"/>
    <xf numFmtId="0" fontId="4" fillId="3" borderId="57" xfId="0" applyFont="1" applyFill="1" applyBorder="1"/>
    <xf numFmtId="0" fontId="4" fillId="0" borderId="40" xfId="0" applyFont="1" applyBorder="1"/>
    <xf numFmtId="0" fontId="4" fillId="0" borderId="40" xfId="0" applyFont="1" applyFill="1" applyBorder="1" applyAlignment="1">
      <alignment horizontal="center"/>
    </xf>
    <xf numFmtId="38" fontId="8" fillId="0" borderId="36" xfId="1" applyFont="1" applyFill="1" applyBorder="1" applyAlignment="1">
      <alignment vertical="center"/>
    </xf>
    <xf numFmtId="38" fontId="8" fillId="0" borderId="0" xfId="1" applyFont="1" applyFill="1" applyBorder="1" applyAlignment="1">
      <alignment vertical="center"/>
    </xf>
    <xf numFmtId="38" fontId="8" fillId="0" borderId="28" xfId="1" applyFont="1" applyFill="1" applyBorder="1" applyAlignment="1">
      <alignment vertical="center"/>
    </xf>
    <xf numFmtId="38" fontId="8" fillId="0" borderId="54" xfId="1" applyFont="1" applyFill="1" applyBorder="1" applyAlignment="1">
      <alignment vertical="center"/>
    </xf>
    <xf numFmtId="0" fontId="8" fillId="0" borderId="61" xfId="0" applyFont="1" applyFill="1" applyBorder="1" applyAlignment="1">
      <alignment vertical="center"/>
    </xf>
    <xf numFmtId="0" fontId="4" fillId="4" borderId="61" xfId="0" applyFont="1" applyFill="1" applyBorder="1"/>
    <xf numFmtId="0" fontId="43" fillId="3" borderId="61" xfId="0" applyFont="1" applyFill="1" applyBorder="1"/>
    <xf numFmtId="0" fontId="4" fillId="0" borderId="55" xfId="0" applyFont="1" applyBorder="1"/>
    <xf numFmtId="0" fontId="4" fillId="0" borderId="61" xfId="0" applyFont="1" applyBorder="1"/>
    <xf numFmtId="0" fontId="4" fillId="3" borderId="61" xfId="0" applyFont="1" applyFill="1" applyBorder="1"/>
    <xf numFmtId="0" fontId="4" fillId="0" borderId="28" xfId="0" applyFont="1" applyBorder="1"/>
    <xf numFmtId="38" fontId="8" fillId="0" borderId="29" xfId="1" applyFont="1" applyFill="1" applyBorder="1" applyAlignment="1">
      <alignment vertical="center"/>
    </xf>
    <xf numFmtId="38" fontId="8" fillId="0" borderId="13" xfId="1" applyFont="1" applyFill="1" applyBorder="1" applyAlignment="1">
      <alignment vertical="center"/>
    </xf>
    <xf numFmtId="38" fontId="8" fillId="0" borderId="12" xfId="1" applyFont="1" applyFill="1" applyBorder="1" applyAlignment="1">
      <alignment vertical="center"/>
    </xf>
    <xf numFmtId="38" fontId="8" fillId="0" borderId="47" xfId="1" applyFont="1" applyFill="1" applyBorder="1" applyAlignment="1">
      <alignment vertical="center"/>
    </xf>
    <xf numFmtId="0" fontId="43" fillId="0" borderId="21" xfId="0" applyFont="1" applyBorder="1"/>
    <xf numFmtId="0" fontId="4" fillId="0" borderId="26" xfId="0" applyFont="1" applyBorder="1"/>
    <xf numFmtId="0" fontId="8" fillId="0" borderId="26" xfId="0" applyFont="1" applyFill="1" applyBorder="1" applyAlignment="1">
      <alignment horizontal="center" vertical="center"/>
    </xf>
    <xf numFmtId="0" fontId="8" fillId="0" borderId="36" xfId="0" applyFont="1" applyFill="1" applyBorder="1" applyAlignment="1">
      <alignment horizontal="center" vertical="center"/>
    </xf>
    <xf numFmtId="38" fontId="12" fillId="0" borderId="13" xfId="1" applyFont="1" applyFill="1" applyBorder="1" applyAlignment="1">
      <alignment vertical="center"/>
    </xf>
    <xf numFmtId="38" fontId="12" fillId="0" borderId="12" xfId="1" applyFont="1" applyFill="1" applyBorder="1" applyAlignment="1">
      <alignment vertical="center"/>
    </xf>
    <xf numFmtId="0" fontId="43" fillId="0" borderId="61" xfId="0" applyFont="1" applyBorder="1"/>
    <xf numFmtId="0" fontId="8" fillId="0" borderId="28" xfId="0" applyFont="1" applyFill="1" applyBorder="1" applyAlignment="1">
      <alignment horizontal="center" vertical="center"/>
    </xf>
    <xf numFmtId="0" fontId="8" fillId="0" borderId="21" xfId="0" applyFont="1" applyFill="1" applyBorder="1" applyAlignment="1">
      <alignment horizontal="center" vertical="center"/>
    </xf>
    <xf numFmtId="38" fontId="12" fillId="0" borderId="25" xfId="1" applyFont="1" applyFill="1" applyBorder="1" applyAlignment="1">
      <alignment vertical="center"/>
    </xf>
    <xf numFmtId="38" fontId="4" fillId="0" borderId="21" xfId="0" applyNumberFormat="1" applyFont="1" applyBorder="1"/>
    <xf numFmtId="0" fontId="12" fillId="0" borderId="0" xfId="0" applyFont="1" applyFill="1"/>
    <xf numFmtId="183" fontId="4" fillId="0" borderId="15" xfId="0" applyNumberFormat="1" applyFont="1" applyFill="1" applyBorder="1" applyAlignment="1">
      <alignment vertical="center"/>
    </xf>
    <xf numFmtId="183" fontId="4" fillId="0" borderId="19" xfId="0" applyNumberFormat="1" applyFont="1" applyFill="1" applyBorder="1" applyAlignment="1">
      <alignment vertical="center"/>
    </xf>
    <xf numFmtId="183" fontId="4" fillId="0" borderId="50" xfId="0" applyNumberFormat="1" applyFont="1" applyFill="1" applyBorder="1" applyAlignment="1">
      <alignment vertical="center"/>
    </xf>
    <xf numFmtId="183" fontId="4" fillId="0" borderId="16" xfId="0" applyNumberFormat="1" applyFont="1" applyFill="1" applyBorder="1" applyAlignment="1">
      <alignment vertical="center"/>
    </xf>
    <xf numFmtId="183" fontId="4" fillId="0" borderId="16" xfId="0" applyNumberFormat="1" applyFont="1" applyFill="1" applyBorder="1" applyAlignment="1">
      <alignment horizontal="right" vertical="center"/>
    </xf>
    <xf numFmtId="0" fontId="0" fillId="0" borderId="18" xfId="0" applyFont="1" applyFill="1" applyBorder="1" applyAlignment="1">
      <alignment horizontal="center" vertical="center"/>
    </xf>
    <xf numFmtId="183" fontId="4" fillId="0" borderId="52" xfId="0" applyNumberFormat="1" applyFont="1" applyFill="1" applyBorder="1" applyAlignment="1">
      <alignment horizontal="center" vertical="center"/>
    </xf>
    <xf numFmtId="183" fontId="4" fillId="0" borderId="22" xfId="0" applyNumberFormat="1" applyFont="1" applyFill="1" applyBorder="1" applyAlignment="1">
      <alignment horizontal="right" vertical="center"/>
    </xf>
    <xf numFmtId="0" fontId="0" fillId="0" borderId="56" xfId="0" applyFont="1" applyFill="1" applyBorder="1" applyAlignment="1">
      <alignment horizontal="center" vertical="center"/>
    </xf>
    <xf numFmtId="183" fontId="4" fillId="0" borderId="12" xfId="1" applyNumberFormat="1" applyFont="1" applyFill="1" applyBorder="1" applyAlignment="1">
      <alignment horizontal="center" vertical="center"/>
    </xf>
    <xf numFmtId="183" fontId="4" fillId="0" borderId="13" xfId="1" applyNumberFormat="1" applyFont="1" applyFill="1" applyBorder="1" applyAlignment="1">
      <alignment horizontal="center" vertical="center"/>
    </xf>
    <xf numFmtId="183" fontId="4" fillId="0" borderId="22" xfId="0" applyNumberFormat="1" applyFont="1" applyFill="1" applyBorder="1" applyAlignment="1">
      <alignment horizontal="center" vertical="center"/>
    </xf>
    <xf numFmtId="183" fontId="4" fillId="0" borderId="26" xfId="0" applyNumberFormat="1" applyFont="1" applyFill="1" applyBorder="1" applyAlignment="1">
      <alignment vertical="center"/>
    </xf>
    <xf numFmtId="188" fontId="4" fillId="0" borderId="49" xfId="0" applyNumberFormat="1" applyFont="1" applyFill="1" applyBorder="1" applyAlignment="1">
      <alignment vertical="center"/>
    </xf>
    <xf numFmtId="188" fontId="4" fillId="0" borderId="48" xfId="0" applyNumberFormat="1" applyFont="1" applyFill="1" applyBorder="1" applyAlignment="1">
      <alignment vertical="center"/>
    </xf>
    <xf numFmtId="188" fontId="4" fillId="0" borderId="51" xfId="0" applyNumberFormat="1" applyFont="1" applyFill="1" applyBorder="1" applyAlignment="1">
      <alignment vertical="center"/>
    </xf>
    <xf numFmtId="185" fontId="4" fillId="0" borderId="31" xfId="0" applyNumberFormat="1" applyFont="1" applyFill="1" applyBorder="1" applyAlignment="1">
      <alignment horizontal="center" vertical="center"/>
    </xf>
    <xf numFmtId="0" fontId="12" fillId="0" borderId="0" xfId="0" applyFont="1" applyFill="1" applyBorder="1"/>
    <xf numFmtId="183" fontId="4" fillId="0" borderId="58" xfId="0" applyNumberFormat="1" applyFont="1" applyFill="1" applyBorder="1" applyAlignment="1">
      <alignment vertical="center"/>
    </xf>
    <xf numFmtId="183" fontId="4" fillId="0" borderId="18" xfId="0" applyNumberFormat="1" applyFont="1" applyFill="1" applyBorder="1" applyAlignment="1">
      <alignment vertical="center"/>
    </xf>
    <xf numFmtId="183" fontId="4" fillId="0" borderId="0" xfId="0" applyNumberFormat="1" applyFont="1" applyFill="1" applyBorder="1" applyAlignment="1">
      <alignment vertical="center"/>
    </xf>
    <xf numFmtId="0" fontId="0" fillId="0" borderId="61" xfId="0" applyBorder="1" applyAlignment="1">
      <alignment vertical="center" wrapText="1"/>
    </xf>
    <xf numFmtId="0" fontId="0" fillId="0" borderId="0" xfId="0" applyBorder="1" applyAlignment="1">
      <alignment vertical="center" wrapText="1"/>
    </xf>
    <xf numFmtId="183" fontId="33" fillId="0" borderId="58" xfId="0" applyNumberFormat="1" applyFont="1" applyFill="1" applyBorder="1" applyAlignment="1">
      <alignment vertical="center"/>
    </xf>
    <xf numFmtId="183" fontId="33" fillId="0" borderId="59" xfId="0" applyNumberFormat="1" applyFont="1" applyFill="1" applyBorder="1" applyAlignment="1">
      <alignment vertical="center"/>
    </xf>
    <xf numFmtId="183" fontId="33" fillId="0" borderId="18" xfId="0" applyNumberFormat="1" applyFont="1" applyFill="1" applyBorder="1" applyAlignment="1">
      <alignment vertical="center"/>
    </xf>
    <xf numFmtId="183" fontId="33" fillId="0" borderId="52" xfId="0" applyNumberFormat="1" applyFont="1" applyFill="1" applyBorder="1" applyAlignment="1">
      <alignment vertical="center"/>
    </xf>
    <xf numFmtId="183" fontId="33" fillId="0" borderId="29" xfId="0" applyNumberFormat="1" applyFont="1" applyFill="1" applyBorder="1" applyAlignment="1">
      <alignment vertical="center"/>
    </xf>
    <xf numFmtId="183" fontId="33" fillId="0" borderId="43" xfId="0" applyNumberFormat="1" applyFont="1" applyFill="1" applyBorder="1" applyAlignment="1">
      <alignment vertical="center"/>
    </xf>
    <xf numFmtId="0" fontId="0" fillId="0" borderId="1" xfId="0" applyBorder="1" applyAlignment="1">
      <alignment vertical="center" wrapText="1"/>
    </xf>
    <xf numFmtId="0" fontId="12" fillId="0" borderId="0" xfId="0" applyFont="1" applyFill="1" applyBorder="1" applyAlignment="1">
      <alignment horizontal="distributed" vertical="center"/>
    </xf>
    <xf numFmtId="183" fontId="33" fillId="0" borderId="0" xfId="0" applyNumberFormat="1" applyFont="1" applyFill="1" applyBorder="1" applyAlignment="1">
      <alignment vertical="center"/>
    </xf>
    <xf numFmtId="183" fontId="33" fillId="0" borderId="0" xfId="1" applyNumberFormat="1" applyFont="1" applyFill="1" applyBorder="1" applyAlignment="1">
      <alignment vertical="center"/>
    </xf>
    <xf numFmtId="0" fontId="44" fillId="0" borderId="64" xfId="0" applyFont="1" applyFill="1" applyBorder="1" applyAlignment="1">
      <alignment horizontal="right"/>
    </xf>
    <xf numFmtId="0" fontId="4" fillId="0" borderId="66" xfId="0" applyFont="1" applyFill="1" applyBorder="1"/>
    <xf numFmtId="0" fontId="25" fillId="0" borderId="27" xfId="0" applyFont="1" applyFill="1" applyBorder="1" applyAlignment="1">
      <alignment horizontal="distributed"/>
    </xf>
    <xf numFmtId="0" fontId="4" fillId="0" borderId="44" xfId="0" applyFont="1" applyFill="1" applyBorder="1" applyAlignment="1">
      <alignment horizontal="distributed" vertical="center"/>
    </xf>
    <xf numFmtId="38" fontId="4" fillId="0" borderId="58" xfId="1" applyFont="1" applyFill="1" applyBorder="1" applyAlignment="1">
      <alignment vertical="center"/>
    </xf>
    <xf numFmtId="38" fontId="4" fillId="0" borderId="16" xfId="1" applyFont="1" applyFill="1" applyBorder="1" applyAlignment="1">
      <alignment vertical="center"/>
    </xf>
    <xf numFmtId="38" fontId="4" fillId="0" borderId="18" xfId="1" applyFont="1" applyFill="1" applyBorder="1" applyAlignment="1">
      <alignment vertical="center"/>
    </xf>
    <xf numFmtId="38" fontId="4" fillId="0" borderId="35" xfId="1" applyFont="1" applyFill="1" applyBorder="1" applyAlignment="1">
      <alignment vertical="center"/>
    </xf>
    <xf numFmtId="38" fontId="4" fillId="0" borderId="62" xfId="1" applyFont="1" applyFill="1" applyBorder="1" applyAlignment="1">
      <alignment vertical="center"/>
    </xf>
    <xf numFmtId="38" fontId="4" fillId="0" borderId="22" xfId="1" applyFont="1" applyFill="1" applyBorder="1" applyAlignment="1">
      <alignment vertical="center"/>
    </xf>
    <xf numFmtId="38" fontId="4" fillId="0" borderId="24" xfId="1" applyFont="1" applyFill="1" applyBorder="1" applyAlignment="1">
      <alignment vertical="center"/>
    </xf>
    <xf numFmtId="38" fontId="4" fillId="0" borderId="26" xfId="1" applyFont="1" applyFill="1" applyBorder="1" applyAlignment="1">
      <alignment vertical="center"/>
    </xf>
    <xf numFmtId="0" fontId="4" fillId="0" borderId="42" xfId="0" applyFont="1" applyFill="1" applyBorder="1" applyAlignment="1">
      <alignment horizontal="distributed" vertical="center"/>
    </xf>
    <xf numFmtId="38" fontId="4" fillId="0" borderId="49" xfId="1" applyFont="1" applyFill="1" applyBorder="1" applyAlignment="1">
      <alignment vertical="center"/>
    </xf>
    <xf numFmtId="38" fontId="4" fillId="0" borderId="48" xfId="1" applyFont="1" applyFill="1" applyBorder="1" applyAlignment="1">
      <alignment vertical="center"/>
    </xf>
    <xf numFmtId="38" fontId="4" fillId="0" borderId="43" xfId="1" applyFont="1" applyFill="1" applyBorder="1" applyAlignment="1">
      <alignment vertical="center"/>
    </xf>
    <xf numFmtId="38" fontId="4" fillId="0" borderId="12" xfId="1" applyFont="1" applyFill="1" applyBorder="1" applyAlignment="1">
      <alignment vertical="center"/>
    </xf>
    <xf numFmtId="38" fontId="4" fillId="0" borderId="47" xfId="1" applyFont="1" applyFill="1" applyBorder="1" applyAlignment="1">
      <alignment vertical="center"/>
    </xf>
    <xf numFmtId="38" fontId="33" fillId="0" borderId="38" xfId="1" applyFont="1" applyFill="1" applyBorder="1" applyAlignment="1">
      <alignment vertical="center"/>
    </xf>
    <xf numFmtId="38" fontId="33" fillId="0" borderId="51" xfId="1" applyFont="1" applyFill="1" applyBorder="1" applyAlignment="1">
      <alignment vertical="center"/>
    </xf>
    <xf numFmtId="38" fontId="33" fillId="0" borderId="73" xfId="1" applyFont="1" applyFill="1" applyBorder="1" applyAlignment="1">
      <alignment vertical="center"/>
    </xf>
    <xf numFmtId="38" fontId="33" fillId="0" borderId="78" xfId="1" applyFont="1" applyFill="1" applyBorder="1" applyAlignment="1">
      <alignment vertical="center"/>
    </xf>
    <xf numFmtId="38" fontId="33" fillId="0" borderId="72" xfId="1" applyFont="1" applyFill="1" applyBorder="1" applyAlignment="1">
      <alignment vertical="center"/>
    </xf>
    <xf numFmtId="38" fontId="33" fillId="0" borderId="77" xfId="1" applyFont="1" applyFill="1" applyBorder="1" applyAlignment="1">
      <alignment vertical="center"/>
    </xf>
    <xf numFmtId="0" fontId="46" fillId="0" borderId="75" xfId="0" applyFont="1" applyFill="1" applyBorder="1" applyAlignment="1">
      <alignment horizontal="center" vertical="center"/>
    </xf>
    <xf numFmtId="176" fontId="4" fillId="0" borderId="79" xfId="0" applyNumberFormat="1" applyFont="1" applyFill="1" applyBorder="1" applyAlignment="1">
      <alignment vertical="center"/>
    </xf>
    <xf numFmtId="176" fontId="33" fillId="0" borderId="79" xfId="0" applyNumberFormat="1" applyFont="1" applyFill="1" applyBorder="1" applyAlignment="1">
      <alignment vertical="center"/>
    </xf>
    <xf numFmtId="176" fontId="4" fillId="0" borderId="67" xfId="0" applyNumberFormat="1" applyFont="1" applyFill="1" applyBorder="1" applyAlignment="1">
      <alignment vertical="center"/>
    </xf>
    <xf numFmtId="176" fontId="33" fillId="0" borderId="67" xfId="0" applyNumberFormat="1" applyFont="1" applyFill="1" applyBorder="1" applyAlignment="1">
      <alignment vertical="center"/>
    </xf>
    <xf numFmtId="176" fontId="4" fillId="0" borderId="68" xfId="0" applyNumberFormat="1" applyFont="1" applyFill="1" applyBorder="1" applyAlignment="1">
      <alignment vertical="center"/>
    </xf>
    <xf numFmtId="176" fontId="33" fillId="0" borderId="68" xfId="0" applyNumberFormat="1" applyFont="1" applyFill="1" applyBorder="1" applyAlignment="1">
      <alignment vertical="center"/>
    </xf>
    <xf numFmtId="0" fontId="4" fillId="0" borderId="3" xfId="0" applyFont="1" applyFill="1" applyBorder="1" applyAlignment="1">
      <alignment vertical="center"/>
    </xf>
    <xf numFmtId="176" fontId="4" fillId="0" borderId="80" xfId="0" applyNumberFormat="1" applyFont="1" applyFill="1" applyBorder="1" applyAlignment="1">
      <alignment vertical="center"/>
    </xf>
    <xf numFmtId="176" fontId="33" fillId="0" borderId="80" xfId="0" applyNumberFormat="1" applyFont="1" applyFill="1" applyBorder="1" applyAlignment="1">
      <alignment vertical="center"/>
    </xf>
    <xf numFmtId="176" fontId="33" fillId="0" borderId="80" xfId="1" applyNumberFormat="1" applyFont="1" applyFill="1" applyBorder="1" applyAlignment="1">
      <alignment vertical="center"/>
    </xf>
    <xf numFmtId="0" fontId="8" fillId="0" borderId="0" xfId="0" applyFont="1" applyFill="1" applyAlignment="1">
      <alignment horizontal="left"/>
    </xf>
    <xf numFmtId="0" fontId="27" fillId="0" borderId="3" xfId="0" applyFont="1" applyFill="1" applyBorder="1"/>
    <xf numFmtId="0" fontId="4" fillId="0" borderId="15" xfId="0" applyFont="1" applyFill="1" applyBorder="1" applyAlignment="1">
      <alignment horizontal="center"/>
    </xf>
    <xf numFmtId="0" fontId="4" fillId="0" borderId="70" xfId="0" applyFont="1" applyFill="1" applyBorder="1" applyAlignment="1">
      <alignment horizontal="center"/>
    </xf>
    <xf numFmtId="0" fontId="4" fillId="0" borderId="5" xfId="0" applyFont="1" applyFill="1" applyBorder="1" applyAlignment="1">
      <alignment horizontal="center"/>
    </xf>
    <xf numFmtId="0" fontId="4" fillId="0" borderId="4" xfId="0" applyFont="1" applyFill="1" applyBorder="1" applyAlignment="1">
      <alignment horizontal="center"/>
    </xf>
    <xf numFmtId="0" fontId="27" fillId="0" borderId="10" xfId="0" applyFont="1" applyFill="1" applyBorder="1"/>
    <xf numFmtId="0" fontId="4" fillId="0" borderId="20" xfId="0" applyFont="1" applyFill="1" applyBorder="1"/>
    <xf numFmtId="0" fontId="4" fillId="0" borderId="60" xfId="0" applyFont="1" applyFill="1" applyBorder="1"/>
    <xf numFmtId="183" fontId="4" fillId="0" borderId="70" xfId="0" applyNumberFormat="1" applyFont="1" applyFill="1" applyBorder="1" applyAlignment="1">
      <alignment vertical="center"/>
    </xf>
    <xf numFmtId="176" fontId="4" fillId="0" borderId="59" xfId="0" applyNumberFormat="1" applyFont="1" applyFill="1" applyBorder="1"/>
    <xf numFmtId="176" fontId="4" fillId="0" borderId="6" xfId="0" applyNumberFormat="1" applyFont="1" applyFill="1" applyBorder="1"/>
    <xf numFmtId="176" fontId="4" fillId="0" borderId="16" xfId="0" applyNumberFormat="1" applyFont="1" applyFill="1" applyBorder="1"/>
    <xf numFmtId="176" fontId="4" fillId="0" borderId="7" xfId="0" applyNumberFormat="1" applyFont="1" applyFill="1" applyBorder="1"/>
    <xf numFmtId="0" fontId="4" fillId="0" borderId="15" xfId="0" applyFont="1" applyFill="1" applyBorder="1"/>
    <xf numFmtId="0" fontId="33" fillId="0" borderId="7" xfId="0" applyFont="1" applyFill="1" applyBorder="1"/>
    <xf numFmtId="183" fontId="4" fillId="0" borderId="12" xfId="1" applyNumberFormat="1" applyFont="1" applyFill="1" applyBorder="1" applyAlignment="1">
      <alignment vertical="center"/>
    </xf>
    <xf numFmtId="176" fontId="4" fillId="0" borderId="61" xfId="0" applyNumberFormat="1" applyFont="1" applyFill="1" applyBorder="1"/>
    <xf numFmtId="176" fontId="4" fillId="0" borderId="37" xfId="0" applyNumberFormat="1" applyFont="1" applyFill="1" applyBorder="1"/>
    <xf numFmtId="176" fontId="4" fillId="0" borderId="55" xfId="0" applyNumberFormat="1" applyFont="1" applyFill="1" applyBorder="1"/>
    <xf numFmtId="176" fontId="4" fillId="0" borderId="46" xfId="0" applyNumberFormat="1" applyFont="1" applyFill="1" applyBorder="1"/>
    <xf numFmtId="0" fontId="4" fillId="0" borderId="52" xfId="0" applyFont="1" applyFill="1" applyBorder="1"/>
    <xf numFmtId="0" fontId="4" fillId="0" borderId="62" xfId="0" applyFont="1" applyFill="1" applyBorder="1"/>
    <xf numFmtId="0" fontId="33" fillId="0" borderId="27" xfId="0" applyFont="1" applyFill="1" applyBorder="1"/>
    <xf numFmtId="0" fontId="0" fillId="0" borderId="44" xfId="0" applyFont="1" applyFill="1" applyBorder="1" applyAlignment="1">
      <alignment horizontal="center" vertical="center"/>
    </xf>
    <xf numFmtId="183" fontId="4" fillId="0" borderId="29" xfId="1" applyNumberFormat="1" applyFont="1" applyFill="1" applyBorder="1" applyAlignment="1">
      <alignment horizontal="center" vertical="center"/>
    </xf>
    <xf numFmtId="183" fontId="4" fillId="0" borderId="47" xfId="1" applyNumberFormat="1" applyFont="1" applyFill="1" applyBorder="1" applyAlignment="1">
      <alignment horizontal="center" vertical="center"/>
    </xf>
    <xf numFmtId="176" fontId="4" fillId="0" borderId="61" xfId="0" applyNumberFormat="1" applyFont="1" applyFill="1" applyBorder="1" applyAlignment="1">
      <alignment horizontal="center"/>
    </xf>
    <xf numFmtId="176" fontId="4" fillId="0" borderId="21" xfId="0" applyNumberFormat="1" applyFont="1" applyFill="1" applyBorder="1"/>
    <xf numFmtId="176" fontId="4" fillId="0" borderId="25" xfId="0" applyNumberFormat="1" applyFont="1" applyFill="1" applyBorder="1"/>
    <xf numFmtId="176" fontId="4" fillId="0" borderId="22" xfId="0" applyNumberFormat="1" applyFont="1" applyFill="1" applyBorder="1"/>
    <xf numFmtId="176" fontId="4" fillId="0" borderId="27" xfId="0" applyNumberFormat="1" applyFont="1" applyFill="1" applyBorder="1"/>
    <xf numFmtId="189" fontId="4" fillId="0" borderId="49" xfId="0" applyNumberFormat="1" applyFont="1" applyFill="1" applyBorder="1" applyAlignment="1">
      <alignment vertical="center"/>
    </xf>
    <xf numFmtId="189" fontId="33" fillId="0" borderId="48" xfId="0" applyNumberFormat="1" applyFont="1" applyFill="1" applyBorder="1" applyAlignment="1">
      <alignment vertical="center"/>
    </xf>
    <xf numFmtId="189" fontId="4" fillId="0" borderId="57" xfId="0" applyNumberFormat="1" applyFont="1" applyFill="1" applyBorder="1" applyAlignment="1">
      <alignment vertical="center"/>
    </xf>
    <xf numFmtId="189" fontId="33" fillId="0" borderId="57" xfId="0" applyNumberFormat="1" applyFont="1" applyFill="1" applyBorder="1" applyAlignment="1">
      <alignment vertical="center"/>
    </xf>
    <xf numFmtId="189" fontId="33" fillId="0" borderId="32" xfId="0" applyNumberFormat="1" applyFont="1" applyFill="1" applyBorder="1" applyAlignment="1">
      <alignment vertical="center"/>
    </xf>
    <xf numFmtId="189" fontId="33" fillId="0" borderId="34" xfId="0" applyNumberFormat="1" applyFont="1" applyFill="1" applyBorder="1" applyAlignment="1">
      <alignment vertical="center"/>
    </xf>
    <xf numFmtId="0" fontId="4" fillId="0" borderId="49" xfId="0" applyFont="1" applyFill="1" applyBorder="1"/>
    <xf numFmtId="0" fontId="33" fillId="0" borderId="34" xfId="0" applyFont="1" applyFill="1" applyBorder="1"/>
    <xf numFmtId="0" fontId="4" fillId="0" borderId="78" xfId="0" applyFont="1" applyFill="1" applyBorder="1"/>
    <xf numFmtId="0" fontId="4" fillId="0" borderId="72" xfId="0" applyFont="1" applyFill="1" applyBorder="1"/>
    <xf numFmtId="0" fontId="4" fillId="0" borderId="80" xfId="0" applyFont="1" applyFill="1" applyBorder="1"/>
    <xf numFmtId="0" fontId="33" fillId="0" borderId="0" xfId="0" applyFont="1" applyFill="1" applyBorder="1"/>
    <xf numFmtId="0" fontId="27" fillId="0" borderId="3" xfId="0" applyFont="1" applyFill="1" applyBorder="1" applyAlignment="1">
      <alignment horizontal="right"/>
    </xf>
    <xf numFmtId="183" fontId="33" fillId="0" borderId="79" xfId="0" applyNumberFormat="1" applyFont="1" applyFill="1" applyBorder="1" applyAlignment="1">
      <alignment vertical="center"/>
    </xf>
    <xf numFmtId="183" fontId="33" fillId="0" borderId="67" xfId="0" applyNumberFormat="1" applyFont="1" applyFill="1" applyBorder="1" applyAlignment="1">
      <alignment vertical="center"/>
    </xf>
    <xf numFmtId="0" fontId="26" fillId="0" borderId="36" xfId="0" applyFont="1" applyFill="1" applyBorder="1" applyAlignment="1">
      <alignment horizontal="distributed" vertical="center"/>
    </xf>
    <xf numFmtId="0" fontId="26" fillId="0" borderId="61" xfId="0" applyFont="1" applyFill="1" applyBorder="1" applyAlignment="1">
      <alignment horizontal="distributed" vertical="center"/>
    </xf>
    <xf numFmtId="183" fontId="33" fillId="0" borderId="68" xfId="0" applyNumberFormat="1" applyFont="1" applyFill="1" applyBorder="1" applyAlignment="1">
      <alignment vertical="center"/>
    </xf>
    <xf numFmtId="0" fontId="26" fillId="0" borderId="39" xfId="0" applyFont="1" applyFill="1" applyBorder="1" applyAlignment="1">
      <alignment horizontal="distributed" vertical="center"/>
    </xf>
    <xf numFmtId="183" fontId="33" fillId="0" borderId="16" xfId="0" applyNumberFormat="1" applyFont="1" applyFill="1" applyBorder="1" applyAlignment="1">
      <alignment vertical="center"/>
    </xf>
    <xf numFmtId="183" fontId="33" fillId="0" borderId="47" xfId="0" applyNumberFormat="1" applyFont="1" applyFill="1" applyBorder="1" applyAlignment="1">
      <alignment vertical="center"/>
    </xf>
    <xf numFmtId="183" fontId="15" fillId="0" borderId="68" xfId="0" applyNumberFormat="1" applyFont="1" applyFill="1" applyBorder="1" applyAlignment="1">
      <alignment vertical="center"/>
    </xf>
    <xf numFmtId="0" fontId="32" fillId="0" borderId="64" xfId="0" applyFont="1" applyFill="1" applyBorder="1" applyAlignment="1">
      <alignment horizontal="right"/>
    </xf>
    <xf numFmtId="0" fontId="0" fillId="0" borderId="53" xfId="0" applyBorder="1" applyAlignment="1">
      <alignment horizontal="distributed" vertical="center"/>
    </xf>
    <xf numFmtId="0" fontId="32" fillId="0" borderId="65" xfId="0" applyFont="1" applyFill="1" applyBorder="1"/>
    <xf numFmtId="176" fontId="4" fillId="0" borderId="56" xfId="0" applyNumberFormat="1" applyFont="1" applyFill="1" applyBorder="1" applyAlignment="1">
      <alignment vertical="center"/>
    </xf>
    <xf numFmtId="176" fontId="4" fillId="0" borderId="55" xfId="0" applyNumberFormat="1" applyFont="1" applyFill="1" applyBorder="1" applyAlignment="1">
      <alignment vertical="center"/>
    </xf>
    <xf numFmtId="176" fontId="4" fillId="0" borderId="41"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20" xfId="0" applyNumberFormat="1" applyFont="1" applyFill="1" applyBorder="1" applyAlignment="1">
      <alignment vertical="center"/>
    </xf>
    <xf numFmtId="176" fontId="4" fillId="0" borderId="54" xfId="0" applyNumberFormat="1" applyFont="1" applyFill="1" applyBorder="1" applyAlignment="1">
      <alignment vertical="center"/>
    </xf>
    <xf numFmtId="176" fontId="4" fillId="0" borderId="60" xfId="0" applyNumberFormat="1" applyFont="1" applyFill="1" applyBorder="1" applyAlignment="1">
      <alignment vertical="center"/>
    </xf>
    <xf numFmtId="176" fontId="4" fillId="0" borderId="47" xfId="0" applyNumberFormat="1" applyFont="1" applyFill="1" applyBorder="1" applyAlignment="1">
      <alignment vertical="center"/>
    </xf>
    <xf numFmtId="176" fontId="33" fillId="0" borderId="78" xfId="0" applyNumberFormat="1" applyFont="1" applyFill="1" applyBorder="1" applyAlignment="1">
      <alignment vertical="center"/>
    </xf>
    <xf numFmtId="176" fontId="33" fillId="0" borderId="72" xfId="0" applyNumberFormat="1" applyFont="1" applyFill="1" applyBorder="1" applyAlignment="1">
      <alignment vertical="center"/>
    </xf>
    <xf numFmtId="176" fontId="33" fillId="0" borderId="73" xfId="0" applyNumberFormat="1" applyFont="1" applyFill="1" applyBorder="1" applyAlignment="1">
      <alignment vertical="center"/>
    </xf>
    <xf numFmtId="176" fontId="33" fillId="0" borderId="77" xfId="0" applyNumberFormat="1" applyFont="1" applyFill="1" applyBorder="1" applyAlignment="1">
      <alignment vertical="center"/>
    </xf>
    <xf numFmtId="0" fontId="4" fillId="0" borderId="0" xfId="0" applyFont="1" applyFill="1" applyBorder="1" applyAlignment="1">
      <alignment horizontal="left"/>
    </xf>
    <xf numFmtId="0" fontId="4" fillId="0" borderId="2" xfId="0" applyFont="1" applyFill="1" applyBorder="1" applyAlignment="1">
      <alignment horizontal="center"/>
    </xf>
    <xf numFmtId="0" fontId="4" fillId="0" borderId="79" xfId="0" applyFont="1" applyFill="1" applyBorder="1" applyAlignment="1">
      <alignment vertical="center"/>
    </xf>
    <xf numFmtId="0" fontId="4" fillId="0" borderId="10" xfId="0" applyFont="1" applyFill="1" applyBorder="1" applyAlignment="1">
      <alignment horizontal="center"/>
    </xf>
    <xf numFmtId="0" fontId="4" fillId="0" borderId="67" xfId="0" applyFont="1" applyFill="1" applyBorder="1" applyAlignment="1">
      <alignment vertical="center"/>
    </xf>
    <xf numFmtId="0" fontId="4" fillId="0" borderId="20" xfId="0" applyFont="1" applyFill="1" applyBorder="1" applyAlignment="1">
      <alignment horizontal="center"/>
    </xf>
    <xf numFmtId="0" fontId="4" fillId="0" borderId="68" xfId="0" applyFont="1" applyFill="1" applyBorder="1" applyAlignment="1">
      <alignment vertical="center"/>
    </xf>
    <xf numFmtId="0" fontId="4" fillId="0" borderId="80" xfId="0" applyFont="1" applyFill="1" applyBorder="1" applyAlignment="1">
      <alignment vertical="center"/>
    </xf>
    <xf numFmtId="0" fontId="33" fillId="0" borderId="80" xfId="0" applyFont="1" applyFill="1" applyBorder="1" applyAlignment="1">
      <alignment vertical="center"/>
    </xf>
    <xf numFmtId="0" fontId="27" fillId="0" borderId="4" xfId="0" applyFont="1" applyFill="1" applyBorder="1"/>
    <xf numFmtId="183" fontId="4" fillId="0" borderId="35" xfId="1" applyNumberFormat="1" applyFont="1" applyFill="1" applyBorder="1"/>
    <xf numFmtId="183" fontId="4" fillId="0" borderId="6" xfId="1" applyNumberFormat="1" applyFont="1" applyFill="1" applyBorder="1"/>
    <xf numFmtId="183" fontId="4" fillId="0" borderId="59" xfId="1" applyNumberFormat="1" applyFont="1" applyFill="1" applyBorder="1"/>
    <xf numFmtId="183" fontId="4" fillId="0" borderId="50" xfId="1" applyNumberFormat="1" applyFont="1" applyFill="1" applyBorder="1"/>
    <xf numFmtId="38" fontId="4" fillId="0" borderId="53" xfId="1" applyFont="1" applyFill="1" applyBorder="1"/>
    <xf numFmtId="0" fontId="4" fillId="0" borderId="63" xfId="0" applyFont="1" applyFill="1" applyBorder="1"/>
    <xf numFmtId="0" fontId="4" fillId="0" borderId="74" xfId="0" applyFont="1" applyFill="1" applyBorder="1"/>
    <xf numFmtId="183" fontId="4" fillId="0" borderId="26" xfId="1" applyNumberFormat="1" applyFont="1" applyFill="1" applyBorder="1"/>
    <xf numFmtId="183" fontId="4" fillId="0" borderId="21" xfId="1" applyNumberFormat="1" applyFont="1" applyFill="1" applyBorder="1"/>
    <xf numFmtId="183" fontId="4" fillId="0" borderId="22" xfId="1" applyNumberFormat="1" applyFont="1" applyFill="1" applyBorder="1"/>
    <xf numFmtId="183" fontId="4" fillId="0" borderId="12" xfId="1" applyNumberFormat="1" applyFont="1" applyFill="1" applyBorder="1"/>
    <xf numFmtId="183" fontId="4" fillId="0" borderId="13" xfId="1" applyNumberFormat="1" applyFont="1" applyFill="1" applyBorder="1"/>
    <xf numFmtId="183" fontId="4" fillId="0" borderId="29" xfId="1" applyNumberFormat="1" applyFont="1" applyFill="1" applyBorder="1"/>
    <xf numFmtId="183" fontId="4" fillId="0" borderId="54" xfId="1" applyNumberFormat="1" applyFont="1" applyFill="1" applyBorder="1"/>
    <xf numFmtId="0" fontId="0" fillId="0" borderId="8" xfId="0" applyFont="1" applyFill="1" applyBorder="1" applyAlignment="1">
      <alignment vertical="center" shrinkToFit="1"/>
    </xf>
    <xf numFmtId="183" fontId="4" fillId="0" borderId="40" xfId="1" applyNumberFormat="1" applyFont="1" applyFill="1" applyBorder="1" applyAlignment="1">
      <alignment horizontal="center"/>
    </xf>
    <xf numFmtId="183" fontId="4" fillId="0" borderId="32" xfId="1" applyNumberFormat="1" applyFont="1" applyFill="1" applyBorder="1" applyAlignment="1">
      <alignment horizontal="center"/>
    </xf>
    <xf numFmtId="183" fontId="4" fillId="0" borderId="57" xfId="1" applyNumberFormat="1" applyFont="1" applyFill="1" applyBorder="1" applyAlignment="1">
      <alignment horizontal="center"/>
    </xf>
    <xf numFmtId="183" fontId="4" fillId="0" borderId="57" xfId="1" applyNumberFormat="1" applyFont="1" applyFill="1" applyBorder="1"/>
    <xf numFmtId="183" fontId="4" fillId="0" borderId="48" xfId="1" applyNumberFormat="1" applyFont="1" applyFill="1" applyBorder="1"/>
    <xf numFmtId="183" fontId="4" fillId="0" borderId="77" xfId="0" applyNumberFormat="1" applyFont="1" applyFill="1" applyBorder="1"/>
    <xf numFmtId="183" fontId="4" fillId="0" borderId="76" xfId="0" applyNumberFormat="1" applyFont="1" applyFill="1" applyBorder="1"/>
    <xf numFmtId="183" fontId="4" fillId="0" borderId="74" xfId="0" applyNumberFormat="1" applyFont="1" applyFill="1" applyBorder="1"/>
    <xf numFmtId="183" fontId="4" fillId="0" borderId="72" xfId="0" applyNumberFormat="1" applyFont="1" applyFill="1" applyBorder="1"/>
    <xf numFmtId="183" fontId="4" fillId="0" borderId="73" xfId="0" applyNumberFormat="1" applyFont="1" applyFill="1" applyBorder="1"/>
    <xf numFmtId="190" fontId="4" fillId="0" borderId="0" xfId="0" applyNumberFormat="1" applyFont="1" applyFill="1" applyBorder="1" applyAlignment="1">
      <alignment horizontal="right" vertical="center"/>
    </xf>
    <xf numFmtId="176" fontId="4" fillId="0" borderId="19" xfId="0" applyNumberFormat="1" applyFont="1" applyFill="1" applyBorder="1"/>
    <xf numFmtId="176" fontId="4" fillId="0" borderId="3" xfId="0" applyNumberFormat="1" applyFont="1" applyFill="1" applyBorder="1"/>
    <xf numFmtId="176" fontId="4" fillId="0" borderId="70" xfId="0" applyNumberFormat="1" applyFont="1" applyFill="1" applyBorder="1"/>
    <xf numFmtId="176" fontId="4" fillId="0" borderId="4" xfId="0" applyNumberFormat="1" applyFont="1" applyFill="1" applyBorder="1"/>
    <xf numFmtId="176" fontId="4" fillId="0" borderId="26" xfId="0" applyNumberFormat="1" applyFont="1" applyFill="1" applyBorder="1"/>
    <xf numFmtId="176" fontId="4" fillId="0" borderId="28" xfId="0" applyNumberFormat="1" applyFont="1" applyFill="1" applyBorder="1"/>
    <xf numFmtId="176" fontId="4" fillId="0" borderId="0" xfId="0" applyNumberFormat="1" applyFont="1" applyFill="1" applyBorder="1"/>
    <xf numFmtId="176" fontId="4" fillId="0" borderId="36" xfId="0" applyNumberFormat="1" applyFont="1" applyFill="1" applyBorder="1"/>
    <xf numFmtId="176" fontId="4" fillId="0" borderId="53" xfId="0" applyNumberFormat="1" applyFont="1" applyFill="1" applyBorder="1"/>
    <xf numFmtId="0" fontId="0" fillId="0" borderId="38" xfId="0" applyFont="1" applyFill="1" applyBorder="1" applyAlignment="1">
      <alignment vertical="center" shrinkToFit="1"/>
    </xf>
    <xf numFmtId="183" fontId="4" fillId="0" borderId="34" xfId="1" applyNumberFormat="1" applyFont="1" applyFill="1" applyBorder="1"/>
    <xf numFmtId="176" fontId="4" fillId="0" borderId="77" xfId="0" applyNumberFormat="1" applyFont="1" applyFill="1" applyBorder="1"/>
    <xf numFmtId="176" fontId="4" fillId="0" borderId="76" xfId="0" applyNumberFormat="1" applyFont="1" applyFill="1" applyBorder="1"/>
    <xf numFmtId="176" fontId="4" fillId="0" borderId="74" xfId="0" applyNumberFormat="1" applyFont="1" applyFill="1" applyBorder="1"/>
    <xf numFmtId="176" fontId="4" fillId="0" borderId="75" xfId="0" applyNumberFormat="1" applyFont="1" applyFill="1" applyBorder="1"/>
    <xf numFmtId="0" fontId="0" fillId="0" borderId="0" xfId="0" applyBorder="1" applyAlignment="1">
      <alignment horizontal="center" vertical="center"/>
    </xf>
    <xf numFmtId="0" fontId="26" fillId="0" borderId="24" xfId="0" applyFont="1" applyFill="1" applyBorder="1" applyAlignment="1">
      <alignment horizontal="distributed" vertical="center"/>
    </xf>
    <xf numFmtId="183" fontId="33" fillId="0" borderId="69" xfId="0" applyNumberFormat="1" applyFont="1" applyFill="1" applyBorder="1" applyAlignment="1">
      <alignment vertical="center"/>
    </xf>
    <xf numFmtId="183" fontId="33" fillId="0" borderId="17" xfId="0" applyNumberFormat="1" applyFont="1" applyFill="1" applyBorder="1" applyAlignment="1">
      <alignment vertical="center"/>
    </xf>
    <xf numFmtId="183" fontId="33" fillId="0" borderId="35" xfId="0" applyNumberFormat="1" applyFont="1" applyFill="1" applyBorder="1" applyAlignment="1">
      <alignment vertical="center"/>
    </xf>
    <xf numFmtId="183" fontId="33" fillId="0" borderId="42" xfId="0" applyNumberFormat="1" applyFont="1" applyFill="1" applyBorder="1" applyAlignment="1">
      <alignment vertical="center"/>
    </xf>
    <xf numFmtId="183" fontId="33" fillId="0" borderId="12" xfId="0" applyNumberFormat="1" applyFont="1" applyFill="1" applyBorder="1" applyAlignment="1">
      <alignment vertical="center"/>
    </xf>
    <xf numFmtId="0" fontId="0" fillId="0" borderId="39" xfId="0" applyBorder="1" applyAlignment="1">
      <alignment horizontal="center" vertical="center"/>
    </xf>
    <xf numFmtId="183" fontId="4" fillId="0" borderId="56" xfId="0" applyNumberFormat="1" applyFont="1" applyFill="1" applyBorder="1" applyAlignment="1">
      <alignment vertical="center"/>
    </xf>
    <xf numFmtId="183" fontId="4" fillId="0" borderId="55" xfId="0" applyNumberFormat="1" applyFont="1" applyFill="1" applyBorder="1" applyAlignment="1">
      <alignment vertical="center"/>
    </xf>
    <xf numFmtId="183" fontId="33" fillId="0" borderId="71" xfId="0" applyNumberFormat="1" applyFont="1" applyFill="1" applyBorder="1" applyAlignment="1">
      <alignment vertical="center"/>
    </xf>
    <xf numFmtId="183" fontId="12" fillId="0" borderId="47" xfId="1" applyNumberFormat="1" applyFont="1" applyFill="1" applyBorder="1" applyAlignment="1">
      <alignment horizontal="right" vertical="center"/>
    </xf>
    <xf numFmtId="0" fontId="0" fillId="0" borderId="1" xfId="0" applyBorder="1" applyAlignment="1">
      <alignment horizontal="center" vertical="center"/>
    </xf>
    <xf numFmtId="183" fontId="4" fillId="0" borderId="45" xfId="0" applyNumberFormat="1" applyFont="1" applyFill="1" applyBorder="1" applyAlignment="1">
      <alignment vertical="center"/>
    </xf>
    <xf numFmtId="183" fontId="4" fillId="0" borderId="12" xfId="0" applyNumberFormat="1" applyFont="1" applyFill="1" applyBorder="1" applyAlignment="1">
      <alignment vertical="center"/>
    </xf>
    <xf numFmtId="183" fontId="33" fillId="0" borderId="78" xfId="0" applyNumberFormat="1" applyFont="1" applyFill="1" applyBorder="1" applyAlignment="1">
      <alignment vertical="center"/>
    </xf>
    <xf numFmtId="183" fontId="33" fillId="0" borderId="72" xfId="0" applyNumberFormat="1" applyFont="1" applyFill="1" applyBorder="1" applyAlignment="1">
      <alignment vertical="center"/>
    </xf>
    <xf numFmtId="183" fontId="33" fillId="0" borderId="73" xfId="0" applyNumberFormat="1" applyFont="1" applyFill="1" applyBorder="1" applyAlignment="1">
      <alignment vertical="center"/>
    </xf>
    <xf numFmtId="183" fontId="33" fillId="0" borderId="77" xfId="0" applyNumberFormat="1" applyFont="1" applyFill="1" applyBorder="1" applyAlignment="1">
      <alignment vertical="center"/>
    </xf>
    <xf numFmtId="0" fontId="46" fillId="0" borderId="4" xfId="0" applyFont="1" applyFill="1" applyBorder="1" applyAlignment="1">
      <alignment horizontal="center" vertical="center"/>
    </xf>
    <xf numFmtId="38" fontId="4" fillId="0" borderId="80" xfId="1" applyFont="1" applyFill="1" applyBorder="1" applyAlignment="1">
      <alignment vertical="center"/>
    </xf>
    <xf numFmtId="38" fontId="33" fillId="0" borderId="80" xfId="1" applyFont="1" applyFill="1" applyBorder="1" applyAlignment="1">
      <alignment vertical="center"/>
    </xf>
    <xf numFmtId="0" fontId="15" fillId="0" borderId="0" xfId="0" applyFont="1" applyFill="1"/>
    <xf numFmtId="0" fontId="49" fillId="0" borderId="0" xfId="0" applyFont="1" applyFill="1"/>
    <xf numFmtId="0" fontId="4" fillId="0" borderId="71" xfId="0" applyFont="1" applyFill="1" applyBorder="1"/>
    <xf numFmtId="183" fontId="4" fillId="0" borderId="25" xfId="0" applyNumberFormat="1" applyFont="1" applyFill="1" applyBorder="1" applyAlignment="1">
      <alignment vertical="center"/>
    </xf>
    <xf numFmtId="183" fontId="4" fillId="0" borderId="25" xfId="1" applyNumberFormat="1" applyFont="1" applyFill="1" applyBorder="1" applyAlignment="1">
      <alignment horizontal="center" vertical="center"/>
    </xf>
    <xf numFmtId="183" fontId="4" fillId="0" borderId="21" xfId="0" applyNumberFormat="1" applyFont="1" applyFill="1" applyBorder="1" applyAlignment="1">
      <alignment horizontal="center" vertical="center"/>
    </xf>
    <xf numFmtId="183" fontId="4" fillId="0" borderId="25" xfId="0" applyNumberFormat="1" applyFont="1" applyFill="1" applyBorder="1" applyAlignment="1">
      <alignment horizontal="center" vertical="center"/>
    </xf>
    <xf numFmtId="190" fontId="4" fillId="0" borderId="49" xfId="0" applyNumberFormat="1" applyFont="1" applyFill="1" applyBorder="1" applyAlignment="1">
      <alignment vertical="center"/>
    </xf>
    <xf numFmtId="190" fontId="4" fillId="0" borderId="57" xfId="0" applyNumberFormat="1" applyFont="1" applyFill="1" applyBorder="1" applyAlignment="1">
      <alignment vertical="center"/>
    </xf>
    <xf numFmtId="190" fontId="33" fillId="0" borderId="48" xfId="0" applyNumberFormat="1" applyFont="1" applyFill="1" applyBorder="1" applyAlignment="1">
      <alignment vertical="center"/>
    </xf>
    <xf numFmtId="190" fontId="33" fillId="0" borderId="57" xfId="0" applyNumberFormat="1" applyFont="1" applyFill="1" applyBorder="1" applyAlignment="1">
      <alignment vertical="center"/>
    </xf>
    <xf numFmtId="190" fontId="33" fillId="0" borderId="32" xfId="0" applyNumberFormat="1" applyFont="1" applyFill="1" applyBorder="1" applyAlignment="1">
      <alignment vertical="center"/>
    </xf>
    <xf numFmtId="190" fontId="33" fillId="0" borderId="31" xfId="0" applyNumberFormat="1" applyFont="1" applyFill="1" applyBorder="1" applyAlignment="1">
      <alignment vertical="center"/>
    </xf>
    <xf numFmtId="0" fontId="26" fillId="0" borderId="2" xfId="0" applyFont="1" applyFill="1" applyBorder="1"/>
    <xf numFmtId="0" fontId="26" fillId="0" borderId="8" xfId="0" applyFont="1" applyFill="1" applyBorder="1"/>
    <xf numFmtId="0" fontId="27" fillId="0" borderId="1" xfId="0" applyFont="1" applyFill="1" applyBorder="1"/>
    <xf numFmtId="0" fontId="4" fillId="0" borderId="75" xfId="0" applyFont="1" applyFill="1" applyBorder="1" applyAlignment="1">
      <alignment vertical="center"/>
    </xf>
    <xf numFmtId="0" fontId="4" fillId="0" borderId="55" xfId="0" applyFont="1" applyFill="1" applyBorder="1" applyAlignment="1">
      <alignment vertical="center"/>
    </xf>
    <xf numFmtId="0" fontId="4" fillId="0" borderId="37" xfId="0" applyFont="1" applyFill="1" applyBorder="1" applyAlignment="1">
      <alignment vertical="center"/>
    </xf>
    <xf numFmtId="0" fontId="4" fillId="0" borderId="36" xfId="0" applyFont="1" applyFill="1" applyBorder="1" applyAlignment="1">
      <alignment horizontal="center" vertical="center"/>
    </xf>
    <xf numFmtId="0" fontId="4" fillId="0" borderId="36" xfId="0" applyFont="1" applyFill="1" applyBorder="1" applyAlignment="1">
      <alignment vertical="center"/>
    </xf>
    <xf numFmtId="0" fontId="4" fillId="0" borderId="30" xfId="0" applyFont="1" applyFill="1" applyBorder="1" applyAlignment="1">
      <alignment vertical="center"/>
    </xf>
    <xf numFmtId="0" fontId="4" fillId="0" borderId="32" xfId="0" applyFont="1" applyFill="1" applyBorder="1" applyAlignment="1">
      <alignment vertical="center"/>
    </xf>
    <xf numFmtId="0" fontId="50" fillId="0" borderId="0" xfId="0" applyFont="1" applyFill="1" applyAlignment="1">
      <alignment shrinkToFit="1"/>
    </xf>
    <xf numFmtId="183" fontId="33" fillId="0" borderId="5" xfId="1" applyNumberFormat="1" applyFont="1" applyFill="1" applyBorder="1" applyAlignment="1">
      <alignment vertical="center"/>
    </xf>
    <xf numFmtId="183" fontId="33" fillId="0" borderId="24" xfId="1" applyNumberFormat="1" applyFont="1" applyFill="1" applyBorder="1" applyAlignment="1">
      <alignment vertical="center"/>
    </xf>
    <xf numFmtId="183" fontId="33" fillId="0" borderId="60" xfId="1" applyNumberFormat="1" applyFont="1" applyFill="1" applyBorder="1" applyAlignment="1">
      <alignment vertical="center"/>
    </xf>
    <xf numFmtId="0" fontId="0" fillId="0" borderId="8" xfId="0" applyFont="1" applyFill="1" applyBorder="1" applyAlignment="1">
      <alignment horizontal="center" vertical="center" wrapText="1"/>
    </xf>
    <xf numFmtId="183" fontId="33" fillId="0" borderId="31" xfId="1" applyNumberFormat="1" applyFont="1" applyFill="1" applyBorder="1" applyAlignment="1">
      <alignment vertical="center"/>
    </xf>
    <xf numFmtId="0" fontId="12" fillId="0" borderId="0" xfId="0" applyFont="1" applyFill="1" applyBorder="1" applyAlignment="1">
      <alignment vertical="center"/>
    </xf>
    <xf numFmtId="0" fontId="6" fillId="0" borderId="2" xfId="0" applyFont="1" applyFill="1" applyBorder="1" applyAlignment="1">
      <alignment horizontal="right" vertical="center"/>
    </xf>
    <xf numFmtId="0" fontId="0" fillId="0" borderId="4" xfId="0" applyFont="1" applyFill="1" applyBorder="1" applyAlignment="1">
      <alignment horizontal="right" vertical="center"/>
    </xf>
    <xf numFmtId="0" fontId="6" fillId="0" borderId="10" xfId="0" applyFont="1" applyFill="1" applyBorder="1" applyAlignment="1">
      <alignment horizontal="right" vertical="center"/>
    </xf>
    <xf numFmtId="0" fontId="0" fillId="0" borderId="7" xfId="0" applyFont="1" applyFill="1" applyBorder="1" applyAlignment="1">
      <alignment horizontal="right" vertical="center"/>
    </xf>
    <xf numFmtId="0" fontId="6" fillId="0" borderId="10" xfId="0" applyFont="1" applyFill="1" applyBorder="1" applyAlignment="1">
      <alignment vertical="center"/>
    </xf>
    <xf numFmtId="0" fontId="4" fillId="0" borderId="14" xfId="0" applyFont="1" applyFill="1" applyBorder="1" applyAlignment="1">
      <alignment vertical="center"/>
    </xf>
    <xf numFmtId="0" fontId="6" fillId="0" borderId="8" xfId="0" applyFont="1" applyFill="1" applyBorder="1" applyAlignment="1">
      <alignment vertical="center"/>
    </xf>
    <xf numFmtId="0" fontId="33" fillId="0" borderId="20" xfId="0" applyFont="1" applyFill="1" applyBorder="1" applyAlignment="1">
      <alignment vertical="center"/>
    </xf>
    <xf numFmtId="0" fontId="6" fillId="0" borderId="29" xfId="0" applyFont="1" applyFill="1" applyBorder="1" applyAlignment="1">
      <alignment horizontal="distributed" vertical="center"/>
    </xf>
    <xf numFmtId="0" fontId="6" fillId="0" borderId="47" xfId="0" applyFont="1" applyFill="1" applyBorder="1" applyAlignment="1">
      <alignment horizontal="distributed" vertical="center"/>
    </xf>
    <xf numFmtId="0" fontId="6" fillId="0" borderId="43" xfId="0" applyFont="1" applyFill="1" applyBorder="1" applyAlignment="1">
      <alignment horizontal="distributed" vertical="center"/>
    </xf>
    <xf numFmtId="183" fontId="33" fillId="0" borderId="62" xfId="0" applyNumberFormat="1" applyFont="1" applyFill="1" applyBorder="1" applyAlignment="1">
      <alignment vertical="center"/>
    </xf>
    <xf numFmtId="183" fontId="33" fillId="0" borderId="26" xfId="0" applyNumberFormat="1" applyFont="1" applyFill="1" applyBorder="1" applyAlignment="1">
      <alignment vertical="center"/>
    </xf>
    <xf numFmtId="183" fontId="33" fillId="0" borderId="49" xfId="0" applyNumberFormat="1" applyFont="1" applyFill="1" applyBorder="1" applyAlignment="1">
      <alignment vertical="center"/>
    </xf>
    <xf numFmtId="183" fontId="33" fillId="0" borderId="40" xfId="0" applyNumberFormat="1" applyFont="1" applyFill="1" applyBorder="1" applyAlignment="1">
      <alignment vertical="center"/>
    </xf>
    <xf numFmtId="0" fontId="4" fillId="0" borderId="80" xfId="0" applyFont="1" applyFill="1" applyBorder="1" applyAlignment="1">
      <alignment horizontal="distributed" vertical="center"/>
    </xf>
    <xf numFmtId="183" fontId="33" fillId="0" borderId="33" xfId="1" applyNumberFormat="1" applyFont="1" applyFill="1" applyBorder="1" applyAlignment="1">
      <alignment vertical="center"/>
    </xf>
    <xf numFmtId="183" fontId="33" fillId="0" borderId="1" xfId="1" applyNumberFormat="1" applyFont="1" applyFill="1" applyBorder="1" applyAlignment="1">
      <alignment vertical="center"/>
    </xf>
    <xf numFmtId="183" fontId="33" fillId="0" borderId="38" xfId="1" applyNumberFormat="1" applyFont="1" applyFill="1" applyBorder="1" applyAlignment="1">
      <alignment vertical="center"/>
    </xf>
    <xf numFmtId="183" fontId="33" fillId="0" borderId="9" xfId="1" applyNumberFormat="1" applyFont="1" applyFill="1" applyBorder="1" applyAlignment="1">
      <alignment vertical="center"/>
    </xf>
    <xf numFmtId="183" fontId="33" fillId="0" borderId="78" xfId="1" applyNumberFormat="1" applyFont="1" applyFill="1" applyBorder="1" applyAlignment="1">
      <alignment vertical="center"/>
    </xf>
    <xf numFmtId="183" fontId="33" fillId="0" borderId="77" xfId="1" applyNumberFormat="1" applyFont="1" applyFill="1" applyBorder="1" applyAlignment="1">
      <alignment vertical="center"/>
    </xf>
    <xf numFmtId="183" fontId="33" fillId="0" borderId="75" xfId="1" applyNumberFormat="1" applyFont="1" applyFill="1" applyBorder="1" applyAlignment="1">
      <alignment vertical="center"/>
    </xf>
    <xf numFmtId="0" fontId="27" fillId="0" borderId="0" xfId="0" applyFont="1" applyFill="1" applyBorder="1" applyAlignment="1">
      <alignment horizontal="right" vertical="center"/>
    </xf>
    <xf numFmtId="0" fontId="27" fillId="0" borderId="8" xfId="0" applyFont="1" applyFill="1" applyBorder="1" applyAlignment="1">
      <alignment vertical="center"/>
    </xf>
    <xf numFmtId="0" fontId="6" fillId="0" borderId="57" xfId="0" applyFont="1" applyFill="1" applyBorder="1" applyAlignment="1">
      <alignment horizontal="distributed" vertical="center"/>
    </xf>
    <xf numFmtId="0" fontId="6" fillId="0" borderId="48" xfId="0" applyFont="1" applyFill="1" applyBorder="1" applyAlignment="1">
      <alignment horizontal="distributed" vertical="center"/>
    </xf>
    <xf numFmtId="0" fontId="6" fillId="0" borderId="31" xfId="0" applyFont="1" applyFill="1" applyBorder="1" applyAlignment="1">
      <alignment horizontal="distributed" vertical="center"/>
    </xf>
    <xf numFmtId="176" fontId="33" fillId="0" borderId="56" xfId="0" applyNumberFormat="1" applyFont="1" applyFill="1" applyBorder="1" applyAlignment="1">
      <alignment vertical="center"/>
    </xf>
    <xf numFmtId="176" fontId="4" fillId="0" borderId="61" xfId="0" applyNumberFormat="1" applyFont="1" applyFill="1" applyBorder="1" applyAlignment="1">
      <alignment vertical="center"/>
    </xf>
    <xf numFmtId="176" fontId="33" fillId="0" borderId="41" xfId="0" applyNumberFormat="1" applyFont="1" applyFill="1" applyBorder="1" applyAlignment="1">
      <alignment vertical="center"/>
    </xf>
    <xf numFmtId="176" fontId="4" fillId="0" borderId="21" xfId="0" applyNumberFormat="1" applyFont="1" applyFill="1" applyBorder="1" applyAlignment="1">
      <alignment vertical="center"/>
    </xf>
    <xf numFmtId="176" fontId="33" fillId="0" borderId="20" xfId="0" applyNumberFormat="1" applyFont="1" applyFill="1" applyBorder="1" applyAlignment="1">
      <alignment vertical="center"/>
    </xf>
    <xf numFmtId="176" fontId="4" fillId="0" borderId="29" xfId="0" applyNumberFormat="1" applyFont="1" applyFill="1" applyBorder="1" applyAlignment="1">
      <alignment vertical="center"/>
    </xf>
    <xf numFmtId="176" fontId="33" fillId="0" borderId="28" xfId="0" applyNumberFormat="1" applyFont="1" applyFill="1" applyBorder="1" applyAlignment="1">
      <alignment vertical="center"/>
    </xf>
    <xf numFmtId="176" fontId="33" fillId="0" borderId="58" xfId="1" applyNumberFormat="1" applyFont="1" applyFill="1" applyBorder="1" applyAlignment="1">
      <alignment vertical="center"/>
    </xf>
    <xf numFmtId="176" fontId="33" fillId="0" borderId="59" xfId="1" applyNumberFormat="1" applyFont="1" applyFill="1" applyBorder="1" applyAlignment="1">
      <alignment vertical="center"/>
    </xf>
    <xf numFmtId="176" fontId="33" fillId="0" borderId="18" xfId="1" applyNumberFormat="1" applyFont="1" applyFill="1" applyBorder="1" applyAlignment="1">
      <alignment vertical="center"/>
    </xf>
    <xf numFmtId="176" fontId="33" fillId="0" borderId="35" xfId="1" applyNumberFormat="1" applyFont="1" applyFill="1" applyBorder="1" applyAlignment="1">
      <alignment vertical="center"/>
    </xf>
    <xf numFmtId="176" fontId="33" fillId="0" borderId="62" xfId="1" applyNumberFormat="1" applyFont="1" applyFill="1" applyBorder="1" applyAlignment="1">
      <alignment vertical="center"/>
    </xf>
    <xf numFmtId="176" fontId="33" fillId="0" borderId="21" xfId="1" applyNumberFormat="1" applyFont="1" applyFill="1" applyBorder="1" applyAlignment="1">
      <alignment vertical="center"/>
    </xf>
    <xf numFmtId="176" fontId="33" fillId="0" borderId="24" xfId="1" applyNumberFormat="1" applyFont="1" applyFill="1" applyBorder="1" applyAlignment="1">
      <alignment vertical="center"/>
    </xf>
    <xf numFmtId="176" fontId="33" fillId="0" borderId="26" xfId="1" applyNumberFormat="1" applyFont="1" applyFill="1" applyBorder="1" applyAlignment="1">
      <alignment vertical="center"/>
    </xf>
    <xf numFmtId="176" fontId="33" fillId="0" borderId="49" xfId="1" applyNumberFormat="1" applyFont="1" applyFill="1" applyBorder="1" applyAlignment="1">
      <alignment vertical="center"/>
    </xf>
    <xf numFmtId="176" fontId="33" fillId="0" borderId="57" xfId="1" applyNumberFormat="1" applyFont="1" applyFill="1" applyBorder="1" applyAlignment="1">
      <alignment vertical="center"/>
    </xf>
    <xf numFmtId="176" fontId="33" fillId="0" borderId="31" xfId="1" applyNumberFormat="1" applyFont="1" applyFill="1" applyBorder="1" applyAlignment="1">
      <alignment vertical="center"/>
    </xf>
    <xf numFmtId="176" fontId="33" fillId="0" borderId="40" xfId="1" applyNumberFormat="1" applyFont="1" applyFill="1" applyBorder="1" applyAlignment="1">
      <alignment vertical="center"/>
    </xf>
    <xf numFmtId="0" fontId="4" fillId="0" borderId="3" xfId="0" applyFont="1" applyFill="1" applyBorder="1" applyAlignment="1">
      <alignment vertical="top" wrapText="1"/>
    </xf>
    <xf numFmtId="0" fontId="8" fillId="0" borderId="65" xfId="0" applyFont="1" applyFill="1" applyBorder="1"/>
    <xf numFmtId="0" fontId="0" fillId="0" borderId="65" xfId="0" applyBorder="1" applyAlignment="1">
      <alignment shrinkToFit="1"/>
    </xf>
    <xf numFmtId="183" fontId="4" fillId="0" borderId="15" xfId="1" applyNumberFormat="1" applyFont="1" applyFill="1" applyBorder="1" applyAlignment="1">
      <alignment vertical="center"/>
    </xf>
    <xf numFmtId="183" fontId="4" fillId="0" borderId="3" xfId="1" applyNumberFormat="1" applyFont="1" applyFill="1" applyBorder="1" applyAlignment="1">
      <alignment vertical="center"/>
    </xf>
    <xf numFmtId="183" fontId="4" fillId="0" borderId="70" xfId="1" applyNumberFormat="1" applyFont="1" applyFill="1" applyBorder="1" applyAlignment="1">
      <alignment vertical="center"/>
    </xf>
    <xf numFmtId="183" fontId="4" fillId="0" borderId="50" xfId="1" applyNumberFormat="1" applyFont="1" applyFill="1" applyBorder="1" applyAlignment="1">
      <alignment vertical="center"/>
    </xf>
    <xf numFmtId="183" fontId="4" fillId="0" borderId="6" xfId="0" applyNumberFormat="1" applyFont="1" applyFill="1" applyBorder="1" applyAlignment="1">
      <alignment vertical="center"/>
    </xf>
    <xf numFmtId="0" fontId="26" fillId="0" borderId="56" xfId="0" applyFont="1" applyFill="1" applyBorder="1" applyAlignment="1">
      <alignment horizontal="center" vertical="center" wrapText="1"/>
    </xf>
    <xf numFmtId="183" fontId="4" fillId="0" borderId="23" xfId="1" applyNumberFormat="1" applyFont="1" applyFill="1" applyBorder="1" applyAlignment="1">
      <alignment horizontal="center" vertical="center"/>
    </xf>
    <xf numFmtId="188" fontId="4" fillId="0" borderId="57" xfId="0" applyNumberFormat="1" applyFont="1" applyFill="1" applyBorder="1" applyAlignment="1">
      <alignment vertical="center"/>
    </xf>
    <xf numFmtId="188" fontId="33" fillId="0" borderId="48" xfId="0" applyNumberFormat="1" applyFont="1" applyFill="1" applyBorder="1" applyAlignment="1">
      <alignment vertical="center"/>
    </xf>
    <xf numFmtId="188" fontId="33" fillId="0" borderId="57" xfId="0" applyNumberFormat="1" applyFont="1" applyFill="1" applyBorder="1" applyAlignment="1">
      <alignment vertical="center"/>
    </xf>
    <xf numFmtId="188" fontId="33" fillId="0" borderId="32" xfId="0" applyNumberFormat="1" applyFont="1" applyFill="1" applyBorder="1" applyAlignment="1">
      <alignment vertical="center"/>
    </xf>
    <xf numFmtId="188" fontId="33" fillId="0" borderId="31" xfId="0" applyNumberFormat="1" applyFont="1" applyFill="1" applyBorder="1" applyAlignment="1">
      <alignment vertical="center"/>
    </xf>
    <xf numFmtId="0" fontId="4" fillId="0" borderId="77"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3" xfId="0" applyFont="1" applyFill="1" applyBorder="1" applyAlignment="1">
      <alignment horizontal="center" vertical="center"/>
    </xf>
    <xf numFmtId="183" fontId="33" fillId="0" borderId="18" xfId="1" applyNumberFormat="1" applyFont="1" applyFill="1" applyBorder="1" applyAlignment="1">
      <alignment vertical="center"/>
    </xf>
    <xf numFmtId="183" fontId="33" fillId="0" borderId="45" xfId="1" applyNumberFormat="1" applyFont="1" applyFill="1" applyBorder="1" applyAlignment="1">
      <alignment vertical="center"/>
    </xf>
    <xf numFmtId="0" fontId="26" fillId="0" borderId="38" xfId="0" applyFont="1" applyFill="1" applyBorder="1" applyAlignment="1">
      <alignment vertical="center" shrinkToFit="1"/>
    </xf>
    <xf numFmtId="0" fontId="26" fillId="0" borderId="34" xfId="0" applyFont="1" applyFill="1" applyBorder="1" applyAlignment="1">
      <alignment vertical="center" shrinkToFit="1"/>
    </xf>
    <xf numFmtId="0" fontId="4" fillId="0" borderId="2" xfId="0" applyFont="1" applyFill="1" applyBorder="1" applyAlignment="1">
      <alignment horizontal="right" vertical="center"/>
    </xf>
    <xf numFmtId="183" fontId="4" fillId="0" borderId="20" xfId="1" applyNumberFormat="1" applyFont="1" applyFill="1" applyBorder="1" applyAlignment="1">
      <alignment vertical="center" shrinkToFit="1"/>
    </xf>
    <xf numFmtId="183" fontId="4" fillId="0" borderId="36" xfId="1" applyNumberFormat="1" applyFont="1" applyFill="1" applyBorder="1" applyAlignment="1">
      <alignment vertical="center" shrinkToFit="1"/>
    </xf>
    <xf numFmtId="183" fontId="4" fillId="0" borderId="0" xfId="1" applyNumberFormat="1" applyFont="1" applyFill="1" applyBorder="1" applyAlignment="1">
      <alignment vertical="center" shrinkToFit="1"/>
    </xf>
    <xf numFmtId="183" fontId="4" fillId="0" borderId="61" xfId="1" applyNumberFormat="1" applyFont="1" applyFill="1" applyBorder="1" applyAlignment="1">
      <alignment vertical="center" shrinkToFit="1"/>
    </xf>
    <xf numFmtId="183" fontId="4" fillId="0" borderId="54" xfId="1" applyNumberFormat="1" applyFont="1" applyFill="1" applyBorder="1" applyAlignment="1">
      <alignment vertical="center" shrinkToFit="1"/>
    </xf>
    <xf numFmtId="183" fontId="4" fillId="0" borderId="55" xfId="0" applyNumberFormat="1" applyFont="1" applyFill="1" applyBorder="1" applyAlignment="1">
      <alignment vertical="center" shrinkToFit="1"/>
    </xf>
    <xf numFmtId="183" fontId="4" fillId="0" borderId="52" xfId="1" applyNumberFormat="1" applyFont="1" applyFill="1" applyBorder="1" applyAlignment="1">
      <alignment vertical="center" shrinkToFit="1"/>
    </xf>
    <xf numFmtId="183" fontId="4" fillId="0" borderId="29" xfId="1" applyNumberFormat="1" applyFont="1" applyFill="1" applyBorder="1" applyAlignment="1">
      <alignment vertical="center" shrinkToFit="1"/>
    </xf>
    <xf numFmtId="183" fontId="4" fillId="0" borderId="13" xfId="1" applyNumberFormat="1" applyFont="1" applyFill="1" applyBorder="1" applyAlignment="1">
      <alignment vertical="center" shrinkToFit="1"/>
    </xf>
    <xf numFmtId="183" fontId="4" fillId="0" borderId="12" xfId="1" applyNumberFormat="1" applyFont="1" applyFill="1" applyBorder="1" applyAlignment="1">
      <alignment vertical="center" shrinkToFit="1"/>
    </xf>
    <xf numFmtId="183" fontId="4" fillId="0" borderId="47" xfId="1" applyNumberFormat="1" applyFont="1" applyFill="1" applyBorder="1" applyAlignment="1">
      <alignment vertical="center" shrinkToFit="1"/>
    </xf>
    <xf numFmtId="183" fontId="4" fillId="0" borderId="22" xfId="0" applyNumberFormat="1" applyFont="1" applyFill="1" applyBorder="1" applyAlignment="1">
      <alignment vertical="center" shrinkToFit="1"/>
    </xf>
    <xf numFmtId="183" fontId="4" fillId="0" borderId="62" xfId="1" applyNumberFormat="1" applyFont="1" applyFill="1" applyBorder="1" applyAlignment="1">
      <alignment vertical="center" shrinkToFit="1"/>
    </xf>
    <xf numFmtId="183" fontId="4" fillId="0" borderId="25" xfId="1" applyNumberFormat="1" applyFont="1" applyFill="1" applyBorder="1" applyAlignment="1">
      <alignment vertical="center" shrinkToFit="1"/>
    </xf>
    <xf numFmtId="183" fontId="4" fillId="0" borderId="21" xfId="1" applyNumberFormat="1" applyFont="1" applyFill="1" applyBorder="1" applyAlignment="1">
      <alignment vertical="center" shrinkToFit="1"/>
    </xf>
    <xf numFmtId="0" fontId="0" fillId="0" borderId="56" xfId="0" applyFont="1" applyFill="1" applyBorder="1" applyAlignment="1">
      <alignment horizontal="center" vertical="center" shrinkToFit="1"/>
    </xf>
    <xf numFmtId="183" fontId="4" fillId="0" borderId="62" xfId="1" applyNumberFormat="1" applyFont="1" applyFill="1" applyBorder="1" applyAlignment="1">
      <alignment horizontal="center" vertical="center" shrinkToFit="1"/>
    </xf>
    <xf numFmtId="183" fontId="4" fillId="0" borderId="21" xfId="1" applyNumberFormat="1" applyFont="1" applyFill="1" applyBorder="1" applyAlignment="1">
      <alignment horizontal="center" vertical="center" shrinkToFit="1"/>
    </xf>
    <xf numFmtId="183" fontId="4" fillId="0" borderId="21" xfId="0" applyNumberFormat="1" applyFont="1" applyFill="1" applyBorder="1" applyAlignment="1">
      <alignment vertical="center" shrinkToFit="1"/>
    </xf>
    <xf numFmtId="183" fontId="4" fillId="0" borderId="62" xfId="0" applyNumberFormat="1" applyFont="1" applyFill="1" applyBorder="1" applyAlignment="1">
      <alignment vertical="center" shrinkToFit="1"/>
    </xf>
    <xf numFmtId="183" fontId="4" fillId="0" borderId="25" xfId="0" applyNumberFormat="1" applyFont="1" applyFill="1" applyBorder="1" applyAlignment="1">
      <alignment vertical="center" shrinkToFit="1"/>
    </xf>
    <xf numFmtId="183" fontId="4" fillId="0" borderId="26" xfId="0" applyNumberFormat="1" applyFont="1" applyFill="1" applyBorder="1" applyAlignment="1">
      <alignment vertical="center" shrinkToFit="1"/>
    </xf>
    <xf numFmtId="190" fontId="4" fillId="0" borderId="49" xfId="0" applyNumberFormat="1" applyFont="1" applyFill="1" applyBorder="1" applyAlignment="1">
      <alignment vertical="center" shrinkToFit="1"/>
    </xf>
    <xf numFmtId="190" fontId="4" fillId="0" borderId="57" xfId="0" applyNumberFormat="1" applyFont="1" applyFill="1" applyBorder="1" applyAlignment="1">
      <alignment vertical="center" shrinkToFit="1"/>
    </xf>
    <xf numFmtId="190" fontId="4" fillId="0" borderId="48" xfId="0" applyNumberFormat="1" applyFont="1" applyFill="1" applyBorder="1" applyAlignment="1">
      <alignment vertical="center" shrinkToFit="1"/>
    </xf>
    <xf numFmtId="190" fontId="4" fillId="0" borderId="31" xfId="0" applyNumberFormat="1" applyFont="1" applyFill="1" applyBorder="1" applyAlignment="1">
      <alignment vertical="center"/>
    </xf>
    <xf numFmtId="0" fontId="4" fillId="0" borderId="75" xfId="0" applyFont="1" applyFill="1" applyBorder="1" applyAlignment="1">
      <alignment horizontal="center" vertical="center"/>
    </xf>
    <xf numFmtId="184" fontId="33" fillId="0" borderId="7" xfId="1" applyNumberFormat="1" applyFont="1" applyFill="1" applyBorder="1" applyAlignment="1">
      <alignment vertical="center"/>
    </xf>
    <xf numFmtId="184" fontId="4" fillId="0" borderId="26" xfId="1" applyNumberFormat="1" applyFont="1" applyFill="1" applyBorder="1" applyAlignment="1">
      <alignment vertical="center"/>
    </xf>
    <xf numFmtId="184" fontId="33" fillId="0" borderId="46" xfId="1" applyNumberFormat="1" applyFont="1" applyFill="1" applyBorder="1" applyAlignment="1">
      <alignment vertical="center"/>
    </xf>
    <xf numFmtId="184" fontId="4" fillId="0" borderId="12" xfId="1" applyNumberFormat="1" applyFont="1" applyFill="1" applyBorder="1" applyAlignment="1">
      <alignment vertical="center"/>
    </xf>
    <xf numFmtId="184" fontId="4" fillId="0" borderId="29" xfId="1" applyNumberFormat="1" applyFont="1" applyFill="1" applyBorder="1" applyAlignment="1">
      <alignment vertical="center"/>
    </xf>
    <xf numFmtId="184" fontId="33" fillId="0" borderId="53" xfId="1" applyNumberFormat="1" applyFont="1" applyFill="1" applyBorder="1" applyAlignment="1">
      <alignment vertical="center"/>
    </xf>
    <xf numFmtId="0" fontId="26" fillId="0" borderId="38" xfId="0" applyFont="1" applyFill="1" applyBorder="1" applyAlignment="1">
      <alignment horizontal="center" vertical="center"/>
    </xf>
    <xf numFmtId="184" fontId="4" fillId="0" borderId="40" xfId="1" applyNumberFormat="1" applyFont="1" applyFill="1" applyBorder="1" applyAlignment="1">
      <alignment vertical="center"/>
    </xf>
    <xf numFmtId="184" fontId="33" fillId="0" borderId="34" xfId="1" applyNumberFormat="1" applyFont="1" applyFill="1" applyBorder="1" applyAlignment="1">
      <alignment vertical="center"/>
    </xf>
    <xf numFmtId="0" fontId="53" fillId="0" borderId="0" xfId="0" applyFont="1" applyAlignment="1">
      <alignment vertical="center"/>
    </xf>
    <xf numFmtId="0" fontId="0" fillId="0" borderId="0" xfId="0" applyAlignment="1">
      <alignment vertical="center"/>
    </xf>
    <xf numFmtId="0" fontId="54" fillId="0" borderId="0" xfId="0" applyFont="1" applyBorder="1" applyAlignment="1">
      <alignment horizontal="left" vertical="center"/>
    </xf>
    <xf numFmtId="0" fontId="0" fillId="0" borderId="4"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176" fontId="4" fillId="0" borderId="56" xfId="0" applyNumberFormat="1" applyFont="1" applyFill="1" applyBorder="1"/>
    <xf numFmtId="176" fontId="4" fillId="0" borderId="45" xfId="0" applyNumberFormat="1" applyFont="1" applyFill="1" applyBorder="1" applyAlignment="1">
      <alignment horizontal="center"/>
    </xf>
    <xf numFmtId="176" fontId="4" fillId="0" borderId="62" xfId="0" applyNumberFormat="1" applyFont="1" applyFill="1" applyBorder="1"/>
    <xf numFmtId="176" fontId="4" fillId="0" borderId="24" xfId="0" applyNumberFormat="1" applyFont="1" applyFill="1" applyBorder="1"/>
    <xf numFmtId="176" fontId="4" fillId="0" borderId="52" xfId="0" applyNumberFormat="1" applyFont="1" applyFill="1" applyBorder="1"/>
    <xf numFmtId="176" fontId="4" fillId="0" borderId="29" xfId="0" applyNumberFormat="1" applyFont="1" applyFill="1" applyBorder="1"/>
    <xf numFmtId="176" fontId="4" fillId="0" borderId="47" xfId="0" applyNumberFormat="1" applyFont="1" applyFill="1" applyBorder="1"/>
    <xf numFmtId="176" fontId="4" fillId="0" borderId="43" xfId="0" applyNumberFormat="1" applyFont="1" applyFill="1" applyBorder="1"/>
    <xf numFmtId="176" fontId="4" fillId="0" borderId="49" xfId="0" applyNumberFormat="1" applyFont="1" applyFill="1" applyBorder="1"/>
    <xf numFmtId="176" fontId="4" fillId="0" borderId="57" xfId="0" applyNumberFormat="1" applyFont="1" applyFill="1" applyBorder="1"/>
    <xf numFmtId="176" fontId="4" fillId="0" borderId="48" xfId="0" applyNumberFormat="1" applyFont="1" applyFill="1" applyBorder="1"/>
    <xf numFmtId="176" fontId="4" fillId="0" borderId="31" xfId="0" applyNumberFormat="1" applyFont="1" applyFill="1" applyBorder="1"/>
    <xf numFmtId="0" fontId="4" fillId="0" borderId="0" xfId="0" applyFont="1" applyAlignment="1">
      <alignmen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0" fillId="0" borderId="0" xfId="0" applyAlignment="1">
      <alignment horizontal="left"/>
    </xf>
    <xf numFmtId="0" fontId="4" fillId="0" borderId="3" xfId="0" applyFont="1" applyFill="1" applyBorder="1" applyAlignment="1">
      <alignment horizontal="right" vertical="top"/>
    </xf>
    <xf numFmtId="0" fontId="26" fillId="0" borderId="4" xfId="0" applyFont="1" applyFill="1" applyBorder="1" applyAlignment="1">
      <alignment horizontal="center" vertical="center"/>
    </xf>
    <xf numFmtId="0" fontId="0" fillId="0" borderId="65" xfId="0" applyFont="1" applyFill="1" applyBorder="1"/>
    <xf numFmtId="0" fontId="4" fillId="0" borderId="9" xfId="0" applyFont="1" applyFill="1" applyBorder="1" applyAlignment="1">
      <alignment horizontal="right" vertical="top"/>
    </xf>
    <xf numFmtId="184" fontId="4" fillId="0" borderId="63" xfId="1" applyNumberFormat="1" applyFont="1" applyFill="1" applyBorder="1"/>
    <xf numFmtId="184" fontId="4" fillId="0" borderId="74" xfId="1" applyNumberFormat="1" applyFont="1" applyFill="1" applyBorder="1"/>
    <xf numFmtId="184" fontId="4" fillId="0" borderId="76" xfId="1" applyNumberFormat="1" applyFont="1" applyFill="1" applyBorder="1"/>
    <xf numFmtId="184" fontId="4" fillId="0" borderId="73" xfId="1" applyNumberFormat="1" applyFont="1" applyFill="1" applyBorder="1"/>
    <xf numFmtId="184" fontId="4" fillId="0" borderId="58" xfId="1" applyNumberFormat="1" applyFont="1" applyFill="1" applyBorder="1"/>
    <xf numFmtId="184" fontId="4" fillId="0" borderId="59" xfId="1" applyNumberFormat="1" applyFont="1" applyFill="1" applyBorder="1"/>
    <xf numFmtId="184" fontId="4" fillId="0" borderId="16" xfId="1" applyNumberFormat="1" applyFont="1" applyFill="1" applyBorder="1"/>
    <xf numFmtId="184" fontId="4" fillId="0" borderId="18" xfId="1" applyNumberFormat="1" applyFont="1" applyFill="1" applyBorder="1"/>
    <xf numFmtId="184" fontId="4" fillId="0" borderId="62" xfId="1" applyNumberFormat="1" applyFont="1" applyFill="1" applyBorder="1"/>
    <xf numFmtId="184" fontId="4" fillId="0" borderId="21" xfId="1" applyNumberFormat="1" applyFont="1" applyFill="1" applyBorder="1"/>
    <xf numFmtId="184" fontId="4" fillId="0" borderId="22" xfId="1" applyNumberFormat="1" applyFont="1" applyFill="1" applyBorder="1"/>
    <xf numFmtId="184" fontId="4" fillId="0" borderId="24" xfId="1" applyNumberFormat="1" applyFont="1" applyFill="1" applyBorder="1"/>
    <xf numFmtId="184" fontId="4" fillId="0" borderId="52" xfId="1" applyNumberFormat="1" applyFont="1" applyFill="1" applyBorder="1"/>
    <xf numFmtId="184" fontId="4" fillId="0" borderId="29" xfId="1" applyNumberFormat="1" applyFont="1" applyFill="1" applyBorder="1"/>
    <xf numFmtId="184" fontId="4" fillId="0" borderId="47" xfId="1" applyNumberFormat="1" applyFont="1" applyFill="1" applyBorder="1"/>
    <xf numFmtId="184" fontId="4" fillId="0" borderId="43" xfId="1" applyNumberFormat="1" applyFont="1" applyFill="1" applyBorder="1"/>
    <xf numFmtId="184" fontId="4" fillId="0" borderId="49" xfId="1" applyNumberFormat="1" applyFont="1" applyFill="1" applyBorder="1"/>
    <xf numFmtId="184" fontId="4" fillId="0" borderId="57" xfId="1" applyNumberFormat="1" applyFont="1" applyFill="1" applyBorder="1"/>
    <xf numFmtId="184" fontId="4" fillId="0" borderId="48" xfId="1" applyNumberFormat="1" applyFont="1" applyFill="1" applyBorder="1"/>
    <xf numFmtId="184" fontId="4" fillId="0" borderId="31" xfId="1" applyNumberFormat="1" applyFont="1" applyFill="1" applyBorder="1"/>
    <xf numFmtId="184" fontId="4" fillId="0" borderId="20" xfId="1" applyNumberFormat="1" applyFont="1" applyFill="1" applyBorder="1"/>
    <xf numFmtId="184" fontId="4" fillId="0" borderId="36" xfId="1" applyNumberFormat="1" applyFont="1" applyFill="1" applyBorder="1"/>
    <xf numFmtId="184" fontId="4" fillId="0" borderId="54" xfId="1" applyNumberFormat="1" applyFont="1" applyFill="1" applyBorder="1"/>
    <xf numFmtId="184" fontId="4" fillId="0" borderId="60" xfId="1" applyNumberFormat="1" applyFont="1" applyFill="1" applyBorder="1"/>
    <xf numFmtId="184" fontId="4" fillId="0" borderId="78" xfId="1" applyNumberFormat="1" applyFont="1" applyFill="1" applyBorder="1"/>
    <xf numFmtId="184" fontId="4" fillId="0" borderId="72" xfId="1" applyNumberFormat="1" applyFont="1" applyFill="1" applyBorder="1"/>
    <xf numFmtId="0" fontId="0" fillId="0" borderId="4" xfId="0" applyFont="1" applyBorder="1" applyAlignment="1">
      <alignment horizontal="right" vertical="center"/>
    </xf>
    <xf numFmtId="0" fontId="6" fillId="0" borderId="10" xfId="0" applyFont="1" applyBorder="1" applyAlignment="1">
      <alignment horizontal="right" vertical="center"/>
    </xf>
    <xf numFmtId="0" fontId="6" fillId="0" borderId="10" xfId="0" applyFont="1" applyBorder="1" applyAlignment="1">
      <alignment vertical="center"/>
    </xf>
    <xf numFmtId="0" fontId="6" fillId="0" borderId="8" xfId="0" applyFont="1" applyBorder="1" applyAlignment="1">
      <alignment vertical="center"/>
    </xf>
    <xf numFmtId="0" fontId="12" fillId="0" borderId="20" xfId="0" applyFont="1" applyFill="1" applyBorder="1" applyAlignment="1">
      <alignment vertical="center"/>
    </xf>
    <xf numFmtId="0" fontId="4" fillId="0" borderId="17" xfId="0" applyFont="1" applyBorder="1" applyAlignment="1">
      <alignment horizontal="distributed" vertical="center"/>
    </xf>
    <xf numFmtId="0" fontId="4" fillId="0" borderId="23" xfId="0" applyFont="1" applyBorder="1" applyAlignment="1">
      <alignment horizontal="distributed" vertical="center"/>
    </xf>
    <xf numFmtId="0" fontId="4" fillId="0" borderId="42" xfId="0" applyFont="1" applyBorder="1" applyAlignment="1">
      <alignment horizontal="distributed" vertical="center"/>
    </xf>
    <xf numFmtId="0" fontId="4" fillId="0" borderId="63" xfId="0" applyFont="1" applyBorder="1" applyAlignment="1">
      <alignment horizontal="distributed" vertical="center"/>
    </xf>
    <xf numFmtId="183" fontId="33" fillId="0" borderId="74" xfId="1" applyNumberFormat="1" applyFont="1" applyFill="1" applyBorder="1" applyAlignment="1">
      <alignment vertical="center"/>
    </xf>
    <xf numFmtId="183" fontId="33" fillId="0" borderId="72" xfId="1" applyNumberFormat="1" applyFont="1" applyFill="1" applyBorder="1" applyAlignment="1">
      <alignment vertical="center"/>
    </xf>
    <xf numFmtId="183" fontId="33" fillId="0" borderId="73" xfId="1" applyNumberFormat="1" applyFont="1" applyFill="1" applyBorder="1" applyAlignment="1">
      <alignment vertical="center"/>
    </xf>
    <xf numFmtId="0" fontId="33" fillId="0" borderId="2" xfId="0" applyFont="1" applyFill="1" applyBorder="1" applyAlignment="1">
      <alignment vertical="center"/>
    </xf>
    <xf numFmtId="0" fontId="33" fillId="0" borderId="10" xfId="0" applyFont="1" applyFill="1" applyBorder="1" applyAlignment="1">
      <alignment vertical="center"/>
    </xf>
    <xf numFmtId="0" fontId="33" fillId="0" borderId="0" xfId="0" applyFont="1" applyFill="1" applyBorder="1" applyAlignment="1">
      <alignment vertical="center"/>
    </xf>
    <xf numFmtId="0" fontId="33" fillId="0" borderId="42" xfId="0" applyFont="1" applyFill="1" applyBorder="1" applyAlignment="1">
      <alignment horizontal="distributed" vertical="center"/>
    </xf>
    <xf numFmtId="0" fontId="33" fillId="0" borderId="13" xfId="0" applyFont="1" applyFill="1" applyBorder="1" applyAlignment="1">
      <alignment vertical="center"/>
    </xf>
    <xf numFmtId="0" fontId="33" fillId="0" borderId="14" xfId="0" applyFont="1" applyFill="1" applyBorder="1" applyAlignment="1">
      <alignment vertical="center"/>
    </xf>
    <xf numFmtId="0" fontId="58" fillId="0" borderId="8" xfId="0" applyFont="1" applyFill="1" applyBorder="1" applyAlignment="1">
      <alignment vertical="center"/>
    </xf>
    <xf numFmtId="0" fontId="33" fillId="0" borderId="38" xfId="0" applyFont="1" applyFill="1" applyBorder="1" applyAlignment="1">
      <alignment vertical="center"/>
    </xf>
    <xf numFmtId="0" fontId="33" fillId="0" borderId="20" xfId="0" applyFont="1" applyFill="1" applyBorder="1" applyAlignment="1">
      <alignment horizontal="center" vertical="center"/>
    </xf>
    <xf numFmtId="0" fontId="33" fillId="0" borderId="18" xfId="0" applyFont="1" applyFill="1" applyBorder="1" applyAlignment="1">
      <alignment vertical="center"/>
    </xf>
    <xf numFmtId="183" fontId="33" fillId="0" borderId="56" xfId="0" applyNumberFormat="1" applyFont="1" applyFill="1" applyBorder="1" applyAlignment="1">
      <alignment vertical="center"/>
    </xf>
    <xf numFmtId="183" fontId="33" fillId="0" borderId="61" xfId="0" applyNumberFormat="1" applyFont="1" applyFill="1" applyBorder="1" applyAlignment="1">
      <alignment vertical="center"/>
    </xf>
    <xf numFmtId="183" fontId="33" fillId="0" borderId="55" xfId="0" applyNumberFormat="1" applyFont="1" applyFill="1" applyBorder="1" applyAlignment="1">
      <alignment vertical="center"/>
    </xf>
    <xf numFmtId="183" fontId="33" fillId="0" borderId="45" xfId="0" applyNumberFormat="1" applyFont="1" applyFill="1" applyBorder="1" applyAlignment="1">
      <alignment vertical="center"/>
    </xf>
    <xf numFmtId="183" fontId="33" fillId="0" borderId="41" xfId="0" applyNumberFormat="1" applyFont="1" applyFill="1" applyBorder="1" applyAlignment="1">
      <alignment vertical="center"/>
    </xf>
    <xf numFmtId="0" fontId="33" fillId="0" borderId="22" xfId="0" applyFont="1" applyFill="1" applyBorder="1" applyAlignment="1">
      <alignment vertical="center"/>
    </xf>
    <xf numFmtId="183" fontId="33" fillId="0" borderId="21" xfId="0" applyNumberFormat="1" applyFont="1" applyFill="1" applyBorder="1" applyAlignment="1">
      <alignment vertical="center"/>
    </xf>
    <xf numFmtId="183" fontId="33" fillId="0" borderId="22" xfId="0" applyNumberFormat="1" applyFont="1" applyFill="1" applyBorder="1" applyAlignment="1">
      <alignment vertical="center"/>
    </xf>
    <xf numFmtId="183" fontId="33" fillId="0" borderId="24" xfId="0" applyNumberFormat="1" applyFont="1" applyFill="1" applyBorder="1" applyAlignment="1">
      <alignment vertical="center"/>
    </xf>
    <xf numFmtId="0" fontId="33" fillId="0" borderId="56" xfId="0" applyFont="1" applyFill="1" applyBorder="1" applyAlignment="1">
      <alignment horizontal="center" vertical="center"/>
    </xf>
    <xf numFmtId="0" fontId="33" fillId="0" borderId="23" xfId="0" applyFont="1" applyFill="1" applyBorder="1" applyAlignment="1">
      <alignment vertical="center"/>
    </xf>
    <xf numFmtId="0" fontId="33" fillId="0" borderId="25" xfId="0" applyFont="1" applyFill="1" applyBorder="1" applyAlignment="1">
      <alignment vertical="center"/>
    </xf>
    <xf numFmtId="0" fontId="33" fillId="0" borderId="52" xfId="0" applyFont="1" applyFill="1" applyBorder="1" applyAlignment="1">
      <alignment horizontal="center" vertical="center"/>
    </xf>
    <xf numFmtId="0" fontId="33" fillId="0" borderId="47" xfId="0" applyFont="1" applyFill="1" applyBorder="1" applyAlignment="1">
      <alignment vertical="center"/>
    </xf>
    <xf numFmtId="183" fontId="33" fillId="0" borderId="20" xfId="0" applyNumberFormat="1" applyFont="1" applyFill="1" applyBorder="1" applyAlignment="1">
      <alignment vertical="center"/>
    </xf>
    <xf numFmtId="183" fontId="33" fillId="0" borderId="28" xfId="0" applyNumberFormat="1" applyFont="1" applyFill="1" applyBorder="1" applyAlignment="1">
      <alignment vertical="center"/>
    </xf>
    <xf numFmtId="183" fontId="33" fillId="0" borderId="58" xfId="1" applyNumberFormat="1" applyFont="1" applyFill="1" applyBorder="1" applyAlignment="1">
      <alignment vertical="center"/>
    </xf>
    <xf numFmtId="183" fontId="33" fillId="0" borderId="59" xfId="1" applyNumberFormat="1" applyFont="1" applyFill="1" applyBorder="1" applyAlignment="1">
      <alignment vertical="center"/>
    </xf>
    <xf numFmtId="183" fontId="33" fillId="0" borderId="16" xfId="1" applyNumberFormat="1" applyFont="1" applyFill="1" applyBorder="1" applyAlignment="1">
      <alignment vertical="center"/>
    </xf>
    <xf numFmtId="183" fontId="33" fillId="0" borderId="35" xfId="1" applyNumberFormat="1" applyFont="1" applyFill="1" applyBorder="1" applyAlignment="1">
      <alignment vertical="center"/>
    </xf>
    <xf numFmtId="183" fontId="33" fillId="0" borderId="62" xfId="1" applyNumberFormat="1" applyFont="1" applyFill="1" applyBorder="1" applyAlignment="1">
      <alignment vertical="center"/>
    </xf>
    <xf numFmtId="183" fontId="33" fillId="0" borderId="21" xfId="1" applyNumberFormat="1" applyFont="1" applyFill="1" applyBorder="1" applyAlignment="1">
      <alignment vertical="center"/>
    </xf>
    <xf numFmtId="183" fontId="33" fillId="0" borderId="22" xfId="1" applyNumberFormat="1" applyFont="1" applyFill="1" applyBorder="1" applyAlignment="1">
      <alignment vertical="center"/>
    </xf>
    <xf numFmtId="183" fontId="33" fillId="0" borderId="26" xfId="1" applyNumberFormat="1" applyFont="1" applyFill="1" applyBorder="1" applyAlignment="1">
      <alignment vertical="center"/>
    </xf>
    <xf numFmtId="183" fontId="33" fillId="0" borderId="49" xfId="1" applyNumberFormat="1" applyFont="1" applyFill="1" applyBorder="1" applyAlignment="1">
      <alignment vertical="center"/>
    </xf>
    <xf numFmtId="183" fontId="33" fillId="0" borderId="57" xfId="1" applyNumberFormat="1" applyFont="1" applyFill="1" applyBorder="1" applyAlignment="1">
      <alignment vertical="center"/>
    </xf>
    <xf numFmtId="183" fontId="33" fillId="0" borderId="48" xfId="1" applyNumberFormat="1" applyFont="1" applyFill="1" applyBorder="1" applyAlignment="1">
      <alignment vertical="center"/>
    </xf>
    <xf numFmtId="183" fontId="33" fillId="0" borderId="40" xfId="1" applyNumberFormat="1" applyFont="1" applyFill="1" applyBorder="1" applyAlignment="1">
      <alignment vertical="center"/>
    </xf>
    <xf numFmtId="0" fontId="33" fillId="0" borderId="2" xfId="0" applyFont="1" applyFill="1" applyBorder="1" applyAlignment="1">
      <alignment vertical="center" wrapText="1"/>
    </xf>
    <xf numFmtId="0" fontId="0" fillId="0" borderId="7" xfId="0" applyFont="1" applyFill="1" applyBorder="1" applyAlignment="1">
      <alignment horizontal="center" vertical="center" shrinkToFit="1"/>
    </xf>
    <xf numFmtId="0" fontId="33" fillId="0" borderId="10" xfId="0" applyFont="1" applyFill="1" applyBorder="1" applyAlignment="1">
      <alignment vertical="center" wrapText="1"/>
    </xf>
    <xf numFmtId="0" fontId="4" fillId="0" borderId="9" xfId="0" applyFont="1" applyFill="1" applyBorder="1" applyAlignment="1">
      <alignment horizontal="right" vertical="center"/>
    </xf>
    <xf numFmtId="183" fontId="4" fillId="0" borderId="63" xfId="1" applyNumberFormat="1" applyFont="1" applyFill="1" applyBorder="1" applyAlignment="1">
      <alignment vertical="center"/>
    </xf>
    <xf numFmtId="183" fontId="4" fillId="0" borderId="73" xfId="1" applyNumberFormat="1" applyFont="1" applyFill="1" applyBorder="1" applyAlignment="1">
      <alignment vertical="center"/>
    </xf>
    <xf numFmtId="0" fontId="4" fillId="0" borderId="22" xfId="0" applyFont="1" applyFill="1" applyBorder="1" applyAlignment="1">
      <alignment vertical="center" shrinkToFit="1"/>
    </xf>
    <xf numFmtId="0" fontId="4" fillId="0" borderId="25" xfId="0" applyFont="1" applyFill="1" applyBorder="1" applyAlignment="1">
      <alignment vertical="center" shrinkToFit="1"/>
    </xf>
    <xf numFmtId="183" fontId="4" fillId="0" borderId="24" xfId="0" applyNumberFormat="1" applyFont="1" applyFill="1" applyBorder="1" applyAlignment="1">
      <alignment vertical="center" shrinkToFit="1"/>
    </xf>
    <xf numFmtId="0" fontId="4" fillId="0" borderId="0" xfId="0" applyFont="1" applyFill="1" applyAlignment="1">
      <alignment shrinkToFit="1"/>
    </xf>
    <xf numFmtId="183" fontId="4" fillId="0" borderId="23" xfId="0" applyNumberFormat="1" applyFont="1" applyFill="1" applyBorder="1" applyAlignment="1">
      <alignment vertical="center" shrinkToFit="1"/>
    </xf>
    <xf numFmtId="183" fontId="4" fillId="0" borderId="23" xfId="0" applyNumberFormat="1" applyFont="1" applyFill="1" applyBorder="1" applyAlignment="1">
      <alignment vertical="center"/>
    </xf>
    <xf numFmtId="183" fontId="4" fillId="0" borderId="49" xfId="1" applyNumberFormat="1" applyFont="1" applyFill="1" applyBorder="1" applyAlignment="1">
      <alignment vertical="center"/>
    </xf>
    <xf numFmtId="183" fontId="4" fillId="0" borderId="48" xfId="1" applyNumberFormat="1" applyFont="1" applyFill="1" applyBorder="1" applyAlignment="1">
      <alignment vertical="center"/>
    </xf>
    <xf numFmtId="183" fontId="4" fillId="0" borderId="78" xfId="0" applyNumberFormat="1" applyFont="1" applyFill="1" applyBorder="1" applyAlignment="1">
      <alignment vertical="center"/>
    </xf>
    <xf numFmtId="183" fontId="4" fillId="0" borderId="74" xfId="0" applyNumberFormat="1" applyFont="1" applyFill="1" applyBorder="1" applyAlignment="1">
      <alignment vertical="center"/>
    </xf>
    <xf numFmtId="183" fontId="4" fillId="0" borderId="72" xfId="0" applyNumberFormat="1" applyFont="1" applyFill="1" applyBorder="1" applyAlignment="1">
      <alignment vertical="center"/>
    </xf>
    <xf numFmtId="183" fontId="4" fillId="0" borderId="73" xfId="0" applyNumberFormat="1" applyFont="1" applyFill="1" applyBorder="1" applyAlignment="1">
      <alignment vertical="center"/>
    </xf>
    <xf numFmtId="0" fontId="27" fillId="0" borderId="10" xfId="0" applyFont="1" applyFill="1" applyBorder="1" applyAlignment="1">
      <alignment vertical="center"/>
    </xf>
    <xf numFmtId="183" fontId="33" fillId="0" borderId="62" xfId="0" applyNumberFormat="1" applyFont="1" applyFill="1" applyBorder="1" applyAlignment="1">
      <alignment vertical="center" shrinkToFit="1"/>
    </xf>
    <xf numFmtId="183" fontId="33" fillId="0" borderId="26" xfId="0" applyNumberFormat="1" applyFont="1" applyFill="1" applyBorder="1" applyAlignment="1">
      <alignment vertical="center" shrinkToFit="1"/>
    </xf>
    <xf numFmtId="0" fontId="4" fillId="0" borderId="0" xfId="0" applyFont="1" applyFill="1" applyBorder="1" applyAlignment="1">
      <alignment vertical="top"/>
    </xf>
    <xf numFmtId="0" fontId="4" fillId="0" borderId="0" xfId="0" applyFont="1" applyFill="1" applyAlignment="1">
      <alignment vertical="top"/>
    </xf>
    <xf numFmtId="183" fontId="33" fillId="0" borderId="56" xfId="0" applyNumberFormat="1" applyFont="1" applyFill="1" applyBorder="1" applyAlignment="1">
      <alignment vertical="center" shrinkToFit="1"/>
    </xf>
    <xf numFmtId="183" fontId="33" fillId="0" borderId="41" xfId="1" applyNumberFormat="1" applyFont="1" applyFill="1" applyBorder="1" applyAlignment="1">
      <alignment vertical="center"/>
    </xf>
    <xf numFmtId="183" fontId="33" fillId="0" borderId="61" xfId="1" applyNumberFormat="1" applyFont="1" applyFill="1" applyBorder="1" applyAlignment="1">
      <alignment vertical="center"/>
    </xf>
    <xf numFmtId="0" fontId="4" fillId="0" borderId="65" xfId="0" applyFont="1" applyFill="1" applyBorder="1" applyAlignment="1">
      <alignment vertical="center"/>
    </xf>
    <xf numFmtId="183" fontId="12" fillId="0" borderId="20" xfId="1" applyNumberFormat="1" applyFont="1" applyFill="1" applyBorder="1" applyAlignment="1">
      <alignment horizontal="right" vertical="center" shrinkToFit="1"/>
    </xf>
    <xf numFmtId="183" fontId="12" fillId="0" borderId="36" xfId="1" applyNumberFormat="1" applyFont="1" applyFill="1" applyBorder="1" applyAlignment="1">
      <alignment horizontal="right" vertical="center" shrinkToFit="1"/>
    </xf>
    <xf numFmtId="183" fontId="12" fillId="0" borderId="0" xfId="1" applyNumberFormat="1" applyFont="1" applyFill="1" applyBorder="1" applyAlignment="1">
      <alignment horizontal="right" vertical="center" shrinkToFit="1"/>
    </xf>
    <xf numFmtId="183" fontId="12" fillId="0" borderId="61" xfId="1" applyNumberFormat="1" applyFont="1" applyFill="1" applyBorder="1" applyAlignment="1">
      <alignment horizontal="right" vertical="center" shrinkToFit="1"/>
    </xf>
    <xf numFmtId="183" fontId="12" fillId="0" borderId="54" xfId="1" applyNumberFormat="1" applyFont="1" applyFill="1" applyBorder="1" applyAlignment="1">
      <alignment horizontal="right" vertical="center" shrinkToFit="1"/>
    </xf>
    <xf numFmtId="183" fontId="12" fillId="0" borderId="55" xfId="0" applyNumberFormat="1" applyFont="1" applyFill="1" applyBorder="1" applyAlignment="1">
      <alignment horizontal="right" vertical="center" shrinkToFit="1"/>
    </xf>
    <xf numFmtId="176" fontId="12" fillId="0" borderId="45" xfId="0" applyNumberFormat="1" applyFont="1" applyFill="1" applyBorder="1" applyAlignment="1">
      <alignment vertical="center"/>
    </xf>
    <xf numFmtId="176" fontId="12" fillId="0" borderId="24" xfId="0" applyNumberFormat="1" applyFont="1" applyFill="1" applyBorder="1" applyAlignment="1">
      <alignment vertical="center"/>
    </xf>
    <xf numFmtId="183" fontId="12" fillId="0" borderId="62" xfId="1" applyNumberFormat="1" applyFont="1" applyFill="1" applyBorder="1" applyAlignment="1">
      <alignment vertical="center" shrinkToFit="1"/>
    </xf>
    <xf numFmtId="183" fontId="12" fillId="0" borderId="25" xfId="1" applyNumberFormat="1" applyFont="1" applyFill="1" applyBorder="1" applyAlignment="1">
      <alignment vertical="center" shrinkToFit="1"/>
    </xf>
    <xf numFmtId="183" fontId="12" fillId="0" borderId="21" xfId="1" applyNumberFormat="1" applyFont="1" applyFill="1" applyBorder="1" applyAlignment="1">
      <alignment vertical="center" shrinkToFit="1"/>
    </xf>
    <xf numFmtId="183" fontId="12" fillId="0" borderId="47" xfId="1" applyNumberFormat="1" applyFont="1" applyFill="1" applyBorder="1" applyAlignment="1">
      <alignment vertical="center" shrinkToFit="1"/>
    </xf>
    <xf numFmtId="183" fontId="12" fillId="0" borderId="22" xfId="0" applyNumberFormat="1" applyFont="1" applyFill="1" applyBorder="1" applyAlignment="1">
      <alignment vertical="center" shrinkToFit="1"/>
    </xf>
    <xf numFmtId="183" fontId="12" fillId="0" borderId="62" xfId="1" applyNumberFormat="1" applyFont="1" applyFill="1" applyBorder="1" applyAlignment="1">
      <alignment horizontal="center" vertical="center" shrinkToFit="1"/>
    </xf>
    <xf numFmtId="183" fontId="12" fillId="0" borderId="21" xfId="1" applyNumberFormat="1" applyFont="1" applyFill="1" applyBorder="1" applyAlignment="1">
      <alignment horizontal="center" vertical="center" shrinkToFit="1"/>
    </xf>
    <xf numFmtId="183" fontId="12" fillId="0" borderId="47" xfId="1" applyNumberFormat="1" applyFont="1" applyFill="1" applyBorder="1" applyAlignment="1">
      <alignment horizontal="center" vertical="center" shrinkToFit="1"/>
    </xf>
    <xf numFmtId="183" fontId="12" fillId="0" borderId="22" xfId="0" applyNumberFormat="1" applyFont="1" applyFill="1" applyBorder="1" applyAlignment="1">
      <alignment horizontal="center" vertical="center" shrinkToFit="1"/>
    </xf>
    <xf numFmtId="188" fontId="4" fillId="0" borderId="49" xfId="0" applyNumberFormat="1" applyFont="1" applyFill="1" applyBorder="1" applyAlignment="1">
      <alignment vertical="center" shrinkToFit="1"/>
    </xf>
    <xf numFmtId="188" fontId="4" fillId="0" borderId="57" xfId="0" applyNumberFormat="1" applyFont="1" applyFill="1" applyBorder="1" applyAlignment="1">
      <alignment vertical="center" shrinkToFit="1"/>
    </xf>
    <xf numFmtId="188" fontId="33" fillId="0" borderId="48" xfId="0" applyNumberFormat="1" applyFont="1" applyFill="1" applyBorder="1" applyAlignment="1">
      <alignment vertical="center" shrinkToFit="1"/>
    </xf>
    <xf numFmtId="188" fontId="4" fillId="0" borderId="48" xfId="0" applyNumberFormat="1" applyFont="1" applyFill="1" applyBorder="1" applyAlignment="1">
      <alignment vertical="center" shrinkToFit="1"/>
    </xf>
    <xf numFmtId="189" fontId="4" fillId="0" borderId="31" xfId="0" applyNumberFormat="1" applyFont="1" applyFill="1" applyBorder="1" applyAlignment="1">
      <alignment vertical="center"/>
    </xf>
    <xf numFmtId="184" fontId="33" fillId="0" borderId="45" xfId="1" applyNumberFormat="1" applyFont="1" applyFill="1" applyBorder="1" applyAlignment="1">
      <alignment vertical="center"/>
    </xf>
    <xf numFmtId="184" fontId="4" fillId="0" borderId="52" xfId="1" applyNumberFormat="1" applyFont="1" applyFill="1" applyBorder="1" applyAlignment="1">
      <alignment vertical="center"/>
    </xf>
    <xf numFmtId="184" fontId="33" fillId="0" borderId="60" xfId="1" applyNumberFormat="1" applyFont="1" applyFill="1" applyBorder="1" applyAlignment="1">
      <alignment vertical="center"/>
    </xf>
    <xf numFmtId="0" fontId="0" fillId="0" borderId="38" xfId="0" applyFont="1" applyFill="1" applyBorder="1" applyAlignment="1">
      <alignment horizontal="center" vertical="center" shrinkToFit="1"/>
    </xf>
    <xf numFmtId="0" fontId="0" fillId="0" borderId="7" xfId="0" applyFont="1" applyFill="1" applyBorder="1" applyAlignment="1">
      <alignment horizontal="center" vertical="center"/>
    </xf>
    <xf numFmtId="38" fontId="33" fillId="0" borderId="63" xfId="1" applyFont="1" applyFill="1" applyBorder="1" applyAlignment="1">
      <alignment vertical="center"/>
    </xf>
    <xf numFmtId="38" fontId="33" fillId="0" borderId="76" xfId="1" applyFont="1" applyFill="1" applyBorder="1" applyAlignment="1">
      <alignment vertical="center"/>
    </xf>
    <xf numFmtId="184" fontId="33" fillId="0" borderId="63" xfId="1" applyNumberFormat="1" applyFont="1" applyFill="1" applyBorder="1" applyAlignment="1">
      <alignment vertical="center"/>
    </xf>
    <xf numFmtId="184" fontId="33" fillId="0" borderId="76" xfId="1" applyNumberFormat="1" applyFont="1" applyFill="1" applyBorder="1" applyAlignment="1">
      <alignment vertical="center"/>
    </xf>
    <xf numFmtId="38" fontId="33" fillId="0" borderId="15" xfId="1" applyFont="1" applyFill="1" applyBorder="1" applyAlignment="1">
      <alignment horizontal="center" vertical="center"/>
    </xf>
    <xf numFmtId="38" fontId="33" fillId="0" borderId="16" xfId="1" applyFont="1" applyFill="1" applyBorder="1" applyAlignment="1">
      <alignment vertical="center"/>
    </xf>
    <xf numFmtId="38" fontId="33" fillId="0" borderId="6" xfId="1" applyFont="1" applyFill="1" applyBorder="1" applyAlignment="1">
      <alignment vertical="center"/>
    </xf>
    <xf numFmtId="184" fontId="33" fillId="0" borderId="16" xfId="1" applyNumberFormat="1" applyFont="1" applyFill="1" applyBorder="1" applyAlignment="1">
      <alignment vertical="center"/>
    </xf>
    <xf numFmtId="38" fontId="33" fillId="0" borderId="20" xfId="1" applyFont="1" applyFill="1" applyBorder="1" applyAlignment="1">
      <alignment horizontal="center" vertical="center"/>
    </xf>
    <xf numFmtId="38" fontId="33" fillId="0" borderId="22" xfId="1" applyFont="1" applyFill="1" applyBorder="1" applyAlignment="1">
      <alignment vertical="center"/>
    </xf>
    <xf numFmtId="38" fontId="33" fillId="0" borderId="25" xfId="1" applyFont="1" applyFill="1" applyBorder="1" applyAlignment="1">
      <alignment vertical="center"/>
    </xf>
    <xf numFmtId="184" fontId="33" fillId="0" borderId="22" xfId="1" applyNumberFormat="1" applyFont="1" applyFill="1" applyBorder="1" applyAlignment="1">
      <alignment vertical="center"/>
    </xf>
    <xf numFmtId="38" fontId="33" fillId="0" borderId="22" xfId="1" applyFont="1" applyFill="1" applyBorder="1" applyAlignment="1">
      <alignment vertical="center" shrinkToFit="1"/>
    </xf>
    <xf numFmtId="184" fontId="33" fillId="0" borderId="62" xfId="1" applyNumberFormat="1" applyFont="1" applyFill="1" applyBorder="1" applyAlignment="1">
      <alignment vertical="center" shrinkToFit="1"/>
    </xf>
    <xf numFmtId="184" fontId="33" fillId="0" borderId="21" xfId="1" applyNumberFormat="1" applyFont="1" applyFill="1" applyBorder="1" applyAlignment="1">
      <alignment vertical="center" shrinkToFit="1"/>
    </xf>
    <xf numFmtId="184" fontId="33" fillId="0" borderId="22" xfId="1" applyNumberFormat="1" applyFont="1" applyFill="1" applyBorder="1" applyAlignment="1">
      <alignment vertical="center" shrinkToFit="1"/>
    </xf>
    <xf numFmtId="184" fontId="33" fillId="0" borderId="24" xfId="1" applyNumberFormat="1" applyFont="1" applyFill="1" applyBorder="1" applyAlignment="1">
      <alignment vertical="center" shrinkToFit="1"/>
    </xf>
    <xf numFmtId="38" fontId="33" fillId="0" borderId="25" xfId="1" applyFont="1" applyFill="1" applyBorder="1" applyAlignment="1">
      <alignment vertical="center" shrinkToFit="1"/>
    </xf>
    <xf numFmtId="38" fontId="33" fillId="0" borderId="47" xfId="1" applyFont="1" applyFill="1" applyBorder="1" applyAlignment="1">
      <alignment vertical="center"/>
    </xf>
    <xf numFmtId="38" fontId="33" fillId="0" borderId="13" xfId="1" applyFont="1" applyFill="1" applyBorder="1" applyAlignment="1">
      <alignment vertical="center"/>
    </xf>
    <xf numFmtId="184" fontId="33" fillId="0" borderId="48" xfId="1" applyNumberFormat="1" applyFont="1" applyFill="1" applyBorder="1" applyAlignment="1">
      <alignment vertical="center"/>
    </xf>
    <xf numFmtId="38" fontId="33" fillId="0" borderId="10" xfId="1" applyFont="1" applyFill="1" applyBorder="1" applyAlignment="1">
      <alignment horizontal="center" vertical="center"/>
    </xf>
    <xf numFmtId="38" fontId="33" fillId="0" borderId="8" xfId="1" applyFont="1" applyFill="1" applyBorder="1" applyAlignment="1">
      <alignment horizontal="center" vertical="center"/>
    </xf>
    <xf numFmtId="38" fontId="33" fillId="0" borderId="48" xfId="1" applyFont="1" applyFill="1" applyBorder="1" applyAlignment="1">
      <alignment vertical="center"/>
    </xf>
    <xf numFmtId="38" fontId="33" fillId="0" borderId="32" xfId="1" applyFont="1" applyFill="1" applyBorder="1" applyAlignment="1">
      <alignment vertical="center"/>
    </xf>
    <xf numFmtId="38" fontId="33" fillId="0" borderId="10" xfId="1" applyFont="1" applyFill="1" applyBorder="1" applyAlignment="1">
      <alignment vertical="center"/>
    </xf>
    <xf numFmtId="38" fontId="33" fillId="0" borderId="0" xfId="1" applyFont="1" applyFill="1" applyBorder="1" applyAlignment="1">
      <alignment vertical="center"/>
    </xf>
    <xf numFmtId="38" fontId="33" fillId="0" borderId="53" xfId="1" applyFont="1" applyFill="1" applyBorder="1" applyAlignment="1">
      <alignment vertical="center"/>
    </xf>
    <xf numFmtId="184" fontId="33" fillId="0" borderId="20" xfId="1" applyNumberFormat="1" applyFont="1" applyFill="1" applyBorder="1" applyAlignment="1">
      <alignment vertical="center"/>
    </xf>
    <xf numFmtId="184" fontId="33" fillId="0" borderId="36" xfId="1" applyNumberFormat="1" applyFont="1" applyFill="1" applyBorder="1" applyAlignment="1">
      <alignment vertical="center"/>
    </xf>
    <xf numFmtId="184" fontId="33" fillId="0" borderId="54" xfId="1" applyNumberFormat="1" applyFont="1" applyFill="1" applyBorder="1" applyAlignment="1">
      <alignment vertical="center"/>
    </xf>
    <xf numFmtId="0" fontId="33" fillId="0" borderId="2" xfId="0" applyFont="1" applyFill="1" applyBorder="1" applyAlignment="1">
      <alignment horizontal="right" vertical="center" wrapText="1"/>
    </xf>
    <xf numFmtId="0" fontId="33" fillId="0" borderId="10" xfId="0" applyFont="1" applyFill="1" applyBorder="1" applyAlignment="1">
      <alignment horizontal="right" vertical="center" wrapText="1"/>
    </xf>
    <xf numFmtId="0" fontId="58" fillId="0" borderId="3" xfId="0" applyFont="1" applyFill="1" applyBorder="1" applyAlignment="1">
      <alignment horizontal="right" vertical="center"/>
    </xf>
    <xf numFmtId="0" fontId="0" fillId="0" borderId="75" xfId="0" applyFont="1" applyFill="1" applyBorder="1" applyAlignment="1">
      <alignment horizontal="right" vertical="center"/>
    </xf>
    <xf numFmtId="0" fontId="58" fillId="0" borderId="0" xfId="0" applyFont="1" applyFill="1" applyBorder="1" applyAlignment="1">
      <alignment horizontal="right" vertical="center"/>
    </xf>
    <xf numFmtId="183" fontId="4" fillId="0" borderId="61" xfId="0" applyNumberFormat="1" applyFont="1" applyFill="1" applyBorder="1" applyAlignment="1">
      <alignment vertical="center" shrinkToFit="1"/>
    </xf>
    <xf numFmtId="183" fontId="33" fillId="0" borderId="41" xfId="0" applyNumberFormat="1" applyFont="1" applyFill="1" applyBorder="1" applyAlignment="1">
      <alignment vertical="center" shrinkToFit="1"/>
    </xf>
    <xf numFmtId="0" fontId="33" fillId="0" borderId="0" xfId="0" applyFont="1" applyFill="1" applyAlignment="1">
      <alignment wrapText="1"/>
    </xf>
    <xf numFmtId="0" fontId="34" fillId="0" borderId="2" xfId="0" applyFont="1" applyFill="1" applyBorder="1" applyAlignment="1">
      <alignment horizontal="right" vertical="center"/>
    </xf>
    <xf numFmtId="0" fontId="34" fillId="0" borderId="4" xfId="0" applyFont="1" applyFill="1" applyBorder="1" applyAlignment="1">
      <alignment horizontal="right" vertical="center"/>
    </xf>
    <xf numFmtId="0" fontId="8" fillId="0" borderId="8" xfId="0" applyFont="1" applyFill="1" applyBorder="1" applyAlignment="1">
      <alignment vertical="center"/>
    </xf>
    <xf numFmtId="0" fontId="8" fillId="0" borderId="9" xfId="0" applyFont="1" applyFill="1" applyBorder="1" applyAlignment="1">
      <alignment vertical="center"/>
    </xf>
    <xf numFmtId="38" fontId="8" fillId="0" borderId="15" xfId="1" applyFont="1" applyFill="1" applyBorder="1" applyAlignment="1">
      <alignment vertical="center"/>
    </xf>
    <xf numFmtId="38" fontId="8" fillId="0" borderId="70" xfId="1" applyFont="1" applyFill="1" applyBorder="1" applyAlignment="1">
      <alignment vertical="center"/>
    </xf>
    <xf numFmtId="0" fontId="4" fillId="0" borderId="59" xfId="0" applyFont="1" applyFill="1" applyBorder="1"/>
    <xf numFmtId="0" fontId="4" fillId="0" borderId="18" xfId="0" applyFont="1" applyFill="1" applyBorder="1"/>
    <xf numFmtId="38" fontId="8" fillId="0" borderId="52" xfId="1" applyFont="1" applyFill="1" applyBorder="1" applyAlignment="1">
      <alignment vertical="center"/>
    </xf>
    <xf numFmtId="0" fontId="4" fillId="0" borderId="24" xfId="0" applyFont="1" applyFill="1" applyBorder="1"/>
    <xf numFmtId="38" fontId="8" fillId="0" borderId="62" xfId="1" applyFont="1" applyFill="1" applyBorder="1" applyAlignment="1">
      <alignment vertical="center" shrinkToFit="1"/>
    </xf>
    <xf numFmtId="38" fontId="8" fillId="0" borderId="21" xfId="1" applyFont="1" applyFill="1" applyBorder="1" applyAlignment="1">
      <alignment vertical="center" shrinkToFit="1"/>
    </xf>
    <xf numFmtId="0" fontId="4" fillId="0" borderId="21" xfId="0" applyFont="1" applyFill="1" applyBorder="1" applyAlignment="1">
      <alignment shrinkToFit="1"/>
    </xf>
    <xf numFmtId="0" fontId="4" fillId="0" borderId="25" xfId="0" applyFont="1" applyFill="1" applyBorder="1" applyAlignment="1">
      <alignment shrinkToFit="1"/>
    </xf>
    <xf numFmtId="176" fontId="4" fillId="0" borderId="22" xfId="0" applyNumberFormat="1" applyFont="1" applyFill="1" applyBorder="1" applyAlignment="1">
      <alignment shrinkToFit="1"/>
    </xf>
    <xf numFmtId="38" fontId="8" fillId="0" borderId="62" xfId="1" applyFont="1" applyFill="1" applyBorder="1" applyAlignment="1">
      <alignment horizontal="center" vertical="center" shrinkToFit="1"/>
    </xf>
    <xf numFmtId="38" fontId="8" fillId="0" borderId="21" xfId="1" applyFont="1" applyFill="1" applyBorder="1" applyAlignment="1">
      <alignment horizontal="center" vertical="center" shrinkToFit="1"/>
    </xf>
    <xf numFmtId="0" fontId="8" fillId="0" borderId="62" xfId="0" applyFont="1" applyFill="1" applyBorder="1" applyAlignment="1">
      <alignment vertical="center" shrinkToFit="1"/>
    </xf>
    <xf numFmtId="0" fontId="8" fillId="0" borderId="21" xfId="0" applyFont="1" applyFill="1" applyBorder="1" applyAlignment="1">
      <alignment vertical="center" shrinkToFit="1"/>
    </xf>
    <xf numFmtId="0" fontId="4" fillId="0" borderId="22" xfId="0" applyFont="1" applyFill="1" applyBorder="1" applyAlignment="1">
      <alignment shrinkToFit="1"/>
    </xf>
    <xf numFmtId="185" fontId="8" fillId="0" borderId="49" xfId="0" applyNumberFormat="1" applyFont="1" applyFill="1" applyBorder="1" applyAlignment="1">
      <alignment vertical="center" shrinkToFit="1"/>
    </xf>
    <xf numFmtId="185" fontId="8" fillId="0" borderId="57" xfId="0" applyNumberFormat="1" applyFont="1" applyFill="1" applyBorder="1" applyAlignment="1">
      <alignment vertical="center" shrinkToFit="1"/>
    </xf>
    <xf numFmtId="189" fontId="8" fillId="0" borderId="57" xfId="0" applyNumberFormat="1" applyFont="1" applyFill="1" applyBorder="1" applyAlignment="1">
      <alignment vertical="center" shrinkToFit="1"/>
    </xf>
    <xf numFmtId="189" fontId="8" fillId="0" borderId="32" xfId="0" applyNumberFormat="1" applyFont="1" applyFill="1" applyBorder="1" applyAlignment="1">
      <alignment vertical="center" shrinkToFit="1"/>
    </xf>
    <xf numFmtId="189" fontId="8" fillId="0" borderId="48" xfId="0" applyNumberFormat="1" applyFont="1" applyFill="1" applyBorder="1" applyAlignment="1">
      <alignment vertical="center" shrinkToFit="1"/>
    </xf>
    <xf numFmtId="189" fontId="4" fillId="0" borderId="31" xfId="0" applyNumberFormat="1" applyFont="1" applyFill="1" applyBorder="1"/>
    <xf numFmtId="0" fontId="0" fillId="0" borderId="2" xfId="0" applyFont="1" applyFill="1" applyBorder="1" applyAlignment="1">
      <alignment horizontal="right" vertical="center"/>
    </xf>
    <xf numFmtId="176" fontId="4" fillId="0" borderId="58" xfId="0" applyNumberFormat="1" applyFont="1" applyFill="1" applyBorder="1" applyAlignment="1">
      <alignment vertical="center"/>
    </xf>
    <xf numFmtId="176" fontId="4" fillId="0" borderId="59" xfId="0" applyNumberFormat="1" applyFont="1" applyFill="1" applyBorder="1" applyAlignment="1">
      <alignment vertical="center"/>
    </xf>
    <xf numFmtId="176" fontId="33" fillId="0" borderId="59" xfId="0" applyNumberFormat="1" applyFont="1" applyFill="1" applyBorder="1" applyAlignment="1">
      <alignment vertical="center"/>
    </xf>
    <xf numFmtId="176" fontId="33" fillId="0" borderId="18" xfId="0" applyNumberFormat="1" applyFont="1" applyFill="1" applyBorder="1" applyAlignment="1">
      <alignment vertical="center"/>
    </xf>
    <xf numFmtId="176" fontId="4" fillId="0" borderId="62" xfId="0" applyNumberFormat="1" applyFont="1" applyFill="1" applyBorder="1" applyAlignment="1">
      <alignment vertical="center"/>
    </xf>
    <xf numFmtId="176" fontId="33" fillId="0" borderId="21" xfId="0" applyNumberFormat="1" applyFont="1" applyFill="1" applyBorder="1" applyAlignment="1">
      <alignment vertical="center"/>
    </xf>
    <xf numFmtId="176" fontId="33" fillId="0" borderId="45" xfId="0" applyNumberFormat="1" applyFont="1" applyFill="1" applyBorder="1" applyAlignment="1">
      <alignment vertical="center"/>
    </xf>
    <xf numFmtId="176" fontId="4" fillId="0" borderId="52" xfId="0" applyNumberFormat="1" applyFont="1" applyFill="1" applyBorder="1" applyAlignment="1">
      <alignment vertical="center"/>
    </xf>
    <xf numFmtId="176" fontId="33" fillId="0" borderId="29" xfId="0" applyNumberFormat="1" applyFont="1" applyFill="1" applyBorder="1" applyAlignment="1">
      <alignment vertical="center"/>
    </xf>
    <xf numFmtId="176" fontId="33" fillId="0" borderId="60" xfId="0" applyNumberFormat="1" applyFont="1" applyFill="1" applyBorder="1" applyAlignment="1">
      <alignment vertical="center"/>
    </xf>
    <xf numFmtId="0" fontId="0" fillId="0" borderId="38" xfId="0" applyFont="1" applyFill="1" applyBorder="1" applyAlignment="1">
      <alignment vertical="center"/>
    </xf>
    <xf numFmtId="176" fontId="4" fillId="0" borderId="57" xfId="0" applyNumberFormat="1" applyFont="1" applyFill="1" applyBorder="1" applyAlignment="1">
      <alignment vertical="center"/>
    </xf>
    <xf numFmtId="176" fontId="33" fillId="0" borderId="57" xfId="0" applyNumberFormat="1" applyFont="1" applyFill="1" applyBorder="1" applyAlignment="1">
      <alignment vertical="center"/>
    </xf>
    <xf numFmtId="176" fontId="33" fillId="0" borderId="31" xfId="0" applyNumberFormat="1" applyFont="1" applyFill="1" applyBorder="1" applyAlignment="1">
      <alignment vertical="center"/>
    </xf>
    <xf numFmtId="0" fontId="4" fillId="0" borderId="4" xfId="0" applyFont="1" applyFill="1" applyBorder="1"/>
    <xf numFmtId="0" fontId="27" fillId="0" borderId="8" xfId="0" applyFont="1" applyFill="1" applyBorder="1"/>
    <xf numFmtId="0" fontId="4" fillId="0" borderId="1" xfId="0" applyFont="1" applyFill="1" applyBorder="1" applyAlignment="1">
      <alignment horizontal="right"/>
    </xf>
    <xf numFmtId="0" fontId="4" fillId="0" borderId="9" xfId="0" applyFont="1" applyFill="1" applyBorder="1" applyAlignment="1">
      <alignment horizontal="right"/>
    </xf>
    <xf numFmtId="0" fontId="4" fillId="0" borderId="45" xfId="0" applyFont="1" applyFill="1" applyBorder="1" applyAlignment="1">
      <alignment horizontal="center"/>
    </xf>
    <xf numFmtId="0" fontId="4" fillId="0" borderId="23" xfId="0" applyFont="1" applyFill="1" applyBorder="1" applyAlignment="1">
      <alignment horizontal="center"/>
    </xf>
    <xf numFmtId="0" fontId="4" fillId="0" borderId="25" xfId="0" applyFont="1" applyFill="1" applyBorder="1" applyAlignment="1">
      <alignment horizontal="center"/>
    </xf>
    <xf numFmtId="0" fontId="4" fillId="0" borderId="23" xfId="0" applyFont="1" applyFill="1" applyBorder="1"/>
    <xf numFmtId="0" fontId="4" fillId="0" borderId="30" xfId="0" applyFont="1" applyFill="1" applyBorder="1"/>
    <xf numFmtId="0" fontId="4" fillId="0" borderId="0" xfId="0" applyFont="1" applyBorder="1"/>
    <xf numFmtId="38" fontId="4" fillId="0" borderId="0" xfId="1" applyFont="1" applyBorder="1"/>
    <xf numFmtId="0" fontId="4" fillId="0" borderId="2"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center" vertical="center"/>
    </xf>
    <xf numFmtId="38" fontId="4" fillId="0" borderId="0" xfId="1" applyFont="1"/>
    <xf numFmtId="0" fontId="4" fillId="0" borderId="57" xfId="0" applyFont="1" applyBorder="1" applyAlignment="1">
      <alignment horizontal="center" vertical="center"/>
    </xf>
    <xf numFmtId="0" fontId="4" fillId="0" borderId="31" xfId="0" applyFont="1" applyBorder="1" applyAlignment="1">
      <alignment horizontal="center" vertical="center"/>
    </xf>
    <xf numFmtId="0" fontId="4" fillId="0" borderId="1" xfId="0" applyFont="1" applyBorder="1" applyAlignment="1">
      <alignment horizontal="center" vertical="center"/>
    </xf>
    <xf numFmtId="178" fontId="4" fillId="0" borderId="64" xfId="0" applyNumberFormat="1" applyFont="1" applyFill="1" applyBorder="1" applyAlignment="1">
      <alignment vertical="center"/>
    </xf>
    <xf numFmtId="178" fontId="4" fillId="0" borderId="0" xfId="0" applyNumberFormat="1" applyFont="1" applyFill="1" applyBorder="1" applyAlignment="1">
      <alignment vertical="center"/>
    </xf>
    <xf numFmtId="191" fontId="4" fillId="0" borderId="60" xfId="0" applyNumberFormat="1" applyFont="1" applyFill="1" applyBorder="1" applyAlignment="1">
      <alignment vertical="center" shrinkToFit="1"/>
    </xf>
    <xf numFmtId="180" fontId="4" fillId="0" borderId="0" xfId="1" applyNumberFormat="1" applyFont="1" applyFill="1" applyBorder="1" applyAlignment="1">
      <alignment vertical="center"/>
    </xf>
    <xf numFmtId="178" fontId="4" fillId="0" borderId="67" xfId="0" applyNumberFormat="1" applyFont="1" applyFill="1" applyBorder="1" applyAlignment="1">
      <alignment vertical="center"/>
    </xf>
    <xf numFmtId="178" fontId="4" fillId="0" borderId="25" xfId="0" applyNumberFormat="1" applyFont="1" applyFill="1" applyBorder="1" applyAlignment="1">
      <alignment vertical="center"/>
    </xf>
    <xf numFmtId="191" fontId="4" fillId="0" borderId="24" xfId="0" applyNumberFormat="1" applyFont="1" applyFill="1" applyBorder="1" applyAlignment="1">
      <alignment vertical="center" shrinkToFit="1"/>
    </xf>
    <xf numFmtId="180" fontId="4" fillId="0" borderId="26" xfId="1" applyNumberFormat="1" applyFont="1" applyFill="1" applyBorder="1" applyAlignment="1">
      <alignment vertical="center"/>
    </xf>
    <xf numFmtId="178" fontId="4" fillId="0" borderId="67" xfId="0" applyNumberFormat="1" applyFont="1" applyFill="1" applyBorder="1" applyAlignment="1">
      <alignment vertical="center" shrinkToFit="1"/>
    </xf>
    <xf numFmtId="178" fontId="4" fillId="0" borderId="25" xfId="0" applyNumberFormat="1" applyFont="1" applyFill="1" applyBorder="1" applyAlignment="1">
      <alignment vertical="center" shrinkToFit="1"/>
    </xf>
    <xf numFmtId="180" fontId="4" fillId="0" borderId="26" xfId="1" applyNumberFormat="1" applyFont="1" applyFill="1" applyBorder="1" applyAlignment="1">
      <alignment vertical="center" shrinkToFit="1"/>
    </xf>
    <xf numFmtId="38" fontId="4" fillId="0" borderId="0" xfId="1" applyFont="1" applyAlignment="1">
      <alignment shrinkToFit="1"/>
    </xf>
    <xf numFmtId="0" fontId="4" fillId="0" borderId="0" xfId="0" applyFont="1" applyAlignment="1">
      <alignment shrinkToFit="1"/>
    </xf>
    <xf numFmtId="0" fontId="4" fillId="0" borderId="56" xfId="0" applyFont="1" applyBorder="1" applyAlignment="1">
      <alignment vertical="center" wrapText="1" shrinkToFit="1"/>
    </xf>
    <xf numFmtId="178" fontId="4" fillId="0" borderId="67" xfId="0" applyNumberFormat="1" applyFont="1" applyFill="1" applyBorder="1" applyAlignment="1">
      <alignment horizontal="right" vertical="center" shrinkToFit="1"/>
    </xf>
    <xf numFmtId="178" fontId="4" fillId="0" borderId="25" xfId="0" applyNumberFormat="1" applyFont="1" applyFill="1" applyBorder="1" applyAlignment="1">
      <alignment horizontal="right" vertical="center" shrinkToFit="1"/>
    </xf>
    <xf numFmtId="191" fontId="4" fillId="0" borderId="24" xfId="0" applyNumberFormat="1" applyFont="1" applyFill="1" applyBorder="1" applyAlignment="1">
      <alignment horizontal="right" vertical="center" shrinkToFit="1"/>
    </xf>
    <xf numFmtId="0" fontId="4" fillId="0" borderId="0" xfId="0" applyFont="1" applyAlignment="1">
      <alignment vertical="center" shrinkToFit="1"/>
    </xf>
    <xf numFmtId="0" fontId="0" fillId="0" borderId="66" xfId="0" applyBorder="1" applyAlignment="1">
      <alignment horizontal="distributed" vertical="center"/>
    </xf>
    <xf numFmtId="178" fontId="4" fillId="0" borderId="60" xfId="0" applyNumberFormat="1" applyFont="1" applyFill="1" applyBorder="1" applyAlignment="1">
      <alignment horizontal="right" vertical="center" shrinkToFit="1"/>
    </xf>
    <xf numFmtId="180" fontId="4" fillId="0" borderId="26" xfId="1" applyNumberFormat="1" applyFont="1" applyFill="1" applyBorder="1" applyAlignment="1">
      <alignment horizontal="right" vertical="center" shrinkToFit="1"/>
    </xf>
    <xf numFmtId="178" fontId="4" fillId="0" borderId="68" xfId="0" applyNumberFormat="1" applyFont="1" applyFill="1" applyBorder="1" applyAlignment="1">
      <alignment vertical="center"/>
    </xf>
    <xf numFmtId="178" fontId="4" fillId="0" borderId="13" xfId="0" applyNumberFormat="1" applyFont="1" applyFill="1" applyBorder="1" applyAlignment="1">
      <alignment vertical="center"/>
    </xf>
    <xf numFmtId="191" fontId="4" fillId="0" borderId="43" xfId="0" applyNumberFormat="1" applyFont="1" applyFill="1" applyBorder="1" applyAlignment="1">
      <alignment vertical="center" shrinkToFit="1"/>
    </xf>
    <xf numFmtId="180" fontId="4" fillId="0" borderId="12" xfId="1" applyNumberFormat="1" applyFont="1" applyFill="1" applyBorder="1" applyAlignment="1">
      <alignment vertical="center"/>
    </xf>
    <xf numFmtId="178" fontId="4" fillId="0" borderId="71" xfId="0" applyNumberFormat="1" applyFont="1" applyFill="1" applyBorder="1" applyAlignment="1">
      <alignment vertical="center"/>
    </xf>
    <xf numFmtId="178" fontId="4" fillId="0" borderId="37" xfId="0" applyNumberFormat="1" applyFont="1" applyFill="1" applyBorder="1" applyAlignment="1">
      <alignment vertical="center"/>
    </xf>
    <xf numFmtId="191" fontId="4" fillId="0" borderId="45" xfId="0" applyNumberFormat="1" applyFont="1" applyFill="1" applyBorder="1" applyAlignment="1">
      <alignment vertical="center" shrinkToFit="1"/>
    </xf>
    <xf numFmtId="180" fontId="4" fillId="0" borderId="37" xfId="1" applyNumberFormat="1" applyFont="1" applyFill="1" applyBorder="1" applyAlignment="1">
      <alignment vertical="center"/>
    </xf>
    <xf numFmtId="178" fontId="4" fillId="0" borderId="66" xfId="0" applyNumberFormat="1" applyFont="1" applyFill="1" applyBorder="1" applyAlignment="1">
      <alignment vertical="center"/>
    </xf>
    <xf numFmtId="178" fontId="4" fillId="0" borderId="69" xfId="0" applyNumberFormat="1" applyFont="1" applyFill="1" applyBorder="1" applyAlignment="1">
      <alignment vertical="center"/>
    </xf>
    <xf numFmtId="178" fontId="4" fillId="0" borderId="69" xfId="0" applyNumberFormat="1" applyFont="1" applyFill="1" applyBorder="1" applyAlignment="1">
      <alignment horizontal="right" vertical="center"/>
    </xf>
    <xf numFmtId="178" fontId="4" fillId="0" borderId="32" xfId="0" applyNumberFormat="1" applyFont="1" applyFill="1" applyBorder="1" applyAlignment="1">
      <alignment horizontal="right" vertical="center"/>
    </xf>
    <xf numFmtId="191" fontId="4" fillId="0" borderId="31" xfId="0" applyNumberFormat="1" applyFont="1" applyFill="1" applyBorder="1" applyAlignment="1">
      <alignment horizontal="right" vertical="center" shrinkToFit="1"/>
    </xf>
    <xf numFmtId="180" fontId="4" fillId="0" borderId="40" xfId="1" applyNumberFormat="1" applyFont="1" applyFill="1" applyBorder="1" applyAlignment="1">
      <alignment vertical="center"/>
    </xf>
    <xf numFmtId="0" fontId="4" fillId="0" borderId="0" xfId="0" applyFont="1" applyAlignment="1">
      <alignment horizontal="center"/>
    </xf>
    <xf numFmtId="3" fontId="4" fillId="0" borderId="74" xfId="0" applyNumberFormat="1" applyFont="1" applyFill="1" applyBorder="1" applyAlignment="1">
      <alignment vertical="center"/>
    </xf>
    <xf numFmtId="3" fontId="4" fillId="0" borderId="72" xfId="0" applyNumberFormat="1" applyFont="1" applyFill="1" applyBorder="1" applyAlignment="1">
      <alignment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vertical="center"/>
    </xf>
    <xf numFmtId="0" fontId="4" fillId="0" borderId="3" xfId="0" applyFont="1" applyBorder="1" applyAlignment="1">
      <alignment horizontal="center" vertical="center"/>
    </xf>
    <xf numFmtId="0" fontId="12" fillId="0" borderId="31" xfId="0" applyFont="1" applyFill="1" applyBorder="1" applyAlignment="1">
      <alignment horizontal="center" vertical="center"/>
    </xf>
    <xf numFmtId="0" fontId="4" fillId="0" borderId="63" xfId="0" applyFont="1" applyFill="1" applyBorder="1" applyAlignment="1">
      <alignment horizontal="distributed" vertical="center"/>
    </xf>
    <xf numFmtId="0" fontId="4" fillId="0" borderId="0" xfId="0" applyFont="1" applyFill="1" applyBorder="1" applyAlignment="1">
      <alignment vertical="center"/>
    </xf>
    <xf numFmtId="0" fontId="4" fillId="0" borderId="63" xfId="0" applyFont="1" applyFill="1" applyBorder="1" applyAlignment="1">
      <alignment vertical="center"/>
    </xf>
    <xf numFmtId="0" fontId="44" fillId="0" borderId="34" xfId="0" applyFont="1" applyFill="1" applyBorder="1" applyAlignment="1">
      <alignment horizontal="distributed" vertical="center"/>
    </xf>
    <xf numFmtId="0" fontId="44" fillId="0" borderId="31" xfId="0" applyFont="1" applyFill="1" applyBorder="1" applyAlignment="1">
      <alignment horizontal="distributed" vertical="center"/>
    </xf>
    <xf numFmtId="0" fontId="44" fillId="0" borderId="65" xfId="0" applyFont="1" applyFill="1" applyBorder="1"/>
    <xf numFmtId="0" fontId="6" fillId="0" borderId="3" xfId="0" applyFont="1" applyFill="1" applyBorder="1" applyAlignment="1">
      <alignment horizontal="right" vertical="center"/>
    </xf>
    <xf numFmtId="0" fontId="4" fillId="0" borderId="7" xfId="0" applyFont="1" applyBorder="1" applyAlignment="1">
      <alignment horizontal="right" vertical="center"/>
    </xf>
    <xf numFmtId="0" fontId="4" fillId="0" borderId="24"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27" xfId="0" applyFont="1" applyBorder="1" applyAlignment="1">
      <alignment vertical="center" wrapText="1" shrinkToFit="1"/>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27" fillId="0" borderId="11" xfId="0" applyFont="1" applyBorder="1" applyAlignment="1">
      <alignment horizontal="center" vertical="center"/>
    </xf>
    <xf numFmtId="0" fontId="12" fillId="0" borderId="34" xfId="0" applyFont="1" applyFill="1" applyBorder="1" applyAlignment="1">
      <alignment horizontal="center" vertical="center" shrinkToFit="1"/>
    </xf>
    <xf numFmtId="0" fontId="24" fillId="0" borderId="2" xfId="0" applyFont="1" applyBorder="1" applyAlignment="1">
      <alignment horizontal="right" vertical="center"/>
    </xf>
    <xf numFmtId="0" fontId="4" fillId="0" borderId="31" xfId="0" applyFont="1" applyBorder="1" applyAlignment="1">
      <alignment horizontal="center" vertical="center" shrinkToFit="1"/>
    </xf>
    <xf numFmtId="0" fontId="12" fillId="0" borderId="14" xfId="0" applyFont="1" applyFill="1" applyBorder="1" applyAlignment="1">
      <alignment horizontal="center" vertical="center" wrapText="1"/>
    </xf>
    <xf numFmtId="0" fontId="4" fillId="0" borderId="31" xfId="0" applyFont="1" applyBorder="1" applyAlignment="1">
      <alignment horizontal="center" vertical="center" wrapText="1"/>
    </xf>
    <xf numFmtId="0" fontId="27" fillId="0" borderId="31" xfId="0" applyFont="1" applyFill="1" applyBorder="1" applyAlignment="1">
      <alignment horizontal="distributed" vertical="center"/>
    </xf>
    <xf numFmtId="0" fontId="27" fillId="0" borderId="34" xfId="0" applyFont="1" applyFill="1" applyBorder="1" applyAlignment="1">
      <alignment horizontal="distributed" vertical="center"/>
    </xf>
    <xf numFmtId="0" fontId="12" fillId="0" borderId="31" xfId="0" applyFont="1" applyFill="1" applyBorder="1" applyAlignment="1">
      <alignment horizontal="distributed" vertical="center"/>
    </xf>
    <xf numFmtId="0" fontId="4" fillId="0" borderId="31" xfId="0" applyFont="1" applyFill="1" applyBorder="1" applyAlignment="1">
      <alignment vertical="center" shrinkToFit="1"/>
    </xf>
    <xf numFmtId="0" fontId="27" fillId="0" borderId="11" xfId="0" applyFont="1" applyFill="1" applyBorder="1" applyAlignment="1">
      <alignment horizontal="distributed"/>
    </xf>
    <xf numFmtId="0" fontId="6" fillId="0" borderId="54" xfId="0" applyFont="1" applyFill="1" applyBorder="1" applyAlignment="1">
      <alignment horizontal="distributed" vertical="center"/>
    </xf>
    <xf numFmtId="0" fontId="4" fillId="0" borderId="43" xfId="0" applyFont="1" applyFill="1" applyBorder="1" applyAlignment="1">
      <alignment horizontal="center" vertical="center" shrinkToFit="1"/>
    </xf>
    <xf numFmtId="0" fontId="4" fillId="0" borderId="43" xfId="0" applyFont="1" applyFill="1" applyBorder="1" applyAlignment="1">
      <alignment horizontal="center" shrinkToFit="1"/>
    </xf>
    <xf numFmtId="0" fontId="6" fillId="0" borderId="5" xfId="0" applyFont="1" applyBorder="1" applyAlignment="1">
      <alignment horizontal="center" vertical="center"/>
    </xf>
    <xf numFmtId="0" fontId="27" fillId="0" borderId="45" xfId="0" applyFont="1" applyFill="1" applyBorder="1" applyAlignment="1">
      <alignment horizontal="distributed" vertical="center" wrapText="1"/>
    </xf>
    <xf numFmtId="0" fontId="4" fillId="0" borderId="24" xfId="0" applyFont="1" applyBorder="1" applyAlignment="1">
      <alignment horizontal="distributed" vertical="center" wrapText="1"/>
    </xf>
    <xf numFmtId="0" fontId="4" fillId="0" borderId="31" xfId="0" applyFont="1" applyBorder="1" applyAlignment="1">
      <alignment horizontal="distributed" vertical="center" wrapText="1"/>
    </xf>
    <xf numFmtId="0" fontId="27" fillId="0" borderId="32" xfId="0" applyFont="1" applyFill="1" applyBorder="1" applyAlignment="1">
      <alignment horizontal="distributed" vertical="center"/>
    </xf>
    <xf numFmtId="0" fontId="26" fillId="0" borderId="24" xfId="0" applyFont="1" applyFill="1" applyBorder="1" applyAlignment="1">
      <alignment horizontal="center" vertical="center"/>
    </xf>
    <xf numFmtId="0" fontId="26" fillId="0" borderId="53" xfId="0" applyFont="1" applyFill="1" applyBorder="1" applyAlignment="1">
      <alignment horizontal="center" vertical="center"/>
    </xf>
    <xf numFmtId="0" fontId="0" fillId="0" borderId="13" xfId="0" applyFont="1" applyFill="1" applyBorder="1" applyAlignment="1">
      <alignment vertical="center"/>
    </xf>
    <xf numFmtId="0" fontId="0" fillId="0" borderId="1" xfId="0" applyFont="1" applyFill="1" applyBorder="1" applyAlignment="1">
      <alignment vertical="center"/>
    </xf>
    <xf numFmtId="0" fontId="12" fillId="0" borderId="49" xfId="0" applyFont="1" applyFill="1" applyBorder="1" applyAlignment="1">
      <alignment horizontal="distributed" vertical="center"/>
    </xf>
    <xf numFmtId="182" fontId="4" fillId="0" borderId="22" xfId="0" applyNumberFormat="1" applyFont="1" applyFill="1" applyBorder="1" applyAlignment="1">
      <alignment horizontal="right" vertical="center"/>
    </xf>
    <xf numFmtId="182" fontId="4" fillId="0" borderId="27" xfId="0" applyNumberFormat="1" applyFont="1" applyFill="1" applyBorder="1" applyAlignment="1">
      <alignment horizontal="right" vertical="center"/>
    </xf>
    <xf numFmtId="182" fontId="4" fillId="0" borderId="54" xfId="0" applyNumberFormat="1" applyFont="1" applyFill="1" applyBorder="1" applyAlignment="1">
      <alignment horizontal="right" vertical="center"/>
    </xf>
    <xf numFmtId="182" fontId="4" fillId="0" borderId="53" xfId="0" applyNumberFormat="1" applyFont="1" applyFill="1" applyBorder="1" applyAlignment="1">
      <alignment horizontal="right" vertical="center"/>
    </xf>
    <xf numFmtId="0" fontId="4" fillId="0" borderId="52"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4" fillId="0" borderId="38" xfId="0" applyFont="1" applyFill="1" applyBorder="1" applyAlignment="1">
      <alignment horizontal="center" vertical="center" textRotation="255"/>
    </xf>
    <xf numFmtId="182" fontId="4" fillId="0" borderId="48" xfId="0" applyNumberFormat="1" applyFont="1" applyFill="1" applyBorder="1" applyAlignment="1">
      <alignment horizontal="right" vertical="center"/>
    </xf>
    <xf numFmtId="182" fontId="4" fillId="0" borderId="34" xfId="0" applyNumberFormat="1" applyFont="1" applyFill="1" applyBorder="1" applyAlignment="1">
      <alignment horizontal="right" vertical="center"/>
    </xf>
    <xf numFmtId="0" fontId="4" fillId="0" borderId="56" xfId="0" applyFont="1" applyFill="1" applyBorder="1" applyAlignment="1">
      <alignment horizontal="center" vertical="center" textRotation="255"/>
    </xf>
    <xf numFmtId="182" fontId="4" fillId="0" borderId="55" xfId="0" applyNumberFormat="1" applyFont="1" applyFill="1" applyBorder="1" applyAlignment="1">
      <alignment horizontal="right" vertical="center"/>
    </xf>
    <xf numFmtId="182" fontId="4" fillId="0" borderId="46" xfId="0" applyNumberFormat="1" applyFont="1" applyFill="1" applyBorder="1" applyAlignment="1">
      <alignment horizontal="right" vertical="center"/>
    </xf>
    <xf numFmtId="0" fontId="4" fillId="0" borderId="47" xfId="0" applyFont="1" applyFill="1" applyBorder="1" applyAlignment="1"/>
    <xf numFmtId="0" fontId="0" fillId="0" borderId="25" xfId="0" applyBorder="1" applyAlignment="1"/>
    <xf numFmtId="0" fontId="6" fillId="0" borderId="47" xfId="0" applyFont="1" applyFill="1" applyBorder="1" applyAlignment="1"/>
    <xf numFmtId="0" fontId="0" fillId="0" borderId="27" xfId="0" applyBorder="1" applyAlignment="1"/>
    <xf numFmtId="0" fontId="4" fillId="0" borderId="22" xfId="0" applyFont="1" applyFill="1" applyBorder="1" applyAlignment="1"/>
    <xf numFmtId="182" fontId="4" fillId="0" borderId="16" xfId="0" applyNumberFormat="1" applyFont="1" applyFill="1" applyBorder="1" applyAlignment="1">
      <alignment horizontal="right" vertical="center"/>
    </xf>
    <xf numFmtId="182" fontId="4" fillId="0" borderId="7" xfId="0" applyNumberFormat="1" applyFont="1" applyFill="1" applyBorder="1" applyAlignment="1">
      <alignment horizontal="right" vertical="center"/>
    </xf>
    <xf numFmtId="0" fontId="4" fillId="0" borderId="3" xfId="0" applyFont="1" applyFill="1" applyBorder="1" applyAlignment="1"/>
    <xf numFmtId="0" fontId="6" fillId="0" borderId="1" xfId="0" applyFont="1" applyFill="1" applyBorder="1" applyAlignment="1">
      <alignment horizontal="right"/>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5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38" xfId="0" applyBorder="1" applyAlignment="1">
      <alignment horizontal="center" vertical="center" wrapText="1"/>
    </xf>
    <xf numFmtId="0" fontId="4" fillId="0" borderId="29" xfId="0" applyFont="1" applyFill="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39" xfId="0" applyFont="1" applyBorder="1" applyAlignment="1">
      <alignment horizontal="center" vertical="center" textRotation="255" wrapText="1"/>
    </xf>
    <xf numFmtId="0" fontId="4" fillId="0" borderId="16"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9" xfId="0" applyBorder="1" applyAlignment="1">
      <alignment horizontal="center" vertical="center" wrapText="1"/>
    </xf>
    <xf numFmtId="0" fontId="0" fillId="0" borderId="36" xfId="0" applyBorder="1" applyAlignment="1">
      <alignment horizontal="center" vertical="center" wrapText="1"/>
    </xf>
    <xf numFmtId="0" fontId="0" fillId="0" borderId="61" xfId="0" applyBorder="1" applyAlignment="1">
      <alignment horizontal="center" vertical="center" wrapText="1"/>
    </xf>
    <xf numFmtId="0" fontId="4" fillId="0" borderId="47" xfId="0" applyFont="1" applyFill="1" applyBorder="1" applyAlignment="1">
      <alignment horizontal="center" vertical="center" textRotation="255" wrapText="1"/>
    </xf>
    <xf numFmtId="0" fontId="0" fillId="0" borderId="12" xfId="0" applyBorder="1" applyAlignment="1">
      <alignment horizontal="center" vertical="center" wrapText="1"/>
    </xf>
    <xf numFmtId="0" fontId="0" fillId="0" borderId="54" xfId="0" applyBorder="1" applyAlignment="1">
      <alignment horizontal="center" vertical="center" wrapText="1"/>
    </xf>
    <xf numFmtId="0" fontId="0" fillId="0" borderId="28" xfId="0"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0" fillId="0" borderId="8" xfId="0" applyBorder="1" applyAlignment="1">
      <alignment horizontal="center" vertical="center" wrapText="1"/>
    </xf>
    <xf numFmtId="0" fontId="4" fillId="0" borderId="51" xfId="0" applyFont="1" applyFill="1" applyBorder="1" applyAlignment="1">
      <alignment horizontal="distributed" vertical="center" wrapText="1"/>
    </xf>
    <xf numFmtId="0" fontId="4" fillId="0" borderId="9" xfId="0" applyFont="1" applyBorder="1" applyAlignment="1">
      <alignment horizontal="distributed" vertical="center" wrapText="1"/>
    </xf>
    <xf numFmtId="0" fontId="5" fillId="0" borderId="16"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4" fillId="0" borderId="47" xfId="0" applyFont="1" applyFill="1" applyBorder="1" applyAlignment="1">
      <alignment horizontal="center" vertical="center" wrapText="1"/>
    </xf>
    <xf numFmtId="0" fontId="4" fillId="0" borderId="1" xfId="0" applyFont="1" applyFill="1" applyBorder="1" applyAlignment="1"/>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6" xfId="0" applyFont="1" applyFill="1" applyBorder="1" applyAlignment="1">
      <alignment horizontal="center" vertical="center" textRotation="255" wrapText="1"/>
    </xf>
    <xf numFmtId="0" fontId="4" fillId="0" borderId="5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48" xfId="0" applyFont="1" applyFill="1" applyBorder="1" applyAlignment="1"/>
    <xf numFmtId="0" fontId="0" fillId="0" borderId="32" xfId="0" applyBorder="1" applyAlignment="1"/>
    <xf numFmtId="0" fontId="0" fillId="0" borderId="34" xfId="0" applyBorder="1" applyAlignment="1"/>
    <xf numFmtId="0" fontId="4" fillId="0" borderId="5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1" xfId="0" applyFont="1" applyBorder="1" applyAlignment="1"/>
    <xf numFmtId="0" fontId="4" fillId="0" borderId="20" xfId="0" applyFont="1" applyBorder="1" applyAlignment="1">
      <alignment horizontal="center" vertical="center"/>
    </xf>
    <xf numFmtId="0" fontId="4" fillId="0" borderId="38"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4" xfId="0" applyBorder="1" applyAlignment="1">
      <alignment wrapText="1"/>
    </xf>
    <xf numFmtId="0" fontId="4" fillId="0" borderId="0" xfId="0" applyFont="1" applyFill="1" applyBorder="1" applyAlignment="1">
      <alignment horizontal="center" vertical="center" wrapText="1"/>
    </xf>
    <xf numFmtId="0" fontId="0" fillId="0" borderId="53" xfId="0" applyBorder="1" applyAlignment="1">
      <alignment wrapText="1"/>
    </xf>
    <xf numFmtId="0" fontId="6" fillId="0" borderId="52" xfId="0" applyFont="1" applyFill="1" applyBorder="1" applyAlignment="1">
      <alignment horizontal="distributed" vertical="center"/>
    </xf>
    <xf numFmtId="0" fontId="0" fillId="0" borderId="38" xfId="0" applyBorder="1" applyAlignment="1">
      <alignment vertical="center"/>
    </xf>
    <xf numFmtId="0" fontId="6" fillId="0" borderId="29" xfId="0" applyFont="1" applyFill="1" applyBorder="1" applyAlignment="1">
      <alignment horizontal="distributed" vertical="center" wrapText="1"/>
    </xf>
    <xf numFmtId="0" fontId="0" fillId="0" borderId="39" xfId="0" applyBorder="1" applyAlignment="1">
      <alignment vertical="center" wrapText="1"/>
    </xf>
    <xf numFmtId="0" fontId="6" fillId="0" borderId="47" xfId="0" applyFont="1" applyFill="1" applyBorder="1" applyAlignment="1">
      <alignment horizontal="distributed" vertical="center" wrapText="1"/>
    </xf>
    <xf numFmtId="0" fontId="6" fillId="0" borderId="52" xfId="0" applyFont="1" applyFill="1" applyBorder="1" applyAlignment="1">
      <alignment horizontal="distributed" vertical="center" wrapText="1"/>
    </xf>
    <xf numFmtId="0" fontId="0" fillId="0" borderId="38" xfId="0" applyBorder="1" applyAlignment="1">
      <alignment vertical="center" wrapText="1"/>
    </xf>
    <xf numFmtId="0" fontId="0" fillId="0" borderId="51" xfId="0" applyBorder="1" applyAlignment="1">
      <alignment vertical="center" wrapText="1"/>
    </xf>
    <xf numFmtId="0" fontId="4" fillId="0" borderId="62" xfId="0" applyFont="1" applyFill="1" applyBorder="1" applyAlignment="1">
      <alignment horizontal="center" vertical="center"/>
    </xf>
    <xf numFmtId="0" fontId="4" fillId="0" borderId="30" xfId="0" applyFont="1" applyFill="1" applyBorder="1" applyAlignment="1">
      <alignment horizontal="center" vertical="center"/>
    </xf>
    <xf numFmtId="0" fontId="0" fillId="0" borderId="63" xfId="0" applyBorder="1" applyAlignment="1">
      <alignment horizontal="center" vertical="center"/>
    </xf>
    <xf numFmtId="184" fontId="4" fillId="0" borderId="23" xfId="1" applyNumberFormat="1" applyFont="1" applyFill="1" applyBorder="1" applyAlignment="1">
      <alignment horizontal="right" vertical="center"/>
    </xf>
    <xf numFmtId="184" fontId="4" fillId="0" borderId="26" xfId="1" applyNumberFormat="1" applyFont="1" applyFill="1" applyBorder="1" applyAlignment="1">
      <alignment horizontal="right" vertical="center"/>
    </xf>
    <xf numFmtId="183" fontId="4" fillId="0" borderId="22" xfId="1" applyNumberFormat="1" applyFont="1" applyBorder="1" applyAlignment="1">
      <alignment horizontal="right" vertical="center"/>
    </xf>
    <xf numFmtId="183" fontId="4" fillId="0" borderId="26" xfId="1" applyNumberFormat="1" applyFont="1" applyBorder="1" applyAlignment="1">
      <alignment horizontal="right" vertical="center"/>
    </xf>
    <xf numFmtId="0" fontId="6" fillId="0" borderId="1" xfId="0" applyFont="1" applyBorder="1" applyAlignment="1">
      <alignment horizontal="right"/>
    </xf>
    <xf numFmtId="0" fontId="4" fillId="0" borderId="3" xfId="0" applyFont="1" applyBorder="1" applyAlignment="1">
      <alignment horizontal="center"/>
    </xf>
    <xf numFmtId="0" fontId="4" fillId="0" borderId="19" xfId="0" applyFont="1" applyBorder="1" applyAlignment="1">
      <alignment horizontal="center"/>
    </xf>
    <xf numFmtId="0" fontId="4" fillId="0" borderId="50" xfId="0" applyFont="1" applyBorder="1" applyAlignment="1">
      <alignment horizontal="center"/>
    </xf>
    <xf numFmtId="0" fontId="4" fillId="0" borderId="16"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28" xfId="0" applyFont="1" applyBorder="1" applyAlignment="1">
      <alignment horizontal="center"/>
    </xf>
    <xf numFmtId="0" fontId="4" fillId="0" borderId="54" xfId="0" applyFont="1" applyBorder="1" applyAlignment="1">
      <alignment horizontal="center"/>
    </xf>
    <xf numFmtId="0" fontId="4" fillId="0" borderId="47" xfId="0" applyFont="1" applyBorder="1" applyAlignment="1">
      <alignment horizontal="center"/>
    </xf>
    <xf numFmtId="0" fontId="4" fillId="0" borderId="12" xfId="0" applyFont="1" applyBorder="1" applyAlignment="1">
      <alignment horizontal="center"/>
    </xf>
    <xf numFmtId="0" fontId="4" fillId="0" borderId="14" xfId="0" applyFont="1" applyBorder="1" applyAlignment="1">
      <alignment horizontal="center"/>
    </xf>
    <xf numFmtId="0" fontId="4" fillId="0" borderId="42" xfId="0" applyFont="1" applyBorder="1" applyAlignment="1">
      <alignment horizontal="center" vertical="center"/>
    </xf>
    <xf numFmtId="0" fontId="0" fillId="0" borderId="10" xfId="0" applyBorder="1" applyAlignment="1"/>
    <xf numFmtId="0" fontId="0" fillId="0" borderId="8" xfId="0" applyBorder="1" applyAlignment="1"/>
    <xf numFmtId="184" fontId="4" fillId="0" borderId="30" xfId="1" applyNumberFormat="1" applyFont="1" applyFill="1" applyBorder="1" applyAlignment="1">
      <alignment horizontal="right" vertical="center"/>
    </xf>
    <xf numFmtId="0" fontId="0" fillId="0" borderId="40" xfId="0" applyFill="1" applyBorder="1" applyAlignment="1">
      <alignment horizontal="right" vertical="center"/>
    </xf>
    <xf numFmtId="183" fontId="4" fillId="0" borderId="48" xfId="1" applyNumberFormat="1" applyFont="1" applyBorder="1" applyAlignment="1">
      <alignment horizontal="right" vertical="center"/>
    </xf>
    <xf numFmtId="0" fontId="0" fillId="0" borderId="40" xfId="0" applyBorder="1" applyAlignment="1">
      <alignment horizontal="right" vertical="center"/>
    </xf>
    <xf numFmtId="0" fontId="4" fillId="0" borderId="22" xfId="0" applyFont="1" applyBorder="1" applyAlignment="1">
      <alignment horizontal="distributed" vertical="center" wrapText="1"/>
    </xf>
    <xf numFmtId="0" fontId="0" fillId="0" borderId="27" xfId="0" applyBorder="1" applyAlignment="1">
      <alignment vertical="center" wrapText="1"/>
    </xf>
    <xf numFmtId="0" fontId="0" fillId="0" borderId="27" xfId="0" applyBorder="1" applyAlignment="1">
      <alignment wrapText="1"/>
    </xf>
    <xf numFmtId="0" fontId="4" fillId="0" borderId="47" xfId="0" applyFont="1" applyBorder="1" applyAlignment="1">
      <alignment horizontal="distributed" vertical="center" wrapText="1"/>
    </xf>
    <xf numFmtId="0" fontId="0" fillId="0" borderId="14" xfId="0" applyBorder="1" applyAlignment="1">
      <alignment wrapText="1"/>
    </xf>
    <xf numFmtId="184" fontId="4" fillId="0" borderId="42" xfId="1" applyNumberFormat="1" applyFont="1" applyFill="1" applyBorder="1" applyAlignment="1">
      <alignment horizontal="right" vertical="center"/>
    </xf>
    <xf numFmtId="184" fontId="4" fillId="0" borderId="12" xfId="1" applyNumberFormat="1" applyFont="1" applyFill="1" applyBorder="1" applyAlignment="1">
      <alignment horizontal="right" vertical="center"/>
    </xf>
    <xf numFmtId="183" fontId="4" fillId="0" borderId="47" xfId="1" applyNumberFormat="1" applyFont="1" applyBorder="1" applyAlignment="1">
      <alignment horizontal="right" vertical="center"/>
    </xf>
    <xf numFmtId="183" fontId="4" fillId="0" borderId="12" xfId="1" applyNumberFormat="1" applyFont="1" applyBorder="1" applyAlignment="1">
      <alignment horizontal="right" vertical="center"/>
    </xf>
    <xf numFmtId="0" fontId="4" fillId="0" borderId="15" xfId="0" applyFont="1" applyBorder="1" applyAlignment="1">
      <alignment vertical="center" wrapText="1"/>
    </xf>
    <xf numFmtId="0" fontId="0" fillId="0" borderId="20" xfId="0" applyBorder="1" applyAlignment="1">
      <alignment wrapText="1"/>
    </xf>
    <xf numFmtId="0" fontId="0" fillId="0" borderId="56" xfId="0" applyBorder="1" applyAlignment="1">
      <alignment wrapText="1"/>
    </xf>
    <xf numFmtId="0" fontId="0" fillId="0" borderId="26" xfId="0" applyFill="1" applyBorder="1" applyAlignment="1">
      <alignment horizontal="right" vertical="center"/>
    </xf>
    <xf numFmtId="0" fontId="0" fillId="0" borderId="26" xfId="0" applyBorder="1" applyAlignment="1">
      <alignment horizontal="right" vertical="center"/>
    </xf>
    <xf numFmtId="0" fontId="4" fillId="0" borderId="52" xfId="0" applyFont="1" applyBorder="1" applyAlignment="1">
      <alignment horizontal="center" vertical="center" wrapText="1"/>
    </xf>
    <xf numFmtId="184" fontId="4" fillId="0" borderId="17" xfId="1" applyNumberFormat="1" applyFont="1" applyFill="1" applyBorder="1" applyAlignment="1">
      <alignment horizontal="right" vertical="center"/>
    </xf>
    <xf numFmtId="184" fontId="4" fillId="0" borderId="35" xfId="1" applyNumberFormat="1" applyFont="1" applyFill="1" applyBorder="1" applyAlignment="1">
      <alignment horizontal="right" vertical="center"/>
    </xf>
    <xf numFmtId="0" fontId="4" fillId="0" borderId="16" xfId="0" applyFont="1" applyBorder="1" applyAlignment="1">
      <alignment horizontal="distributed" vertical="center" wrapText="1"/>
    </xf>
    <xf numFmtId="0" fontId="0" fillId="0" borderId="7" xfId="0" applyBorder="1" applyAlignment="1">
      <alignment vertical="center" wrapText="1"/>
    </xf>
    <xf numFmtId="183" fontId="4" fillId="0" borderId="16" xfId="1" applyNumberFormat="1" applyFont="1" applyBorder="1" applyAlignment="1">
      <alignment horizontal="right" vertical="center"/>
    </xf>
    <xf numFmtId="183" fontId="4" fillId="0" borderId="35" xfId="1" applyNumberFormat="1" applyFont="1" applyBorder="1" applyAlignment="1">
      <alignment horizontal="right" vertical="center"/>
    </xf>
    <xf numFmtId="0" fontId="4" fillId="0" borderId="3" xfId="0" applyFont="1" applyFill="1" applyBorder="1" applyAlignment="1">
      <alignment horizontal="center"/>
    </xf>
    <xf numFmtId="0" fontId="4" fillId="0" borderId="19" xfId="0" applyFont="1" applyFill="1" applyBorder="1" applyAlignment="1">
      <alignment horizontal="center"/>
    </xf>
    <xf numFmtId="0" fontId="4" fillId="0" borderId="16" xfId="0" applyFont="1" applyFill="1" applyBorder="1" applyAlignment="1">
      <alignment horizontal="center"/>
    </xf>
    <xf numFmtId="0" fontId="4" fillId="0" borderId="6" xfId="0" applyFont="1" applyFill="1" applyBorder="1" applyAlignment="1">
      <alignment horizontal="center"/>
    </xf>
    <xf numFmtId="0" fontId="0" fillId="0" borderId="7" xfId="0" applyBorder="1" applyAlignment="1"/>
    <xf numFmtId="0" fontId="4" fillId="0" borderId="32" xfId="0" applyFont="1" applyFill="1" applyBorder="1" applyAlignment="1">
      <alignment horizontal="center" vertical="center"/>
    </xf>
    <xf numFmtId="0" fontId="0" fillId="0" borderId="39" xfId="0" applyBorder="1" applyAlignment="1">
      <alignment wrapText="1"/>
    </xf>
    <xf numFmtId="0" fontId="0" fillId="0" borderId="51" xfId="0" applyBorder="1" applyAlignment="1">
      <alignment wrapText="1"/>
    </xf>
    <xf numFmtId="0" fontId="4" fillId="0" borderId="47" xfId="0" applyFont="1" applyFill="1" applyBorder="1" applyAlignment="1">
      <alignment horizontal="distributed" vertical="center"/>
    </xf>
    <xf numFmtId="0" fontId="4" fillId="0" borderId="27" xfId="0" applyFont="1" applyBorder="1" applyAlignment="1">
      <alignment horizontal="distributed" vertical="center"/>
    </xf>
    <xf numFmtId="0" fontId="4" fillId="0" borderId="3" xfId="0" applyFont="1" applyFill="1" applyBorder="1" applyAlignment="1">
      <alignment horizontal="right"/>
    </xf>
    <xf numFmtId="0" fontId="4" fillId="0" borderId="0" xfId="0" applyFont="1" applyFill="1" applyAlignment="1"/>
    <xf numFmtId="0" fontId="0" fillId="0" borderId="14" xfId="0" applyBorder="1" applyAlignment="1">
      <alignment horizontal="distributed" vertical="center"/>
    </xf>
    <xf numFmtId="0" fontId="10" fillId="0" borderId="15" xfId="0" applyFont="1" applyFill="1" applyBorder="1" applyAlignment="1">
      <alignment horizontal="center" vertical="center" textRotation="255"/>
    </xf>
    <xf numFmtId="0" fontId="0" fillId="0" borderId="20" xfId="0" applyBorder="1" applyAlignment="1">
      <alignment horizontal="center" vertical="center" textRotation="255"/>
    </xf>
    <xf numFmtId="0" fontId="0" fillId="0" borderId="38" xfId="0" applyBorder="1" applyAlignment="1">
      <alignment horizontal="center" vertical="center" textRotation="255"/>
    </xf>
    <xf numFmtId="0" fontId="4" fillId="0" borderId="55" xfId="0" applyFont="1" applyFill="1" applyBorder="1" applyAlignment="1">
      <alignment horizontal="distributed" vertical="center"/>
    </xf>
    <xf numFmtId="0" fontId="4" fillId="0" borderId="37" xfId="0" applyFont="1" applyFill="1" applyBorder="1" applyAlignment="1">
      <alignment horizontal="distributed" vertical="center"/>
    </xf>
    <xf numFmtId="0" fontId="4" fillId="0" borderId="46" xfId="0" applyFont="1" applyFill="1" applyBorder="1" applyAlignment="1">
      <alignment horizontal="distributed" vertical="center"/>
    </xf>
    <xf numFmtId="0" fontId="4" fillId="0" borderId="13" xfId="0" applyFont="1" applyFill="1" applyBorder="1" applyAlignment="1">
      <alignment horizontal="distributed" vertical="center"/>
    </xf>
    <xf numFmtId="0" fontId="4" fillId="0" borderId="14" xfId="0" applyFont="1" applyFill="1" applyBorder="1" applyAlignment="1">
      <alignment horizontal="distributed" vertical="center"/>
    </xf>
    <xf numFmtId="0" fontId="4" fillId="0" borderId="22" xfId="0" applyFont="1" applyFill="1" applyBorder="1" applyAlignment="1">
      <alignment horizontal="distributed" vertical="center"/>
    </xf>
    <xf numFmtId="0" fontId="0" fillId="0" borderId="27" xfId="0" applyBorder="1" applyAlignment="1">
      <alignment horizontal="distributed" vertical="center"/>
    </xf>
    <xf numFmtId="0" fontId="4" fillId="0" borderId="16"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15"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2" xfId="0" applyFont="1" applyFill="1" applyBorder="1" applyAlignment="1">
      <alignment horizontal="right"/>
    </xf>
    <xf numFmtId="0" fontId="0" fillId="0" borderId="4" xfId="0" applyBorder="1" applyAlignment="1">
      <alignment horizontal="right"/>
    </xf>
    <xf numFmtId="176" fontId="22" fillId="0" borderId="50" xfId="0" applyNumberFormat="1" applyFont="1" applyFill="1" applyBorder="1" applyAlignment="1">
      <alignment horizontal="right" vertical="center"/>
    </xf>
    <xf numFmtId="176" fontId="22" fillId="0" borderId="4" xfId="0" applyNumberFormat="1" applyFont="1" applyFill="1" applyBorder="1" applyAlignment="1">
      <alignment horizontal="right" vertical="center"/>
    </xf>
    <xf numFmtId="176" fontId="22" fillId="0" borderId="22" xfId="0" applyNumberFormat="1" applyFont="1" applyFill="1" applyBorder="1" applyAlignment="1">
      <alignment horizontal="right" vertical="center"/>
    </xf>
    <xf numFmtId="176" fontId="22" fillId="0" borderId="27" xfId="0" applyNumberFormat="1" applyFont="1" applyFill="1" applyBorder="1" applyAlignment="1">
      <alignment horizontal="right" vertical="center"/>
    </xf>
    <xf numFmtId="176" fontId="22" fillId="0" borderId="55" xfId="0" applyNumberFormat="1" applyFont="1" applyFill="1" applyBorder="1" applyAlignment="1">
      <alignment horizontal="right" vertical="center"/>
    </xf>
    <xf numFmtId="176" fontId="22" fillId="0" borderId="46" xfId="0" applyNumberFormat="1" applyFont="1" applyFill="1" applyBorder="1" applyAlignment="1">
      <alignment horizontal="right" vertical="center"/>
    </xf>
    <xf numFmtId="176" fontId="22" fillId="0" borderId="48" xfId="0" applyNumberFormat="1" applyFont="1" applyFill="1" applyBorder="1" applyAlignment="1">
      <alignment horizontal="right" vertical="center"/>
    </xf>
    <xf numFmtId="0" fontId="0" fillId="0" borderId="34" xfId="0" applyBorder="1" applyAlignment="1">
      <alignment horizontal="right" vertical="center"/>
    </xf>
    <xf numFmtId="0" fontId="4" fillId="0" borderId="70" xfId="0" applyFont="1" applyFill="1" applyBorder="1" applyAlignment="1">
      <alignment horizontal="distributed" vertical="center"/>
    </xf>
    <xf numFmtId="0" fontId="4" fillId="0" borderId="39" xfId="0" applyFont="1" applyFill="1" applyBorder="1" applyAlignment="1">
      <alignment horizontal="distributed" vertical="center"/>
    </xf>
    <xf numFmtId="0" fontId="12" fillId="0" borderId="70" xfId="0" applyFont="1" applyFill="1" applyBorder="1" applyAlignment="1">
      <alignment horizontal="distributed" vertical="center"/>
    </xf>
    <xf numFmtId="0" fontId="12" fillId="0" borderId="39" xfId="0" applyFont="1" applyFill="1" applyBorder="1" applyAlignment="1">
      <alignment horizontal="distributed" vertical="center"/>
    </xf>
    <xf numFmtId="0" fontId="12" fillId="0" borderId="5" xfId="0" applyFont="1" applyFill="1" applyBorder="1" applyAlignment="1">
      <alignment horizontal="distributed" vertical="center"/>
    </xf>
    <xf numFmtId="0" fontId="12" fillId="0" borderId="11" xfId="0" applyFont="1" applyFill="1" applyBorder="1" applyAlignment="1">
      <alignment horizontal="distributed" vertical="center"/>
    </xf>
    <xf numFmtId="176" fontId="12" fillId="0" borderId="70" xfId="0" applyNumberFormat="1" applyFont="1" applyFill="1" applyBorder="1" applyAlignment="1">
      <alignment horizontal="distributed" vertical="center"/>
    </xf>
    <xf numFmtId="176" fontId="12" fillId="0" borderId="39" xfId="0" applyNumberFormat="1" applyFont="1" applyFill="1" applyBorder="1" applyAlignment="1">
      <alignment horizontal="distributed" vertical="center"/>
    </xf>
    <xf numFmtId="176" fontId="4" fillId="0" borderId="15" xfId="0" applyNumberFormat="1" applyFont="1" applyFill="1" applyBorder="1" applyAlignment="1">
      <alignment horizontal="distributed" vertical="center"/>
    </xf>
    <xf numFmtId="176" fontId="4" fillId="0" borderId="38" xfId="0" applyNumberFormat="1" applyFont="1" applyFill="1" applyBorder="1" applyAlignment="1">
      <alignment horizontal="distributed" vertical="center"/>
    </xf>
    <xf numFmtId="176" fontId="4" fillId="0" borderId="70" xfId="0" applyNumberFormat="1" applyFont="1" applyFill="1" applyBorder="1" applyAlignment="1">
      <alignment horizontal="distributed" vertical="center"/>
    </xf>
    <xf numFmtId="176" fontId="4" fillId="0" borderId="39" xfId="0" applyNumberFormat="1" applyFont="1" applyFill="1" applyBorder="1" applyAlignment="1">
      <alignment horizontal="distributed" vertical="center"/>
    </xf>
    <xf numFmtId="0" fontId="4" fillId="0" borderId="17" xfId="0" applyFont="1" applyFill="1" applyBorder="1" applyAlignment="1">
      <alignment horizontal="distributed" vertical="center" wrapText="1"/>
    </xf>
    <xf numFmtId="0" fontId="0" fillId="0" borderId="7" xfId="0" applyBorder="1" applyAlignment="1">
      <alignment horizontal="distributed" vertical="center" wrapText="1"/>
    </xf>
    <xf numFmtId="176" fontId="22" fillId="0" borderId="72" xfId="0" applyNumberFormat="1" applyFont="1" applyFill="1" applyBorder="1" applyAlignment="1">
      <alignment horizontal="right" vertical="center"/>
    </xf>
    <xf numFmtId="176" fontId="22" fillId="0" borderId="75" xfId="0" applyNumberFormat="1" applyFont="1" applyFill="1" applyBorder="1" applyAlignment="1">
      <alignment horizontal="right" vertical="center"/>
    </xf>
    <xf numFmtId="176" fontId="4" fillId="0" borderId="50" xfId="0" applyNumberFormat="1" applyFont="1" applyFill="1" applyBorder="1" applyAlignment="1">
      <alignment horizontal="distributed" vertical="center"/>
    </xf>
    <xf numFmtId="176" fontId="4" fillId="0" borderId="4" xfId="0" applyNumberFormat="1" applyFont="1" applyFill="1" applyBorder="1" applyAlignment="1">
      <alignment horizontal="distributed" vertical="center"/>
    </xf>
    <xf numFmtId="176" fontId="4" fillId="0" borderId="51" xfId="0" applyNumberFormat="1" applyFont="1" applyFill="1" applyBorder="1" applyAlignment="1">
      <alignment horizontal="distributed" vertical="center"/>
    </xf>
    <xf numFmtId="176" fontId="4" fillId="0" borderId="9" xfId="0" applyNumberFormat="1"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23" xfId="0" applyFont="1" applyFill="1" applyBorder="1" applyAlignment="1">
      <alignment horizontal="distributed" vertical="center" wrapText="1"/>
    </xf>
    <xf numFmtId="0" fontId="0" fillId="0" borderId="27" xfId="0" applyBorder="1" applyAlignment="1">
      <alignment horizontal="distributed" vertical="center" wrapText="1"/>
    </xf>
    <xf numFmtId="0" fontId="4" fillId="0" borderId="42"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0" fillId="0" borderId="9" xfId="0" applyBorder="1" applyAlignment="1">
      <alignment horizontal="distributed" vertical="center" wrapText="1"/>
    </xf>
    <xf numFmtId="0" fontId="4" fillId="0" borderId="2" xfId="0" applyFont="1" applyFill="1" applyBorder="1" applyAlignment="1">
      <alignment horizontal="right" wrapText="1"/>
    </xf>
    <xf numFmtId="0" fontId="4" fillId="0" borderId="64"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44" xfId="0" applyBorder="1" applyAlignment="1">
      <alignment horizontal="center" vertical="center" wrapText="1"/>
    </xf>
    <xf numFmtId="0" fontId="4" fillId="0" borderId="63" xfId="0" applyFont="1" applyFill="1" applyBorder="1" applyAlignment="1">
      <alignment horizontal="distributed" vertical="center"/>
    </xf>
    <xf numFmtId="0" fontId="4" fillId="0" borderId="76" xfId="0" applyFont="1" applyFill="1" applyBorder="1" applyAlignment="1">
      <alignment horizontal="distributed" vertical="center"/>
    </xf>
    <xf numFmtId="0" fontId="0" fillId="0" borderId="63" xfId="0" applyFont="1" applyFill="1" applyBorder="1" applyAlignment="1">
      <alignment horizontal="distributed" vertical="center"/>
    </xf>
    <xf numFmtId="0" fontId="4" fillId="0" borderId="19"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41" xfId="0" applyBorder="1" applyAlignment="1">
      <alignment horizontal="center" vertical="center" wrapText="1"/>
    </xf>
    <xf numFmtId="0" fontId="6" fillId="0" borderId="70" xfId="0" applyFont="1" applyFill="1" applyBorder="1" applyAlignment="1">
      <alignment horizontal="distributed" vertical="center" wrapText="1"/>
    </xf>
    <xf numFmtId="0" fontId="0" fillId="0" borderId="61" xfId="0" applyBorder="1" applyAlignment="1">
      <alignment horizontal="distributed" vertical="center" wrapText="1"/>
    </xf>
    <xf numFmtId="0" fontId="6" fillId="0" borderId="70" xfId="0" applyFont="1" applyFill="1" applyBorder="1" applyAlignment="1">
      <alignment horizontal="distributed" vertical="center"/>
    </xf>
    <xf numFmtId="0" fontId="0" fillId="0" borderId="61" xfId="0" applyBorder="1" applyAlignment="1">
      <alignment horizontal="distributed" vertical="center"/>
    </xf>
    <xf numFmtId="0" fontId="6" fillId="0" borderId="50" xfId="0" applyFont="1" applyFill="1" applyBorder="1" applyAlignment="1">
      <alignment horizontal="distributed" vertical="center" wrapText="1"/>
    </xf>
    <xf numFmtId="0" fontId="0" fillId="0" borderId="55" xfId="0" applyBorder="1" applyAlignment="1">
      <alignment horizontal="distributed" vertical="center" wrapText="1"/>
    </xf>
    <xf numFmtId="0" fontId="4" fillId="0" borderId="62"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57" xfId="0" applyFont="1" applyFill="1" applyBorder="1" applyAlignment="1">
      <alignment horizontal="center" vertical="center" wrapText="1"/>
    </xf>
    <xf numFmtId="0" fontId="4" fillId="0" borderId="8" xfId="0" applyFont="1" applyFill="1" applyBorder="1" applyAlignment="1">
      <alignment horizontal="distributed" vertical="center"/>
    </xf>
    <xf numFmtId="0" fontId="4" fillId="0" borderId="1" xfId="0" applyFont="1" applyFill="1" applyBorder="1" applyAlignment="1">
      <alignment horizontal="distributed" vertical="center"/>
    </xf>
    <xf numFmtId="0" fontId="0" fillId="0" borderId="10" xfId="0" applyFont="1" applyFill="1" applyBorder="1" applyAlignment="1">
      <alignment horizontal="center" vertical="center" textRotation="255" wrapText="1"/>
    </xf>
    <xf numFmtId="0" fontId="4" fillId="0" borderId="10"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0" xfId="0" applyFont="1" applyFill="1" applyAlignment="1">
      <alignment vertical="top" wrapText="1"/>
    </xf>
    <xf numFmtId="0" fontId="0" fillId="0" borderId="19" xfId="0" applyBorder="1" applyAlignment="1">
      <alignment horizontal="center" vertical="center" wrapText="1"/>
    </xf>
    <xf numFmtId="0" fontId="0" fillId="0" borderId="33" xfId="0" applyBorder="1" applyAlignment="1">
      <alignment horizontal="center" vertical="center" wrapText="1"/>
    </xf>
    <xf numFmtId="0" fontId="4" fillId="0" borderId="15" xfId="0" applyFont="1" applyFill="1" applyBorder="1" applyAlignment="1">
      <alignment horizontal="center" vertical="center" textRotation="255" wrapText="1"/>
    </xf>
    <xf numFmtId="0" fontId="4" fillId="0" borderId="20"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0" xfId="0" applyFont="1" applyFill="1" applyAlignment="1">
      <alignment horizontal="right" vertical="top" wrapText="1"/>
    </xf>
    <xf numFmtId="0" fontId="0" fillId="0" borderId="0" xfId="0" applyAlignment="1">
      <alignment vertical="top" wrapText="1"/>
    </xf>
    <xf numFmtId="0" fontId="6" fillId="0" borderId="1" xfId="0" applyFont="1" applyFill="1" applyBorder="1" applyAlignment="1">
      <alignment horizontal="right" vertical="center"/>
    </xf>
    <xf numFmtId="0" fontId="0" fillId="0" borderId="6" xfId="0" applyFont="1" applyFill="1" applyBorder="1" applyAlignment="1">
      <alignment horizontal="center" vertical="center"/>
    </xf>
    <xf numFmtId="0" fontId="4" fillId="0" borderId="3" xfId="0" applyFont="1" applyFill="1" applyBorder="1" applyAlignment="1">
      <alignment wrapText="1"/>
    </xf>
    <xf numFmtId="0" fontId="4" fillId="0" borderId="4" xfId="0" applyFont="1" applyFill="1" applyBorder="1" applyAlignment="1">
      <alignment wrapText="1"/>
    </xf>
    <xf numFmtId="0" fontId="0" fillId="0" borderId="44" xfId="0" applyBorder="1" applyAlignment="1">
      <alignment wrapText="1"/>
    </xf>
    <xf numFmtId="0" fontId="0" fillId="0" borderId="37" xfId="0" applyBorder="1" applyAlignment="1">
      <alignment wrapText="1"/>
    </xf>
    <xf numFmtId="0" fontId="0" fillId="0" borderId="46" xfId="0" applyBorder="1" applyAlignment="1">
      <alignment wrapText="1"/>
    </xf>
    <xf numFmtId="0" fontId="0" fillId="0" borderId="37" xfId="0" applyBorder="1" applyAlignment="1">
      <alignment horizontal="center" vertical="center" wrapText="1"/>
    </xf>
    <xf numFmtId="0" fontId="4" fillId="0" borderId="23"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0"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0" xfId="0" applyFont="1" applyFill="1" applyBorder="1" applyAlignment="1">
      <alignment horizontal="center" vertical="center"/>
    </xf>
    <xf numFmtId="0" fontId="32" fillId="0" borderId="2" xfId="0" applyFont="1" applyFill="1" applyBorder="1" applyAlignment="1">
      <alignment horizontal="right" vertical="top" wrapText="1"/>
    </xf>
    <xf numFmtId="0" fontId="0" fillId="0" borderId="4" xfId="0" applyBorder="1" applyAlignment="1">
      <alignment horizontal="right" vertical="top" wrapText="1"/>
    </xf>
    <xf numFmtId="0" fontId="0" fillId="0" borderId="10" xfId="0" applyBorder="1" applyAlignment="1">
      <alignment horizontal="right" vertical="top" wrapText="1"/>
    </xf>
    <xf numFmtId="0" fontId="0" fillId="0" borderId="53" xfId="0" applyBorder="1" applyAlignment="1">
      <alignment horizontal="right" vertical="top" wrapText="1"/>
    </xf>
    <xf numFmtId="0" fontId="0" fillId="0" borderId="0" xfId="0" applyAlignment="1">
      <alignment horizontal="center" vertical="center" wrapText="1"/>
    </xf>
    <xf numFmtId="0" fontId="4" fillId="0" borderId="8" xfId="0" applyFont="1" applyFill="1" applyBorder="1" applyAlignment="1">
      <alignment horizontal="center" vertical="center" wrapText="1"/>
    </xf>
    <xf numFmtId="0" fontId="0" fillId="0" borderId="1" xfId="0" applyBorder="1" applyAlignment="1">
      <alignment horizontal="center" vertical="center" wrapText="1"/>
    </xf>
    <xf numFmtId="0" fontId="4" fillId="0" borderId="23" xfId="0" applyFont="1" applyFill="1" applyBorder="1" applyAlignment="1">
      <alignment horizontal="center" vertical="center"/>
    </xf>
    <xf numFmtId="0" fontId="0" fillId="0" borderId="27" xfId="0" applyBorder="1" applyAlignment="1">
      <alignment horizontal="center" vertical="center"/>
    </xf>
    <xf numFmtId="0" fontId="0" fillId="0" borderId="34" xfId="0" applyBorder="1" applyAlignment="1">
      <alignment horizontal="center" vertical="center"/>
    </xf>
    <xf numFmtId="0" fontId="4" fillId="0" borderId="17" xfId="0" applyFont="1" applyFill="1" applyBorder="1" applyAlignment="1">
      <alignment horizontal="center" vertical="center" wrapText="1"/>
    </xf>
    <xf numFmtId="0" fontId="0" fillId="0" borderId="63" xfId="0" applyFont="1" applyFill="1" applyBorder="1" applyAlignment="1">
      <alignment horizontal="center" vertical="center"/>
    </xf>
    <xf numFmtId="0" fontId="0" fillId="0" borderId="76" xfId="0" applyBorder="1" applyAlignment="1">
      <alignment horizontal="center" vertical="center"/>
    </xf>
    <xf numFmtId="0" fontId="24" fillId="0" borderId="10" xfId="0" applyFont="1" applyBorder="1" applyAlignment="1">
      <alignment horizontal="center" vertical="center" textRotation="255" wrapText="1"/>
    </xf>
    <xf numFmtId="0" fontId="4" fillId="0" borderId="8" xfId="0" applyFont="1" applyBorder="1" applyAlignment="1">
      <alignment horizontal="center" vertical="center" textRotation="255"/>
    </xf>
    <xf numFmtId="0" fontId="6" fillId="0" borderId="2" xfId="0" applyFont="1" applyBorder="1" applyAlignment="1">
      <alignment vertical="center"/>
    </xf>
    <xf numFmtId="0" fontId="6" fillId="0" borderId="3"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5" xfId="0" applyFont="1" applyBorder="1" applyAlignment="1">
      <alignment horizontal="center" vertical="center" textRotation="255" wrapText="1"/>
    </xf>
    <xf numFmtId="0" fontId="4" fillId="0" borderId="30" xfId="0" applyFont="1" applyFill="1" applyBorder="1" applyAlignment="1">
      <alignment horizontal="distributed" vertical="center"/>
    </xf>
    <xf numFmtId="0" fontId="4" fillId="0" borderId="34" xfId="0" applyFont="1" applyFill="1" applyBorder="1" applyAlignment="1">
      <alignment horizontal="distributed" vertical="center"/>
    </xf>
    <xf numFmtId="0" fontId="4" fillId="0" borderId="3" xfId="0" applyFont="1" applyFill="1" applyBorder="1" applyAlignment="1">
      <alignment horizontal="right" vertical="center"/>
    </xf>
    <xf numFmtId="0" fontId="4" fillId="0" borderId="0" xfId="0" applyFont="1" applyFill="1" applyBorder="1" applyAlignment="1">
      <alignment vertical="center"/>
    </xf>
    <xf numFmtId="0" fontId="0" fillId="0" borderId="3" xfId="0" applyFont="1" applyFill="1" applyBorder="1" applyAlignment="1">
      <alignment horizontal="center" vertical="center"/>
    </xf>
    <xf numFmtId="0" fontId="4" fillId="0" borderId="17" xfId="0" applyFont="1" applyFill="1" applyBorder="1" applyAlignment="1">
      <alignment horizontal="distributed" vertical="center"/>
    </xf>
    <xf numFmtId="0" fontId="4" fillId="0" borderId="23" xfId="0" applyFont="1" applyFill="1" applyBorder="1" applyAlignment="1">
      <alignment horizontal="distributed" vertical="center"/>
    </xf>
    <xf numFmtId="0" fontId="4" fillId="0" borderId="27" xfId="0" applyFont="1" applyFill="1" applyBorder="1" applyAlignment="1">
      <alignment horizontal="distributed" vertical="center"/>
    </xf>
    <xf numFmtId="0" fontId="0" fillId="0" borderId="2" xfId="0" applyFont="1" applyFill="1" applyBorder="1" applyAlignment="1">
      <alignment horizontal="center" vertical="center" wrapText="1"/>
    </xf>
    <xf numFmtId="0" fontId="0" fillId="0" borderId="44" xfId="0" applyBorder="1" applyAlignment="1">
      <alignment horizontal="center" vertical="center"/>
    </xf>
    <xf numFmtId="0" fontId="0" fillId="0" borderId="37" xfId="0" applyBorder="1" applyAlignment="1">
      <alignment horizontal="center" vertical="center"/>
    </xf>
    <xf numFmtId="0" fontId="4" fillId="0" borderId="6" xfId="0" applyFont="1" applyBorder="1" applyAlignment="1">
      <alignment horizontal="center" vertical="center"/>
    </xf>
    <xf numFmtId="0" fontId="4" fillId="0" borderId="4" xfId="0" applyFont="1" applyFill="1" applyBorder="1" applyAlignment="1">
      <alignment horizontal="right" vertical="center"/>
    </xf>
    <xf numFmtId="0" fontId="0" fillId="0" borderId="46" xfId="0" applyBorder="1" applyAlignment="1">
      <alignment horizontal="right" vertical="center"/>
    </xf>
    <xf numFmtId="0" fontId="0" fillId="0" borderId="37" xfId="0" applyBorder="1" applyAlignment="1">
      <alignment horizontal="right" vertical="center"/>
    </xf>
    <xf numFmtId="0" fontId="12" fillId="0" borderId="4" xfId="0" applyFont="1" applyFill="1" applyBorder="1" applyAlignment="1">
      <alignment horizontal="right" vertical="center"/>
    </xf>
    <xf numFmtId="0" fontId="0" fillId="0" borderId="53" xfId="0" applyBorder="1" applyAlignment="1">
      <alignment horizontal="right" vertical="center"/>
    </xf>
    <xf numFmtId="0" fontId="4" fillId="0" borderId="50" xfId="0" applyFont="1" applyFill="1" applyBorder="1" applyAlignment="1">
      <alignment horizontal="center" wrapText="1"/>
    </xf>
    <xf numFmtId="0" fontId="0" fillId="0" borderId="54" xfId="0" applyBorder="1" applyAlignment="1">
      <alignment horizontal="center" wrapText="1"/>
    </xf>
    <xf numFmtId="0" fontId="4" fillId="0" borderId="63" xfId="0" applyFont="1" applyFill="1" applyBorder="1" applyAlignment="1">
      <alignment horizontal="left"/>
    </xf>
    <xf numFmtId="0" fontId="4" fillId="0" borderId="76" xfId="0" applyFont="1" applyFill="1" applyBorder="1" applyAlignment="1">
      <alignment horizontal="left"/>
    </xf>
    <xf numFmtId="0" fontId="4" fillId="0" borderId="75" xfId="0" applyFont="1" applyFill="1" applyBorder="1" applyAlignment="1">
      <alignment horizontal="left"/>
    </xf>
    <xf numFmtId="0" fontId="0" fillId="0" borderId="2" xfId="0" applyFont="1" applyFill="1" applyBorder="1" applyAlignment="1">
      <alignment horizontal="center" vertical="center" textRotation="255"/>
    </xf>
    <xf numFmtId="0" fontId="0" fillId="0" borderId="19" xfId="0" applyBorder="1" applyAlignment="1">
      <alignment vertical="center" textRotation="255"/>
    </xf>
    <xf numFmtId="0" fontId="0" fillId="0" borderId="10" xfId="0" applyBorder="1" applyAlignment="1">
      <alignment vertical="center" textRotation="255"/>
    </xf>
    <xf numFmtId="0" fontId="0" fillId="0" borderId="28" xfId="0" applyBorder="1" applyAlignment="1">
      <alignment vertical="center" textRotation="255"/>
    </xf>
    <xf numFmtId="0" fontId="0" fillId="0" borderId="8" xfId="0" applyBorder="1" applyAlignment="1">
      <alignment vertical="center" textRotation="255"/>
    </xf>
    <xf numFmtId="0" fontId="0" fillId="0" borderId="33" xfId="0" applyBorder="1" applyAlignment="1">
      <alignment vertical="center" textRotation="255"/>
    </xf>
    <xf numFmtId="0" fontId="4" fillId="0" borderId="29" xfId="0" applyFont="1" applyFill="1" applyBorder="1" applyAlignment="1">
      <alignment horizontal="center" vertical="center" wrapText="1"/>
    </xf>
    <xf numFmtId="0" fontId="4" fillId="0" borderId="36"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15" xfId="0" applyFont="1" applyFill="1" applyBorder="1" applyAlignment="1">
      <alignment horizontal="center" wrapText="1"/>
    </xf>
    <xf numFmtId="0" fontId="0" fillId="0" borderId="20" xfId="0" applyBorder="1" applyAlignment="1">
      <alignment horizontal="center" wrapText="1"/>
    </xf>
    <xf numFmtId="0" fontId="4" fillId="0" borderId="10" xfId="0" applyFont="1" applyFill="1" applyBorder="1" applyAlignment="1">
      <alignment horizontal="right" vertical="center" wrapText="1"/>
    </xf>
    <xf numFmtId="0" fontId="0" fillId="0" borderId="33" xfId="0" applyBorder="1" applyAlignment="1">
      <alignment horizontal="right" vertical="center" wrapText="1"/>
    </xf>
    <xf numFmtId="0" fontId="4" fillId="0" borderId="70" xfId="0" applyFont="1" applyFill="1" applyBorder="1" applyAlignment="1">
      <alignment horizontal="center" vertical="center" wrapText="1"/>
    </xf>
    <xf numFmtId="0" fontId="4" fillId="0" borderId="70" xfId="0" applyFont="1" applyFill="1" applyBorder="1" applyAlignment="1">
      <alignment horizontal="center" wrapText="1"/>
    </xf>
    <xf numFmtId="0" fontId="0" fillId="0" borderId="36" xfId="0" applyBorder="1" applyAlignment="1">
      <alignment horizontal="center" wrapText="1"/>
    </xf>
    <xf numFmtId="0" fontId="4" fillId="0" borderId="70" xfId="0" applyFont="1" applyFill="1" applyBorder="1" applyAlignment="1">
      <alignment horizontal="center" vertical="center" shrinkToFit="1"/>
    </xf>
    <xf numFmtId="0" fontId="0" fillId="0" borderId="36" xfId="0" applyBorder="1" applyAlignment="1">
      <alignment vertical="center" shrinkToFit="1"/>
    </xf>
    <xf numFmtId="0" fontId="4" fillId="0" borderId="64" xfId="0" applyFont="1" applyFill="1" applyBorder="1" applyAlignment="1">
      <alignment horizontal="distributed" vertical="center"/>
    </xf>
    <xf numFmtId="0" fontId="4" fillId="0" borderId="66" xfId="0" applyFont="1" applyFill="1" applyBorder="1" applyAlignment="1">
      <alignment horizontal="distributed" vertical="center"/>
    </xf>
    <xf numFmtId="0" fontId="4" fillId="0" borderId="65" xfId="0" applyFont="1" applyFill="1" applyBorder="1" applyAlignment="1">
      <alignment horizontal="distributed" vertical="center"/>
    </xf>
    <xf numFmtId="0" fontId="4" fillId="0" borderId="8" xfId="0" applyFont="1" applyFill="1" applyBorder="1" applyAlignment="1">
      <alignment horizontal="right" vertical="center" wrapText="1"/>
    </xf>
    <xf numFmtId="0" fontId="0" fillId="0" borderId="19" xfId="0" applyBorder="1" applyAlignment="1">
      <alignment vertical="center" wrapText="1"/>
    </xf>
    <xf numFmtId="0" fontId="0" fillId="0" borderId="10" xfId="0" applyBorder="1" applyAlignment="1">
      <alignment vertical="center" wrapText="1"/>
    </xf>
    <xf numFmtId="0" fontId="0" fillId="0" borderId="28" xfId="0" applyBorder="1" applyAlignment="1">
      <alignment vertical="center" wrapText="1"/>
    </xf>
    <xf numFmtId="0" fontId="4" fillId="0" borderId="8" xfId="0" applyFont="1" applyFill="1" applyBorder="1" applyAlignment="1">
      <alignment horizontal="right" vertical="center"/>
    </xf>
    <xf numFmtId="0" fontId="0" fillId="0" borderId="33" xfId="0" applyBorder="1" applyAlignment="1">
      <alignment horizontal="right" vertical="center"/>
    </xf>
    <xf numFmtId="0" fontId="4" fillId="0" borderId="19" xfId="0" applyFont="1" applyFill="1" applyBorder="1" applyAlignment="1">
      <alignment horizontal="distributed" vertical="center"/>
    </xf>
    <xf numFmtId="0" fontId="4" fillId="0" borderId="28" xfId="0" applyFont="1" applyFill="1" applyBorder="1" applyAlignment="1">
      <alignment horizontal="distributed" vertical="center"/>
    </xf>
    <xf numFmtId="0" fontId="4" fillId="0" borderId="33" xfId="0" applyFont="1" applyFill="1" applyBorder="1" applyAlignment="1">
      <alignment horizontal="distributed" vertical="center"/>
    </xf>
    <xf numFmtId="0" fontId="4" fillId="0" borderId="36" xfId="0" applyFont="1" applyFill="1" applyBorder="1" applyAlignment="1">
      <alignment horizontal="distributed" vertical="center"/>
    </xf>
    <xf numFmtId="0" fontId="4" fillId="0" borderId="50" xfId="0" applyFont="1" applyFill="1" applyBorder="1" applyAlignment="1">
      <alignment horizontal="distributed" vertical="center"/>
    </xf>
    <xf numFmtId="0" fontId="4" fillId="0" borderId="54" xfId="0" applyFont="1" applyFill="1" applyBorder="1" applyAlignment="1">
      <alignment horizontal="distributed" vertical="center"/>
    </xf>
    <xf numFmtId="0" fontId="4" fillId="0" borderId="51" xfId="0" applyFont="1" applyFill="1" applyBorder="1" applyAlignment="1">
      <alignment horizontal="distributed" vertical="center"/>
    </xf>
    <xf numFmtId="0" fontId="4" fillId="0" borderId="47" xfId="0" applyFont="1" applyFill="1" applyBorder="1" applyAlignment="1">
      <alignment horizontal="center" vertical="center" shrinkToFit="1"/>
    </xf>
    <xf numFmtId="0" fontId="0" fillId="0" borderId="36" xfId="0" applyBorder="1" applyAlignment="1">
      <alignment horizontal="center" vertical="center" shrinkToFit="1"/>
    </xf>
    <xf numFmtId="0" fontId="0" fillId="0" borderId="7" xfId="0" applyBorder="1" applyAlignment="1">
      <alignment horizontal="center" vertical="center"/>
    </xf>
    <xf numFmtId="0" fontId="4" fillId="0" borderId="52" xfId="0" applyFont="1" applyFill="1" applyBorder="1" applyAlignment="1">
      <alignment horizontal="center" vertical="center" wrapText="1"/>
    </xf>
    <xf numFmtId="0" fontId="4" fillId="0" borderId="0" xfId="0" applyFont="1" applyFill="1" applyAlignment="1">
      <alignment vertical="top"/>
    </xf>
    <xf numFmtId="0" fontId="12" fillId="0" borderId="21" xfId="0" applyFont="1" applyFill="1" applyBorder="1" applyAlignment="1">
      <alignment horizontal="center" vertical="center" textRotation="255"/>
    </xf>
    <xf numFmtId="0" fontId="6" fillId="0" borderId="21" xfId="0" applyFont="1" applyFill="1" applyBorder="1" applyAlignment="1">
      <alignment horizontal="center" vertical="center" textRotation="255"/>
    </xf>
    <xf numFmtId="0" fontId="4" fillId="0" borderId="63" xfId="0" applyFont="1" applyFill="1" applyBorder="1" applyAlignment="1">
      <alignment vertical="center"/>
    </xf>
    <xf numFmtId="0" fontId="4" fillId="0" borderId="76" xfId="0" applyFont="1" applyFill="1" applyBorder="1" applyAlignment="1">
      <alignment vertical="center"/>
    </xf>
    <xf numFmtId="0" fontId="4" fillId="0" borderId="75" xfId="0" applyFont="1" applyFill="1" applyBorder="1" applyAlignment="1">
      <alignment vertical="center"/>
    </xf>
    <xf numFmtId="0" fontId="4" fillId="0" borderId="0" xfId="0" applyFont="1" applyFill="1" applyBorder="1" applyAlignment="1">
      <alignment horizontal="right" vertical="top"/>
    </xf>
    <xf numFmtId="0" fontId="4" fillId="0" borderId="0" xfId="0" applyFont="1" applyFill="1" applyBorder="1" applyAlignment="1">
      <alignment vertical="top" wrapText="1"/>
    </xf>
    <xf numFmtId="0" fontId="4" fillId="0" borderId="21" xfId="0" applyFont="1" applyBorder="1" applyAlignment="1">
      <alignment horizontal="center" vertical="center"/>
    </xf>
    <xf numFmtId="0" fontId="4" fillId="0" borderId="29" xfId="0" applyFont="1" applyBorder="1" applyAlignment="1">
      <alignment horizontal="center" vertical="center"/>
    </xf>
    <xf numFmtId="0" fontId="4" fillId="0" borderId="61" xfId="0" applyFont="1" applyBorder="1" applyAlignment="1">
      <alignment horizontal="center" vertical="center"/>
    </xf>
    <xf numFmtId="0" fontId="4" fillId="0" borderId="29" xfId="0" applyFont="1" applyFill="1" applyBorder="1" applyAlignment="1">
      <alignment horizontal="center" vertical="center"/>
    </xf>
    <xf numFmtId="0" fontId="0" fillId="0" borderId="4" xfId="0" applyBorder="1" applyAlignment="1">
      <alignment vertical="center" wrapText="1"/>
    </xf>
    <xf numFmtId="0" fontId="0" fillId="0" borderId="10" xfId="0" applyBorder="1" applyAlignment="1">
      <alignment horizontal="center" vertical="center" wrapText="1"/>
    </xf>
    <xf numFmtId="0" fontId="0" fillId="0" borderId="53" xfId="0" applyBorder="1" applyAlignment="1">
      <alignment vertical="center" wrapText="1"/>
    </xf>
    <xf numFmtId="0" fontId="0" fillId="0" borderId="9" xfId="0" applyBorder="1" applyAlignment="1">
      <alignment vertical="center" wrapText="1"/>
    </xf>
    <xf numFmtId="0" fontId="12" fillId="0" borderId="22" xfId="0" applyFont="1" applyFill="1" applyBorder="1" applyAlignment="1">
      <alignment horizontal="distributed" vertical="center" wrapText="1"/>
    </xf>
    <xf numFmtId="183" fontId="33" fillId="0" borderId="56" xfId="0" applyNumberFormat="1" applyFont="1" applyFill="1" applyBorder="1" applyAlignment="1">
      <alignment vertical="center"/>
    </xf>
    <xf numFmtId="0" fontId="4" fillId="0" borderId="45" xfId="0" applyFont="1" applyFill="1" applyBorder="1" applyAlignment="1"/>
    <xf numFmtId="0" fontId="12" fillId="0" borderId="47" xfId="0" applyFont="1" applyFill="1" applyBorder="1" applyAlignment="1">
      <alignment horizontal="distributed" vertical="center" wrapText="1"/>
    </xf>
    <xf numFmtId="0" fontId="0" fillId="0" borderId="14" xfId="0" applyBorder="1" applyAlignment="1">
      <alignment vertical="center" wrapText="1"/>
    </xf>
    <xf numFmtId="183" fontId="33" fillId="0" borderId="52" xfId="0" applyNumberFormat="1" applyFont="1" applyFill="1" applyBorder="1" applyAlignment="1">
      <alignment vertical="center"/>
    </xf>
    <xf numFmtId="0" fontId="4" fillId="0" borderId="43" xfId="0" applyFont="1" applyFill="1" applyBorder="1" applyAlignment="1"/>
    <xf numFmtId="183" fontId="33" fillId="0" borderId="30" xfId="0" applyNumberFormat="1" applyFont="1" applyFill="1" applyBorder="1" applyAlignment="1">
      <alignment vertical="center"/>
    </xf>
    <xf numFmtId="0" fontId="12" fillId="0" borderId="17" xfId="0" applyFont="1" applyFill="1" applyBorder="1" applyAlignment="1">
      <alignment horizontal="distributed" vertical="center" wrapText="1"/>
    </xf>
    <xf numFmtId="183" fontId="33" fillId="0" borderId="58" xfId="0" applyNumberFormat="1" applyFont="1" applyFill="1" applyBorder="1" applyAlignment="1">
      <alignment vertical="center"/>
    </xf>
    <xf numFmtId="0" fontId="4" fillId="0" borderId="18" xfId="0" applyFont="1" applyFill="1" applyBorder="1" applyAlignment="1"/>
    <xf numFmtId="0" fontId="0" fillId="0" borderId="42" xfId="0" applyFont="1" applyFill="1" applyBorder="1" applyAlignment="1">
      <alignment horizontal="center" vertical="center" wrapText="1"/>
    </xf>
    <xf numFmtId="0" fontId="0" fillId="0" borderId="12" xfId="0" applyBorder="1" applyAlignment="1">
      <alignment vertical="center" wrapText="1"/>
    </xf>
    <xf numFmtId="0" fontId="0" fillId="0" borderId="33" xfId="0" applyBorder="1" applyAlignment="1">
      <alignment vertical="center" wrapText="1"/>
    </xf>
    <xf numFmtId="183" fontId="33" fillId="0" borderId="62" xfId="0" applyNumberFormat="1" applyFont="1" applyFill="1" applyBorder="1" applyAlignment="1">
      <alignment vertical="center"/>
    </xf>
    <xf numFmtId="0" fontId="4" fillId="0" borderId="24" xfId="0" applyFont="1" applyFill="1" applyBorder="1" applyAlignment="1"/>
    <xf numFmtId="183" fontId="33" fillId="0" borderId="23" xfId="0" applyNumberFormat="1" applyFont="1" applyFill="1" applyBorder="1" applyAlignment="1">
      <alignment vertical="center"/>
    </xf>
    <xf numFmtId="0" fontId="0" fillId="0" borderId="41" xfId="0" applyBorder="1" applyAlignment="1">
      <alignment vertical="center" wrapText="1"/>
    </xf>
    <xf numFmtId="0" fontId="0" fillId="0" borderId="42" xfId="0" applyFont="1" applyFill="1" applyBorder="1" applyAlignment="1">
      <alignment horizontal="center" vertical="center" wrapText="1" shrinkToFit="1"/>
    </xf>
    <xf numFmtId="0" fontId="0" fillId="0" borderId="10" xfId="0" applyBorder="1" applyAlignment="1">
      <alignment horizontal="center" vertical="center" wrapText="1" shrinkToFit="1"/>
    </xf>
    <xf numFmtId="0" fontId="0" fillId="0" borderId="44" xfId="0" applyBorder="1" applyAlignment="1">
      <alignment horizontal="center" vertical="center" wrapText="1" shrinkToFit="1"/>
    </xf>
    <xf numFmtId="0" fontId="4" fillId="0" borderId="60" xfId="0" applyFont="1" applyFill="1" applyBorder="1" applyAlignment="1">
      <alignment horizontal="center" vertical="center"/>
    </xf>
    <xf numFmtId="0" fontId="4" fillId="0" borderId="7" xfId="0" applyFont="1" applyFill="1" applyBorder="1" applyAlignment="1"/>
    <xf numFmtId="0" fontId="4" fillId="0" borderId="42" xfId="0" applyFont="1" applyFill="1" applyBorder="1" applyAlignment="1">
      <alignment horizontal="center" vertical="center"/>
    </xf>
    <xf numFmtId="0" fontId="4" fillId="0" borderId="14" xfId="0" applyFont="1" applyFill="1" applyBorder="1" applyAlignment="1"/>
    <xf numFmtId="0" fontId="27" fillId="0" borderId="8" xfId="0" applyFont="1" applyFill="1" applyBorder="1" applyAlignment="1">
      <alignment vertical="center"/>
    </xf>
    <xf numFmtId="0" fontId="4" fillId="0" borderId="1" xfId="0" applyFont="1" applyFill="1" applyBorder="1" applyAlignment="1">
      <alignment vertical="center"/>
    </xf>
    <xf numFmtId="0" fontId="12" fillId="0" borderId="50" xfId="0" applyFont="1" applyFill="1" applyBorder="1" applyAlignment="1">
      <alignment horizontal="distributed" vertical="center" wrapText="1"/>
    </xf>
    <xf numFmtId="0" fontId="4" fillId="0" borderId="25"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32" xfId="0" applyFont="1" applyFill="1" applyBorder="1" applyAlignment="1">
      <alignment vertical="center" wrapText="1"/>
    </xf>
    <xf numFmtId="0" fontId="0" fillId="0" borderId="34" xfId="0" applyBorder="1" applyAlignment="1">
      <alignment vertical="center" wrapText="1"/>
    </xf>
    <xf numFmtId="0" fontId="4" fillId="0" borderId="3" xfId="0" applyFont="1" applyFill="1" applyBorder="1" applyAlignment="1">
      <alignment vertical="top" wrapText="1"/>
    </xf>
    <xf numFmtId="0" fontId="4" fillId="0" borderId="0" xfId="0" applyFont="1" applyFill="1" applyBorder="1" applyAlignment="1">
      <alignment horizontal="right"/>
    </xf>
    <xf numFmtId="0" fontId="27" fillId="0" borderId="2" xfId="0" applyFont="1" applyFill="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4" fillId="0" borderId="3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8" xfId="0" applyFont="1" applyFill="1" applyBorder="1" applyAlignment="1">
      <alignment vertical="center"/>
    </xf>
    <xf numFmtId="0" fontId="4" fillId="0" borderId="6" xfId="0" applyFont="1" applyFill="1" applyBorder="1" applyAlignment="1">
      <alignment vertical="center" wrapText="1"/>
    </xf>
    <xf numFmtId="0" fontId="4" fillId="0" borderId="42" xfId="0" applyFont="1" applyFill="1" applyBorder="1" applyAlignment="1">
      <alignment horizontal="center" vertical="center" wrapText="1"/>
    </xf>
    <xf numFmtId="0" fontId="4" fillId="0" borderId="27" xfId="0" applyFont="1" applyBorder="1" applyAlignment="1">
      <alignment vertical="center" wrapText="1"/>
    </xf>
    <xf numFmtId="0" fontId="4" fillId="0" borderId="2" xfId="0" applyFont="1" applyFill="1" applyBorder="1" applyAlignment="1">
      <alignment horizontal="right" vertical="center"/>
    </xf>
    <xf numFmtId="0" fontId="4" fillId="0" borderId="15"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4" fillId="0" borderId="66" xfId="0" applyFont="1" applyFill="1" applyBorder="1" applyAlignment="1">
      <alignment wrapText="1"/>
    </xf>
    <xf numFmtId="0" fontId="0" fillId="0" borderId="65" xfId="0" applyBorder="1" applyAlignment="1">
      <alignment wrapText="1"/>
    </xf>
    <xf numFmtId="0" fontId="0" fillId="0" borderId="38" xfId="0" applyBorder="1" applyAlignment="1">
      <alignment horizontal="distributed" vertical="center" wrapText="1"/>
    </xf>
    <xf numFmtId="0" fontId="0" fillId="0" borderId="39" xfId="0" applyBorder="1" applyAlignment="1">
      <alignment horizontal="distributed" vertical="center" wrapText="1"/>
    </xf>
    <xf numFmtId="0" fontId="0" fillId="0" borderId="1" xfId="0" applyBorder="1" applyAlignment="1"/>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0" fillId="0" borderId="4" xfId="0" applyBorder="1" applyAlignment="1">
      <alignment horizontal="distributed" vertical="center"/>
    </xf>
    <xf numFmtId="0" fontId="4" fillId="0" borderId="44" xfId="0" applyFont="1" applyFill="1" applyBorder="1" applyAlignment="1">
      <alignment horizontal="distributed" vertical="center"/>
    </xf>
    <xf numFmtId="0" fontId="0" fillId="0" borderId="46" xfId="0" applyBorder="1" applyAlignment="1">
      <alignment horizontal="distributed" vertical="center"/>
    </xf>
    <xf numFmtId="0" fontId="4" fillId="0" borderId="17" xfId="0" applyFont="1" applyFill="1" applyBorder="1" applyAlignment="1">
      <alignment horizontal="center"/>
    </xf>
    <xf numFmtId="0" fontId="4" fillId="0" borderId="44" xfId="0" applyFont="1" applyFill="1" applyBorder="1" applyAlignment="1">
      <alignment horizontal="center" vertical="center"/>
    </xf>
    <xf numFmtId="0" fontId="4" fillId="0" borderId="37" xfId="0" applyFont="1" applyFill="1" applyBorder="1" applyAlignment="1">
      <alignment horizontal="center" vertical="center"/>
    </xf>
    <xf numFmtId="0" fontId="0" fillId="0" borderId="46" xfId="0" applyBorder="1" applyAlignment="1">
      <alignment horizontal="center" vertical="center"/>
    </xf>
    <xf numFmtId="0" fontId="6" fillId="0" borderId="44" xfId="0" applyFont="1" applyFill="1" applyBorder="1" applyAlignment="1">
      <alignment horizontal="distributed" vertical="center"/>
    </xf>
    <xf numFmtId="0" fontId="6" fillId="0" borderId="37" xfId="0" applyFont="1" applyFill="1" applyBorder="1" applyAlignment="1">
      <alignment horizontal="distributed" vertical="center"/>
    </xf>
    <xf numFmtId="0" fontId="0" fillId="0" borderId="46" xfId="0" applyBorder="1" applyAlignment="1"/>
    <xf numFmtId="0" fontId="0" fillId="0" borderId="2" xfId="0" applyFont="1" applyFill="1" applyBorder="1" applyAlignment="1">
      <alignment vertical="top" wrapText="1"/>
    </xf>
    <xf numFmtId="0" fontId="4" fillId="0" borderId="3" xfId="0" applyFont="1" applyFill="1" applyBorder="1" applyAlignment="1">
      <alignment vertical="top"/>
    </xf>
    <xf numFmtId="0" fontId="4" fillId="0" borderId="4" xfId="0" applyFont="1" applyFill="1" applyBorder="1" applyAlignment="1">
      <alignment vertical="top"/>
    </xf>
    <xf numFmtId="0" fontId="0" fillId="0" borderId="8" xfId="0" applyBorder="1" applyAlignment="1">
      <alignment vertical="top"/>
    </xf>
    <xf numFmtId="0" fontId="0" fillId="0" borderId="1" xfId="0" applyBorder="1" applyAlignment="1">
      <alignment vertical="top"/>
    </xf>
    <xf numFmtId="0" fontId="0" fillId="0" borderId="9" xfId="0" applyBorder="1" applyAlignment="1">
      <alignment vertical="top"/>
    </xf>
    <xf numFmtId="0" fontId="4" fillId="0" borderId="65" xfId="0" applyFont="1" applyFill="1" applyBorder="1" applyAlignment="1">
      <alignment vertical="center"/>
    </xf>
    <xf numFmtId="0" fontId="33" fillId="0" borderId="64" xfId="0" applyFont="1" applyFill="1" applyBorder="1" applyAlignment="1">
      <alignment horizontal="center" vertical="center"/>
    </xf>
    <xf numFmtId="0" fontId="33" fillId="0" borderId="2" xfId="0" applyFont="1" applyFill="1" applyBorder="1" applyAlignment="1">
      <alignment horizontal="center" vertical="center"/>
    </xf>
    <xf numFmtId="0" fontId="4" fillId="0" borderId="21" xfId="0" applyFont="1" applyFill="1" applyBorder="1" applyAlignment="1">
      <alignment horizontal="center" vertical="center" textRotation="255"/>
    </xf>
    <xf numFmtId="0" fontId="12" fillId="0" borderId="3" xfId="0" applyFont="1" applyFill="1" applyBorder="1" applyAlignment="1">
      <alignment horizontal="left" vertical="top" wrapText="1"/>
    </xf>
    <xf numFmtId="0" fontId="4" fillId="0" borderId="3" xfId="0" applyFont="1" applyFill="1" applyBorder="1" applyAlignment="1">
      <alignment horizontal="left" wrapText="1"/>
    </xf>
    <xf numFmtId="0" fontId="0" fillId="0" borderId="3" xfId="0" applyBorder="1" applyAlignment="1">
      <alignment wrapText="1"/>
    </xf>
    <xf numFmtId="0" fontId="0" fillId="0" borderId="34" xfId="0" applyBorder="1" applyAlignment="1">
      <alignment horizontal="center" vertical="center" wrapText="1"/>
    </xf>
    <xf numFmtId="0" fontId="0" fillId="0" borderId="4"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8" xfId="0" applyFont="1" applyFill="1" applyBorder="1" applyAlignment="1"/>
    <xf numFmtId="0" fontId="0" fillId="0" borderId="70" xfId="0" applyFont="1" applyFill="1" applyBorder="1" applyAlignment="1">
      <alignment horizontal="center" vertical="center" shrinkToFit="1"/>
    </xf>
    <xf numFmtId="0" fontId="0" fillId="0" borderId="3" xfId="0" applyBorder="1" applyAlignment="1">
      <alignment horizontal="right"/>
    </xf>
    <xf numFmtId="0" fontId="0" fillId="0" borderId="20" xfId="0" applyBorder="1" applyAlignment="1">
      <alignment horizontal="center" vertical="center"/>
    </xf>
    <xf numFmtId="0" fontId="0" fillId="0" borderId="38" xfId="0" applyBorder="1" applyAlignment="1">
      <alignment horizontal="center" vertical="center"/>
    </xf>
    <xf numFmtId="0" fontId="4" fillId="0" borderId="22" xfId="0" applyFont="1" applyFill="1" applyBorder="1" applyAlignment="1">
      <alignment horizontal="distributed" vertical="center" wrapText="1"/>
    </xf>
    <xf numFmtId="0" fontId="4" fillId="0" borderId="47" xfId="0" applyFont="1" applyFill="1" applyBorder="1" applyAlignment="1">
      <alignment horizontal="distributed" vertical="center" wrapText="1"/>
    </xf>
    <xf numFmtId="0" fontId="12" fillId="0" borderId="3" xfId="0" applyFont="1" applyFill="1" applyBorder="1" applyAlignment="1">
      <alignment horizontal="left" vertical="center"/>
    </xf>
    <xf numFmtId="0" fontId="4" fillId="0" borderId="3" xfId="0" applyFont="1" applyFill="1" applyBorder="1" applyAlignment="1">
      <alignment horizontal="left"/>
    </xf>
    <xf numFmtId="0" fontId="4" fillId="0" borderId="16" xfId="0" applyFont="1" applyFill="1" applyBorder="1" applyAlignment="1">
      <alignment horizontal="distributed" vertical="center" wrapText="1"/>
    </xf>
    <xf numFmtId="0" fontId="0" fillId="0" borderId="15" xfId="0" applyFont="1" applyFill="1" applyBorder="1" applyAlignment="1">
      <alignment horizontal="center" vertical="center" wrapText="1"/>
    </xf>
    <xf numFmtId="0" fontId="0" fillId="0" borderId="56" xfId="0" applyBorder="1" applyAlignment="1">
      <alignment horizontal="center" vertical="center"/>
    </xf>
    <xf numFmtId="0" fontId="0" fillId="0" borderId="56" xfId="0" applyBorder="1" applyAlignment="1">
      <alignment horizontal="center" vertical="center" wrapText="1"/>
    </xf>
    <xf numFmtId="0" fontId="4" fillId="0" borderId="20" xfId="0" applyFont="1" applyFill="1" applyBorder="1" applyAlignment="1">
      <alignment vertical="center"/>
    </xf>
    <xf numFmtId="0" fontId="4" fillId="0" borderId="36" xfId="0" applyFont="1" applyFill="1" applyBorder="1" applyAlignment="1">
      <alignment vertical="center"/>
    </xf>
    <xf numFmtId="0" fontId="4" fillId="0" borderId="36" xfId="0" applyFont="1" applyFill="1" applyBorder="1" applyAlignment="1">
      <alignment vertical="center" wrapText="1"/>
    </xf>
    <xf numFmtId="0" fontId="4" fillId="0" borderId="60" xfId="0" applyFont="1" applyFill="1" applyBorder="1" applyAlignment="1">
      <alignment vertical="center"/>
    </xf>
    <xf numFmtId="0" fontId="4" fillId="0" borderId="66" xfId="0" applyFont="1" applyFill="1" applyBorder="1" applyAlignment="1">
      <alignment vertical="center"/>
    </xf>
    <xf numFmtId="0" fontId="4" fillId="0" borderId="2" xfId="0" applyFont="1" applyFill="1" applyBorder="1" applyAlignment="1">
      <alignment horizontal="center"/>
    </xf>
    <xf numFmtId="0" fontId="0" fillId="0" borderId="4" xfId="0" applyBorder="1" applyAlignment="1">
      <alignment horizontal="center"/>
    </xf>
    <xf numFmtId="0" fontId="4" fillId="0" borderId="25" xfId="0" applyFont="1" applyFill="1" applyBorder="1" applyAlignment="1">
      <alignment horizontal="distributed" vertical="center"/>
    </xf>
    <xf numFmtId="0" fontId="6" fillId="0" borderId="23" xfId="0" applyFont="1" applyFill="1" applyBorder="1" applyAlignment="1">
      <alignment horizontal="distributed" vertical="center"/>
    </xf>
    <xf numFmtId="0" fontId="6" fillId="0" borderId="25" xfId="0" applyFont="1" applyFill="1" applyBorder="1" applyAlignment="1">
      <alignment horizontal="distributed" vertical="center"/>
    </xf>
    <xf numFmtId="0" fontId="33" fillId="0" borderId="66" xfId="0" applyFont="1" applyFill="1" applyBorder="1" applyAlignment="1">
      <alignment horizontal="center" vertical="center"/>
    </xf>
    <xf numFmtId="0" fontId="33" fillId="0" borderId="66" xfId="0" applyFont="1" applyFill="1" applyBorder="1" applyAlignment="1">
      <alignment horizontal="center" vertical="center" wrapText="1"/>
    </xf>
    <xf numFmtId="0" fontId="4" fillId="0" borderId="65" xfId="0" applyFont="1" applyBorder="1" applyAlignment="1">
      <alignment vertical="center" wrapText="1"/>
    </xf>
    <xf numFmtId="0" fontId="4" fillId="0" borderId="9" xfId="0" applyFont="1" applyFill="1" applyBorder="1" applyAlignment="1">
      <alignment vertical="center"/>
    </xf>
    <xf numFmtId="0" fontId="4" fillId="0" borderId="2" xfId="0" applyFont="1" applyFill="1" applyBorder="1" applyAlignment="1">
      <alignment horizontal="right" vertical="top"/>
    </xf>
    <xf numFmtId="0" fontId="4" fillId="0" borderId="3" xfId="0" applyFont="1" applyFill="1" applyBorder="1" applyAlignment="1">
      <alignment horizontal="right" vertical="top"/>
    </xf>
    <xf numFmtId="0" fontId="4" fillId="0" borderId="4" xfId="0" applyFont="1" applyFill="1" applyBorder="1" applyAlignment="1">
      <alignment horizontal="right" vertical="top"/>
    </xf>
    <xf numFmtId="0" fontId="0" fillId="0" borderId="10" xfId="0" applyBorder="1" applyAlignment="1">
      <alignment horizontal="right" vertical="top"/>
    </xf>
    <xf numFmtId="0" fontId="0" fillId="0" borderId="0" xfId="0" applyAlignment="1">
      <alignment horizontal="right" vertical="top"/>
    </xf>
    <xf numFmtId="0" fontId="0" fillId="0" borderId="53" xfId="0" applyBorder="1" applyAlignment="1">
      <alignment horizontal="right" vertical="top"/>
    </xf>
    <xf numFmtId="0" fontId="4" fillId="0" borderId="66" xfId="0" applyFont="1" applyFill="1" applyBorder="1" applyAlignment="1">
      <alignment horizontal="center" vertical="center"/>
    </xf>
    <xf numFmtId="190" fontId="4" fillId="0" borderId="28" xfId="0" applyNumberFormat="1" applyFont="1" applyFill="1" applyBorder="1" applyAlignment="1">
      <alignment horizontal="right" vertical="center"/>
    </xf>
    <xf numFmtId="190" fontId="4" fillId="0" borderId="33" xfId="0" applyNumberFormat="1" applyFont="1" applyFill="1" applyBorder="1" applyAlignment="1">
      <alignment horizontal="right" vertical="center"/>
    </xf>
    <xf numFmtId="0" fontId="4" fillId="0" borderId="0" xfId="0" applyFont="1" applyFill="1" applyBorder="1" applyAlignment="1"/>
    <xf numFmtId="0" fontId="0" fillId="0" borderId="0" xfId="0" applyAlignment="1"/>
    <xf numFmtId="0" fontId="4" fillId="0" borderId="0" xfId="0" applyFont="1" applyFill="1" applyAlignment="1">
      <alignment vertical="center"/>
    </xf>
    <xf numFmtId="190" fontId="4" fillId="0" borderId="70" xfId="0" applyNumberFormat="1" applyFont="1" applyFill="1" applyBorder="1" applyAlignment="1">
      <alignment vertical="center"/>
    </xf>
    <xf numFmtId="190" fontId="4" fillId="0" borderId="39" xfId="0" applyNumberFormat="1" applyFont="1" applyFill="1" applyBorder="1" applyAlignment="1">
      <alignment vertical="center"/>
    </xf>
    <xf numFmtId="190" fontId="4" fillId="0" borderId="0" xfId="0" applyNumberFormat="1" applyFont="1" applyFill="1" applyBorder="1" applyAlignment="1">
      <alignment horizontal="right" vertical="center"/>
    </xf>
    <xf numFmtId="190" fontId="4" fillId="0" borderId="1" xfId="0" applyNumberFormat="1" applyFont="1" applyFill="1" applyBorder="1" applyAlignment="1">
      <alignment horizontal="right" vertical="center"/>
    </xf>
    <xf numFmtId="190" fontId="4" fillId="0" borderId="70" xfId="0" applyNumberFormat="1" applyFont="1" applyFill="1" applyBorder="1" applyAlignment="1">
      <alignment horizontal="right" vertical="center"/>
    </xf>
    <xf numFmtId="0" fontId="0" fillId="0" borderId="39" xfId="0" applyBorder="1" applyAlignment="1">
      <alignment horizontal="right" vertical="center"/>
    </xf>
    <xf numFmtId="0" fontId="4" fillId="0" borderId="42" xfId="0" applyFont="1" applyFill="1" applyBorder="1" applyAlignment="1">
      <alignment vertical="center" shrinkToFit="1"/>
    </xf>
    <xf numFmtId="0" fontId="0" fillId="0" borderId="27" xfId="0" applyBorder="1" applyAlignment="1">
      <alignment vertical="center" shrinkToFit="1"/>
    </xf>
    <xf numFmtId="0" fontId="4" fillId="0" borderId="63" xfId="0" applyFont="1" applyFill="1" applyBorder="1" applyAlignment="1">
      <alignment vertical="center" shrinkToFit="1"/>
    </xf>
    <xf numFmtId="0" fontId="0" fillId="0" borderId="75" xfId="0" applyBorder="1" applyAlignment="1">
      <alignment vertical="center" shrinkToFit="1"/>
    </xf>
    <xf numFmtId="0" fontId="0" fillId="0" borderId="9" xfId="0" applyBorder="1" applyAlignment="1">
      <alignment horizontal="center" vertical="center" wrapText="1"/>
    </xf>
    <xf numFmtId="190" fontId="4" fillId="0" borderId="19" xfId="0" applyNumberFormat="1" applyFont="1" applyFill="1" applyBorder="1" applyAlignment="1">
      <alignment vertical="center"/>
    </xf>
    <xf numFmtId="190" fontId="4" fillId="0" borderId="33" xfId="0" applyNumberFormat="1" applyFont="1" applyFill="1" applyBorder="1" applyAlignment="1">
      <alignment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7" xfId="0" applyFont="1" applyFill="1" applyBorder="1" applyAlignment="1">
      <alignment vertical="center" shrinkToFit="1"/>
    </xf>
    <xf numFmtId="0" fontId="0" fillId="0" borderId="7" xfId="0" applyBorder="1" applyAlignment="1">
      <alignment vertical="center" shrinkToFit="1"/>
    </xf>
    <xf numFmtId="0" fontId="4" fillId="0" borderId="23" xfId="0" applyFont="1" applyFill="1" applyBorder="1" applyAlignment="1">
      <alignment vertical="center" shrinkToFit="1"/>
    </xf>
    <xf numFmtId="190" fontId="4" fillId="0" borderId="70" xfId="1" applyNumberFormat="1" applyFont="1" applyFill="1" applyBorder="1" applyAlignment="1">
      <alignment horizontal="right" vertical="center"/>
    </xf>
    <xf numFmtId="190" fontId="4" fillId="0" borderId="60" xfId="1" applyNumberFormat="1" applyFont="1" applyFill="1" applyBorder="1" applyAlignment="1">
      <alignment horizontal="right" vertical="center"/>
    </xf>
    <xf numFmtId="190" fontId="4" fillId="0" borderId="11" xfId="1" applyNumberFormat="1" applyFont="1" applyFill="1" applyBorder="1" applyAlignment="1">
      <alignment horizontal="right" vertical="center"/>
    </xf>
    <xf numFmtId="190" fontId="4" fillId="0" borderId="39" xfId="1" applyNumberFormat="1" applyFont="1" applyFill="1" applyBorder="1" applyAlignment="1">
      <alignment horizontal="right" vertical="center"/>
    </xf>
    <xf numFmtId="190" fontId="4" fillId="0" borderId="54" xfId="1" applyNumberFormat="1" applyFont="1" applyFill="1" applyBorder="1" applyAlignment="1">
      <alignment horizontal="right" vertical="center"/>
    </xf>
    <xf numFmtId="190" fontId="4" fillId="0" borderId="51" xfId="1" applyNumberFormat="1" applyFont="1" applyFill="1" applyBorder="1" applyAlignment="1">
      <alignment horizontal="right" vertical="center"/>
    </xf>
    <xf numFmtId="0" fontId="4" fillId="0" borderId="27" xfId="0" applyFont="1" applyBorder="1" applyAlignment="1">
      <alignment vertical="center" shrinkToFit="1"/>
    </xf>
    <xf numFmtId="190" fontId="4" fillId="0" borderId="19" xfId="1" applyNumberFormat="1" applyFont="1" applyFill="1" applyBorder="1" applyAlignment="1">
      <alignment horizontal="right" vertical="center"/>
    </xf>
    <xf numFmtId="190" fontId="4" fillId="0" borderId="33" xfId="1" applyNumberFormat="1" applyFont="1" applyFill="1" applyBorder="1" applyAlignment="1">
      <alignment horizontal="right" vertical="center"/>
    </xf>
    <xf numFmtId="0" fontId="4" fillId="0" borderId="50"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0" fillId="0" borderId="4" xfId="0" applyBorder="1" applyAlignment="1">
      <alignment horizontal="right" wrapText="1"/>
    </xf>
    <xf numFmtId="0" fontId="4" fillId="0" borderId="19"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 xfId="0" applyFont="1" applyFill="1" applyBorder="1" applyAlignment="1">
      <alignment vertical="center"/>
    </xf>
    <xf numFmtId="0" fontId="4" fillId="0" borderId="8" xfId="0" applyFont="1" applyBorder="1" applyAlignment="1">
      <alignment horizontal="center"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11" xfId="0" applyFont="1" applyFill="1" applyBorder="1" applyAlignment="1">
      <alignment vertical="center"/>
    </xf>
    <xf numFmtId="0" fontId="0" fillId="0" borderId="1" xfId="0" applyBorder="1" applyAlignment="1">
      <alignment horizontal="right"/>
    </xf>
    <xf numFmtId="0" fontId="0" fillId="0" borderId="7" xfId="0" applyBorder="1" applyAlignment="1">
      <alignment horizontal="center"/>
    </xf>
    <xf numFmtId="0" fontId="33" fillId="0" borderId="64" xfId="0" applyFont="1" applyFill="1" applyBorder="1" applyAlignment="1">
      <alignment horizontal="center" vertical="center" wrapText="1"/>
    </xf>
    <xf numFmtId="0" fontId="4" fillId="0" borderId="4" xfId="0" applyFont="1" applyFill="1"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53" xfId="0" applyBorder="1" applyAlignment="1">
      <alignment vertical="center"/>
    </xf>
    <xf numFmtId="0" fontId="50" fillId="0" borderId="0" xfId="0" applyFont="1" applyFill="1" applyBorder="1" applyAlignment="1">
      <alignment shrinkToFit="1"/>
    </xf>
    <xf numFmtId="0" fontId="50" fillId="0" borderId="0" xfId="0" applyFont="1" applyFill="1" applyAlignment="1">
      <alignment shrinkToFit="1"/>
    </xf>
    <xf numFmtId="183" fontId="4" fillId="0" borderId="23" xfId="0" applyNumberFormat="1" applyFont="1" applyFill="1" applyBorder="1" applyAlignment="1">
      <alignment horizontal="right" vertical="center"/>
    </xf>
    <xf numFmtId="183" fontId="4" fillId="0" borderId="26" xfId="0" applyNumberFormat="1" applyFont="1" applyFill="1" applyBorder="1" applyAlignment="1">
      <alignment horizontal="right" vertical="center"/>
    </xf>
    <xf numFmtId="183" fontId="4" fillId="0" borderId="22" xfId="0" applyNumberFormat="1" applyFont="1" applyFill="1" applyBorder="1" applyAlignment="1">
      <alignment horizontal="right" vertical="center"/>
    </xf>
    <xf numFmtId="183" fontId="4" fillId="0" borderId="25" xfId="0" applyNumberFormat="1" applyFont="1" applyFill="1" applyBorder="1" applyAlignment="1">
      <alignment horizontal="right" vertical="center"/>
    </xf>
    <xf numFmtId="183" fontId="4" fillId="0" borderId="27" xfId="0" applyNumberFormat="1" applyFont="1" applyFill="1" applyBorder="1" applyAlignment="1">
      <alignment horizontal="right" vertical="center"/>
    </xf>
    <xf numFmtId="183" fontId="4" fillId="0" borderId="30" xfId="0" applyNumberFormat="1" applyFont="1" applyFill="1" applyBorder="1" applyAlignment="1">
      <alignment horizontal="right" vertical="center"/>
    </xf>
    <xf numFmtId="183" fontId="4" fillId="0" borderId="40" xfId="0" applyNumberFormat="1" applyFont="1" applyFill="1" applyBorder="1" applyAlignment="1">
      <alignment horizontal="right" vertical="center"/>
    </xf>
    <xf numFmtId="183" fontId="4" fillId="0" borderId="48" xfId="0" applyNumberFormat="1" applyFont="1" applyFill="1" applyBorder="1" applyAlignment="1">
      <alignment horizontal="right" vertical="center"/>
    </xf>
    <xf numFmtId="183" fontId="4" fillId="0" borderId="32" xfId="0" applyNumberFormat="1" applyFont="1" applyFill="1" applyBorder="1" applyAlignment="1">
      <alignment horizontal="right" vertical="center"/>
    </xf>
    <xf numFmtId="183" fontId="4" fillId="0" borderId="34" xfId="0" applyNumberFormat="1" applyFont="1" applyFill="1" applyBorder="1" applyAlignment="1">
      <alignment horizontal="right" vertical="center"/>
    </xf>
    <xf numFmtId="183" fontId="4" fillId="0" borderId="63" xfId="1" applyNumberFormat="1" applyFont="1" applyFill="1" applyBorder="1" applyAlignment="1">
      <alignment vertical="center"/>
    </xf>
    <xf numFmtId="183" fontId="4" fillId="0" borderId="76" xfId="0" applyNumberFormat="1" applyFont="1" applyFill="1" applyBorder="1" applyAlignment="1"/>
    <xf numFmtId="183" fontId="4" fillId="0" borderId="72" xfId="1" applyNumberFormat="1" applyFont="1" applyFill="1" applyBorder="1" applyAlignment="1">
      <alignment vertical="center"/>
    </xf>
    <xf numFmtId="183" fontId="4" fillId="0" borderId="77" xfId="0" applyNumberFormat="1" applyFont="1" applyFill="1" applyBorder="1" applyAlignment="1"/>
    <xf numFmtId="183" fontId="4" fillId="0" borderId="76" xfId="1" applyNumberFormat="1" applyFont="1" applyFill="1" applyBorder="1" applyAlignment="1">
      <alignment vertical="center"/>
    </xf>
    <xf numFmtId="183" fontId="4" fillId="0" borderId="75" xfId="0" applyNumberFormat="1" applyFont="1" applyFill="1" applyBorder="1" applyAlignment="1"/>
    <xf numFmtId="183" fontId="4" fillId="0" borderId="17" xfId="0" applyNumberFormat="1" applyFont="1" applyFill="1" applyBorder="1" applyAlignment="1">
      <alignment horizontal="right" vertical="center"/>
    </xf>
    <xf numFmtId="183" fontId="4" fillId="0" borderId="35" xfId="0" applyNumberFormat="1" applyFont="1" applyFill="1" applyBorder="1" applyAlignment="1">
      <alignment horizontal="right" vertical="center"/>
    </xf>
    <xf numFmtId="183" fontId="4" fillId="0" borderId="16" xfId="0" applyNumberFormat="1" applyFont="1" applyFill="1" applyBorder="1" applyAlignment="1">
      <alignment horizontal="right" vertical="center"/>
    </xf>
    <xf numFmtId="183" fontId="4" fillId="0" borderId="6" xfId="0" applyNumberFormat="1" applyFont="1" applyFill="1" applyBorder="1" applyAlignment="1">
      <alignment horizontal="right" vertical="center"/>
    </xf>
    <xf numFmtId="183" fontId="4" fillId="0" borderId="7" xfId="0" applyNumberFormat="1" applyFont="1" applyFill="1" applyBorder="1" applyAlignment="1">
      <alignment horizontal="right" vertical="center"/>
    </xf>
    <xf numFmtId="0" fontId="12" fillId="0" borderId="4" xfId="0" applyFont="1" applyFill="1" applyBorder="1" applyAlignment="1">
      <alignment horizontal="right" vertical="top"/>
    </xf>
    <xf numFmtId="0" fontId="0" fillId="0" borderId="9" xfId="0" applyBorder="1" applyAlignment="1">
      <alignment horizontal="right" vertical="top"/>
    </xf>
    <xf numFmtId="0" fontId="4" fillId="0" borderId="19" xfId="0" applyFont="1" applyFill="1" applyBorder="1" applyAlignment="1">
      <alignment wrapText="1"/>
    </xf>
    <xf numFmtId="0" fontId="0" fillId="0" borderId="8" xfId="0" applyBorder="1" applyAlignment="1">
      <alignment wrapText="1"/>
    </xf>
    <xf numFmtId="0" fontId="0" fillId="0" borderId="33" xfId="0" applyBorder="1" applyAlignment="1">
      <alignment wrapText="1"/>
    </xf>
    <xf numFmtId="0" fontId="0" fillId="0" borderId="3" xfId="0" applyFont="1" applyFill="1" applyBorder="1" applyAlignment="1">
      <alignment horizontal="center" vertical="center" wrapText="1"/>
    </xf>
    <xf numFmtId="0" fontId="4" fillId="0" borderId="4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 xfId="0" applyNumberFormat="1" applyFont="1" applyFill="1" applyBorder="1" applyAlignment="1">
      <alignment horizontal="center" vertical="center" shrinkToFit="1"/>
    </xf>
    <xf numFmtId="0" fontId="4" fillId="0" borderId="37" xfId="0" applyNumberFormat="1" applyFont="1" applyFill="1" applyBorder="1" applyAlignment="1">
      <alignment horizontal="center" vertical="center" shrinkToFit="1"/>
    </xf>
    <xf numFmtId="0" fontId="0" fillId="0" borderId="5" xfId="0" applyNumberFormat="1" applyFont="1" applyFill="1" applyBorder="1" applyAlignment="1">
      <alignment horizontal="center" vertical="center" shrinkToFit="1"/>
    </xf>
    <xf numFmtId="0" fontId="4" fillId="0" borderId="45" xfId="0" applyNumberFormat="1" applyFont="1" applyFill="1" applyBorder="1" applyAlignment="1">
      <alignment horizontal="center" vertical="center" shrinkToFit="1"/>
    </xf>
    <xf numFmtId="0" fontId="4" fillId="0" borderId="70" xfId="0" applyNumberFormat="1" applyFont="1" applyFill="1" applyBorder="1" applyAlignment="1">
      <alignment horizontal="center" vertical="center" shrinkToFit="1"/>
    </xf>
    <xf numFmtId="0" fontId="0" fillId="0" borderId="61" xfId="0" applyBorder="1" applyAlignment="1">
      <alignment horizontal="center" vertical="center" shrinkToFit="1"/>
    </xf>
    <xf numFmtId="0" fontId="4" fillId="0" borderId="2" xfId="0" applyNumberFormat="1" applyFont="1" applyFill="1" applyBorder="1" applyAlignment="1">
      <alignment horizontal="center" vertical="center" shrinkToFit="1"/>
    </xf>
    <xf numFmtId="0" fontId="4" fillId="0" borderId="44" xfId="0" applyNumberFormat="1" applyFont="1" applyFill="1" applyBorder="1" applyAlignment="1">
      <alignment horizontal="center" vertical="center" shrinkToFit="1"/>
    </xf>
    <xf numFmtId="0" fontId="0" fillId="0" borderId="14" xfId="0" applyBorder="1" applyAlignment="1">
      <alignment horizontal="center" vertical="center" wrapText="1"/>
    </xf>
    <xf numFmtId="0" fontId="4" fillId="0" borderId="39" xfId="0" applyFont="1" applyFill="1" applyBorder="1" applyAlignment="1">
      <alignment vertical="center" wrapText="1"/>
    </xf>
    <xf numFmtId="0" fontId="4" fillId="0" borderId="38"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6" xfId="0" applyFont="1" applyBorder="1" applyAlignment="1">
      <alignment horizontal="center" vertical="center" wrapText="1"/>
    </xf>
    <xf numFmtId="0" fontId="4" fillId="0" borderId="4" xfId="0" applyFont="1" applyFill="1" applyBorder="1" applyAlignment="1">
      <alignment horizontal="right" vertical="center" wrapText="1"/>
    </xf>
    <xf numFmtId="0" fontId="0" fillId="0" borderId="46" xfId="0" applyBorder="1" applyAlignment="1">
      <alignment horizontal="right" vertical="center" wrapText="1"/>
    </xf>
    <xf numFmtId="0" fontId="4" fillId="0" borderId="32" xfId="0" applyFont="1" applyFill="1" applyBorder="1" applyAlignment="1">
      <alignment horizontal="distributed" vertical="center"/>
    </xf>
    <xf numFmtId="0" fontId="4" fillId="0" borderId="3" xfId="0" applyFont="1" applyFill="1" applyBorder="1" applyAlignment="1">
      <alignment horizontal="right" vertical="center" wrapText="1"/>
    </xf>
    <xf numFmtId="0" fontId="8" fillId="0" borderId="0" xfId="0" applyFont="1" applyFill="1" applyAlignment="1"/>
    <xf numFmtId="0" fontId="12" fillId="0" borderId="30" xfId="0" applyFont="1" applyFill="1" applyBorder="1" applyAlignment="1">
      <alignment horizontal="center" vertical="center" wrapText="1"/>
    </xf>
    <xf numFmtId="0" fontId="4" fillId="0" borderId="63" xfId="0" applyFont="1" applyFill="1" applyBorder="1" applyAlignment="1">
      <alignment horizontal="center" vertical="center"/>
    </xf>
    <xf numFmtId="0" fontId="12" fillId="0" borderId="17" xfId="0" applyFont="1" applyFill="1" applyBorder="1" applyAlignment="1">
      <alignment vertical="center" wrapText="1"/>
    </xf>
    <xf numFmtId="0" fontId="12" fillId="0" borderId="23" xfId="0" applyFont="1" applyFill="1" applyBorder="1" applyAlignment="1">
      <alignment vertical="center" wrapText="1"/>
    </xf>
    <xf numFmtId="0" fontId="12" fillId="0" borderId="42" xfId="0" applyFont="1" applyFill="1" applyBorder="1" applyAlignment="1">
      <alignment vertical="center" wrapText="1"/>
    </xf>
    <xf numFmtId="0" fontId="4" fillId="0" borderId="3"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12" fillId="0" borderId="17"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0" fillId="0" borderId="39" xfId="0" applyBorder="1" applyAlignment="1">
      <alignment horizontal="center" vertical="center" shrinkToFit="1"/>
    </xf>
    <xf numFmtId="0" fontId="12" fillId="0" borderId="44" xfId="0" applyFont="1" applyFill="1" applyBorder="1" applyAlignment="1">
      <alignment horizontal="center" vertical="center" wrapText="1"/>
    </xf>
    <xf numFmtId="0" fontId="8" fillId="0" borderId="2" xfId="0" applyFont="1" applyFill="1" applyBorder="1" applyAlignment="1">
      <alignment horizontal="right" vertical="top" shrinkToFit="1"/>
    </xf>
    <xf numFmtId="0" fontId="0" fillId="0" borderId="4" xfId="0" applyBorder="1" applyAlignment="1">
      <alignment horizontal="right" vertical="top" shrinkToFit="1"/>
    </xf>
    <xf numFmtId="0" fontId="0" fillId="0" borderId="0" xfId="0" applyAlignment="1">
      <alignment horizontal="left"/>
    </xf>
    <xf numFmtId="0" fontId="4" fillId="0" borderId="23" xfId="0" applyFont="1" applyBorder="1" applyAlignment="1">
      <alignment horizontal="center"/>
    </xf>
    <xf numFmtId="0" fontId="4" fillId="0" borderId="27" xfId="0" applyFont="1" applyBorder="1" applyAlignment="1">
      <alignment horizontal="center"/>
    </xf>
    <xf numFmtId="0" fontId="4" fillId="0" borderId="52" xfId="0" applyFont="1" applyBorder="1" applyAlignment="1">
      <alignment horizontal="center"/>
    </xf>
    <xf numFmtId="0" fontId="4" fillId="0" borderId="49" xfId="0" applyFont="1" applyBorder="1" applyAlignment="1">
      <alignment horizontal="center"/>
    </xf>
    <xf numFmtId="0" fontId="4" fillId="0" borderId="31" xfId="0" applyFont="1" applyBorder="1" applyAlignment="1">
      <alignment horizontal="center"/>
    </xf>
    <xf numFmtId="0" fontId="4" fillId="0" borderId="48" xfId="0" applyFont="1" applyBorder="1" applyAlignment="1">
      <alignment horizontal="center"/>
    </xf>
    <xf numFmtId="0" fontId="4" fillId="0" borderId="62" xfId="0" applyFont="1" applyBorder="1" applyAlignment="1">
      <alignment horizontal="center"/>
    </xf>
    <xf numFmtId="0" fontId="4" fillId="0" borderId="22" xfId="0" applyFont="1" applyBorder="1" applyAlignment="1">
      <alignment horizontal="center"/>
    </xf>
    <xf numFmtId="0" fontId="4" fillId="0" borderId="3" xfId="0" applyFont="1" applyBorder="1" applyAlignment="1">
      <alignment horizontal="left" vertical="top" wrapText="1"/>
    </xf>
    <xf numFmtId="0" fontId="4" fillId="0" borderId="3" xfId="0" applyFont="1" applyBorder="1" applyAlignment="1">
      <alignment vertical="top" wrapText="1"/>
    </xf>
    <xf numFmtId="0" fontId="4" fillId="0" borderId="56" xfId="0" applyFont="1" applyBorder="1" applyAlignment="1">
      <alignment horizontal="center"/>
    </xf>
    <xf numFmtId="0" fontId="4" fillId="0" borderId="55" xfId="0" applyFont="1" applyBorder="1" applyAlignment="1">
      <alignment horizontal="center"/>
    </xf>
    <xf numFmtId="0" fontId="52" fillId="0" borderId="0" xfId="0" applyFont="1" applyAlignment="1">
      <alignment horizontal="left" vertical="center"/>
    </xf>
    <xf numFmtId="0" fontId="53" fillId="0" borderId="0" xfId="0" applyFont="1" applyAlignment="1">
      <alignment horizontal="left" vertical="center"/>
    </xf>
    <xf numFmtId="0" fontId="54" fillId="0" borderId="1" xfId="0" applyFont="1" applyBorder="1" applyAlignment="1">
      <alignment horizontal="left" vertical="center"/>
    </xf>
    <xf numFmtId="0" fontId="8" fillId="0" borderId="0" xfId="0" applyFont="1" applyAlignment="1">
      <alignment horizontal="left" vertical="center"/>
    </xf>
    <xf numFmtId="0" fontId="56" fillId="0" borderId="81" xfId="0" applyFont="1" applyBorder="1" applyAlignment="1">
      <alignment vertical="top" wrapText="1"/>
    </xf>
    <xf numFmtId="0" fontId="43" fillId="0" borderId="82" xfId="0" applyFont="1" applyBorder="1" applyAlignment="1">
      <alignment vertical="top" wrapText="1"/>
    </xf>
    <xf numFmtId="0" fontId="0" fillId="0" borderId="83" xfId="0" applyBorder="1" applyAlignment="1">
      <alignment vertical="top" wrapText="1"/>
    </xf>
    <xf numFmtId="0" fontId="0" fillId="0" borderId="84" xfId="0" applyBorder="1" applyAlignment="1">
      <alignment vertical="top" wrapText="1"/>
    </xf>
    <xf numFmtId="0" fontId="4" fillId="0" borderId="15"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39" xfId="0" applyBorder="1" applyAlignment="1">
      <alignment horizontal="center" vertical="center" wrapText="1"/>
    </xf>
    <xf numFmtId="0" fontId="4" fillId="0" borderId="50" xfId="0" applyFont="1" applyBorder="1" applyAlignment="1">
      <alignment horizontal="center" vertical="center" wrapText="1"/>
    </xf>
    <xf numFmtId="0" fontId="4" fillId="0" borderId="3" xfId="0" applyFont="1" applyFill="1" applyBorder="1" applyAlignment="1">
      <alignment horizontal="left" shrinkToFit="1"/>
    </xf>
    <xf numFmtId="0" fontId="4" fillId="0" borderId="3" xfId="0" applyFont="1" applyFill="1" applyBorder="1" applyAlignment="1">
      <alignment shrinkToFit="1"/>
    </xf>
    <xf numFmtId="0" fontId="0" fillId="0" borderId="3"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wrapText="1"/>
    </xf>
    <xf numFmtId="0" fontId="4" fillId="0" borderId="0" xfId="0" applyFont="1" applyAlignment="1">
      <alignment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right" vertical="center" wrapText="1"/>
    </xf>
    <xf numFmtId="0" fontId="4" fillId="0" borderId="3" xfId="0" applyFont="1" applyBorder="1" applyAlignment="1">
      <alignment horizontal="right" vertical="center" wrapText="1"/>
    </xf>
    <xf numFmtId="0" fontId="46" fillId="0" borderId="3" xfId="0" applyFont="1" applyFill="1" applyBorder="1" applyAlignment="1">
      <alignment horizontal="center" vertical="center"/>
    </xf>
    <xf numFmtId="0" fontId="33" fillId="0" borderId="17" xfId="0" applyFont="1" applyFill="1" applyBorder="1" applyAlignment="1">
      <alignment horizontal="center" vertical="center" wrapText="1"/>
    </xf>
    <xf numFmtId="0" fontId="33" fillId="0" borderId="17" xfId="0" applyFont="1" applyFill="1" applyBorder="1" applyAlignment="1">
      <alignment horizontal="distributed" vertical="center"/>
    </xf>
    <xf numFmtId="0" fontId="33" fillId="0" borderId="23" xfId="0" applyFont="1" applyFill="1" applyBorder="1" applyAlignment="1">
      <alignment horizontal="distributed" vertical="center"/>
    </xf>
    <xf numFmtId="0" fontId="33" fillId="0" borderId="30" xfId="0" applyFont="1" applyFill="1" applyBorder="1" applyAlignment="1">
      <alignment horizontal="distributed" vertical="center"/>
    </xf>
    <xf numFmtId="0" fontId="58" fillId="0" borderId="4" xfId="0" applyFont="1" applyFill="1" applyBorder="1" applyAlignment="1">
      <alignment horizontal="right" vertical="center"/>
    </xf>
    <xf numFmtId="0" fontId="33" fillId="0" borderId="2" xfId="0" applyFont="1" applyFill="1" applyBorder="1" applyAlignment="1">
      <alignment horizontal="center" vertical="center" wrapText="1"/>
    </xf>
    <xf numFmtId="0" fontId="0" fillId="0" borderId="75" xfId="0" applyBorder="1" applyAlignment="1">
      <alignment horizontal="center" vertical="center"/>
    </xf>
    <xf numFmtId="0" fontId="4" fillId="0" borderId="18" xfId="0" applyFont="1" applyFill="1" applyBorder="1" applyAlignment="1">
      <alignment horizontal="center" vertical="center"/>
    </xf>
    <xf numFmtId="0" fontId="4" fillId="0" borderId="31" xfId="0" applyFont="1" applyFill="1" applyBorder="1" applyAlignment="1">
      <alignment horizontal="center" vertical="center"/>
    </xf>
    <xf numFmtId="0" fontId="12" fillId="0" borderId="0" xfId="0" applyFont="1" applyFill="1" applyBorder="1" applyAlignment="1"/>
    <xf numFmtId="0" fontId="4" fillId="0" borderId="51" xfId="0" applyFont="1" applyFill="1" applyBorder="1" applyAlignment="1">
      <alignment vertical="center"/>
    </xf>
    <xf numFmtId="0" fontId="4" fillId="0" borderId="60" xfId="0" applyFont="1" applyFill="1" applyBorder="1" applyAlignment="1">
      <alignment horizontal="center" vertical="center" shrinkToFit="1"/>
    </xf>
    <xf numFmtId="0" fontId="4" fillId="0" borderId="11" xfId="0" applyFont="1" applyBorder="1" applyAlignment="1">
      <alignment vertical="center" shrinkToFit="1"/>
    </xf>
    <xf numFmtId="0" fontId="4" fillId="0" borderId="29" xfId="0" applyFont="1" applyFill="1" applyBorder="1" applyAlignment="1">
      <alignment horizontal="center" vertical="center" wrapText="1" shrinkToFit="1"/>
    </xf>
    <xf numFmtId="0" fontId="4" fillId="0" borderId="36" xfId="0" applyFont="1" applyFill="1" applyBorder="1" applyAlignment="1">
      <alignment horizontal="center" vertical="center" shrinkToFit="1"/>
    </xf>
    <xf numFmtId="0" fontId="4" fillId="0" borderId="61" xfId="0" applyFont="1" applyFill="1" applyBorder="1" applyAlignment="1">
      <alignment horizontal="center" vertical="center" shrinkToFit="1"/>
    </xf>
    <xf numFmtId="0" fontId="33" fillId="0" borderId="17" xfId="0" applyFont="1" applyFill="1" applyBorder="1" applyAlignment="1">
      <alignment horizontal="center" vertical="center"/>
    </xf>
    <xf numFmtId="0" fontId="8" fillId="0" borderId="1" xfId="0" applyFont="1" applyFill="1" applyBorder="1" applyAlignment="1"/>
    <xf numFmtId="0" fontId="58" fillId="0" borderId="64" xfId="0" applyFont="1" applyFill="1" applyBorder="1" applyAlignment="1">
      <alignment horizontal="right" vertical="center" wrapText="1"/>
    </xf>
    <xf numFmtId="0" fontId="0" fillId="0" borderId="66" xfId="0" applyBorder="1" applyAlignment="1">
      <alignment horizontal="right" vertical="center" wrapText="1"/>
    </xf>
    <xf numFmtId="0" fontId="46" fillId="0" borderId="76" xfId="0" applyFont="1" applyFill="1" applyBorder="1" applyAlignment="1">
      <alignment horizontal="center" vertical="center"/>
    </xf>
    <xf numFmtId="0" fontId="4" fillId="0" borderId="76" xfId="0" applyFont="1" applyFill="1" applyBorder="1" applyAlignment="1">
      <alignment horizontal="center" vertical="center"/>
    </xf>
    <xf numFmtId="0" fontId="33" fillId="0" borderId="44" xfId="0" applyFont="1" applyFill="1" applyBorder="1" applyAlignment="1">
      <alignment horizontal="center" vertical="center" wrapText="1"/>
    </xf>
    <xf numFmtId="0" fontId="4" fillId="0" borderId="37" xfId="0" applyFont="1" applyBorder="1" applyAlignment="1">
      <alignment horizontal="center" vertical="center" wrapText="1"/>
    </xf>
    <xf numFmtId="0" fontId="4" fillId="0" borderId="63" xfId="0" applyFont="1" applyFill="1" applyBorder="1" applyAlignment="1">
      <alignment horizontal="center" vertical="center" wrapText="1"/>
    </xf>
    <xf numFmtId="0" fontId="0" fillId="0" borderId="75" xfId="0" applyBorder="1" applyAlignment="1">
      <alignment horizontal="center" vertical="center" wrapText="1"/>
    </xf>
    <xf numFmtId="0" fontId="12" fillId="0" borderId="70" xfId="0" applyFont="1" applyFill="1" applyBorder="1" applyAlignment="1">
      <alignment horizontal="center" vertical="center" shrinkToFit="1"/>
    </xf>
    <xf numFmtId="0" fontId="12" fillId="0" borderId="39" xfId="0" applyFont="1" applyFill="1" applyBorder="1" applyAlignment="1">
      <alignment horizontal="center" vertical="center" shrinkToFit="1"/>
    </xf>
    <xf numFmtId="0" fontId="12" fillId="0" borderId="18"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15" xfId="0" applyFont="1" applyFill="1" applyBorder="1" applyAlignment="1">
      <alignment horizontal="center" vertical="center" shrinkToFit="1"/>
    </xf>
    <xf numFmtId="0" fontId="12" fillId="0" borderId="38" xfId="0" applyFont="1" applyFill="1" applyBorder="1" applyAlignment="1">
      <alignment horizontal="center" vertical="center" shrinkToFit="1"/>
    </xf>
    <xf numFmtId="0" fontId="8" fillId="0" borderId="0" xfId="0" applyFont="1" applyFill="1" applyBorder="1" applyAlignment="1"/>
    <xf numFmtId="0" fontId="33" fillId="0" borderId="44" xfId="0" applyFont="1" applyFill="1" applyBorder="1" applyAlignment="1">
      <alignment horizontal="center" vertical="center"/>
    </xf>
    <xf numFmtId="0" fontId="4" fillId="0" borderId="37" xfId="0" applyFont="1" applyBorder="1" applyAlignment="1">
      <alignment horizontal="center" vertical="center"/>
    </xf>
    <xf numFmtId="176" fontId="4" fillId="0" borderId="23" xfId="0" applyNumberFormat="1" applyFont="1" applyFill="1" applyBorder="1" applyAlignment="1">
      <alignment horizontal="right"/>
    </xf>
    <xf numFmtId="176" fontId="4" fillId="0" borderId="27" xfId="0" applyNumberFormat="1" applyFont="1" applyFill="1" applyBorder="1" applyAlignment="1">
      <alignment horizontal="right"/>
    </xf>
    <xf numFmtId="176" fontId="33" fillId="0" borderId="30" xfId="0" applyNumberFormat="1" applyFont="1" applyFill="1" applyBorder="1" applyAlignment="1"/>
    <xf numFmtId="176" fontId="4" fillId="0" borderId="34" xfId="0" applyNumberFormat="1" applyFont="1" applyFill="1" applyBorder="1" applyAlignment="1"/>
    <xf numFmtId="176" fontId="33" fillId="0" borderId="17" xfId="0" applyNumberFormat="1" applyFont="1" applyFill="1" applyBorder="1" applyAlignment="1"/>
    <xf numFmtId="176" fontId="4" fillId="0" borderId="7" xfId="0" applyNumberFormat="1" applyFont="1" applyFill="1" applyBorder="1" applyAlignment="1"/>
    <xf numFmtId="176" fontId="4" fillId="0" borderId="23" xfId="0" applyNumberFormat="1" applyFont="1" applyFill="1" applyBorder="1" applyAlignment="1"/>
    <xf numFmtId="176" fontId="4" fillId="0" borderId="27" xfId="0" applyNumberFormat="1" applyFont="1" applyFill="1" applyBorder="1" applyAlignment="1"/>
    <xf numFmtId="0" fontId="0" fillId="0" borderId="42" xfId="0" applyFont="1" applyFill="1" applyBorder="1" applyAlignment="1">
      <alignment horizontal="center" vertical="center" textRotation="255"/>
    </xf>
    <xf numFmtId="0" fontId="0" fillId="0" borderId="12" xfId="0" applyBorder="1" applyAlignment="1">
      <alignment horizontal="center" vertical="center" textRotation="255"/>
    </xf>
    <xf numFmtId="0" fontId="0" fillId="0" borderId="10" xfId="0" applyBorder="1" applyAlignment="1">
      <alignment horizontal="center" vertical="center" textRotation="255"/>
    </xf>
    <xf numFmtId="0" fontId="0" fillId="0" borderId="28" xfId="0" applyBorder="1" applyAlignment="1">
      <alignment horizontal="center" vertical="center" textRotation="255"/>
    </xf>
    <xf numFmtId="0" fontId="0" fillId="0" borderId="8" xfId="0" applyBorder="1" applyAlignment="1">
      <alignment horizontal="center" vertical="center" textRotation="255"/>
    </xf>
    <xf numFmtId="0" fontId="0" fillId="0" borderId="33" xfId="0" applyBorder="1" applyAlignment="1">
      <alignment horizontal="center" vertical="center" textRotation="255"/>
    </xf>
    <xf numFmtId="176" fontId="4" fillId="0" borderId="30" xfId="0" applyNumberFormat="1" applyFont="1" applyFill="1" applyBorder="1" applyAlignment="1">
      <alignment horizontal="right"/>
    </xf>
    <xf numFmtId="176" fontId="4" fillId="0" borderId="34" xfId="0" applyNumberFormat="1" applyFont="1" applyFill="1" applyBorder="1" applyAlignment="1">
      <alignment horizontal="right"/>
    </xf>
    <xf numFmtId="0" fontId="0" fillId="0" borderId="19" xfId="0" applyBorder="1" applyAlignment="1">
      <alignment horizontal="center" vertical="center" textRotation="255"/>
    </xf>
    <xf numFmtId="0" fontId="0" fillId="0" borderId="44" xfId="0" applyBorder="1" applyAlignment="1">
      <alignment horizontal="center" vertical="center" textRotation="255"/>
    </xf>
    <xf numFmtId="0" fontId="0" fillId="0" borderId="41" xfId="0" applyBorder="1" applyAlignment="1">
      <alignment horizontal="center" vertical="center" textRotation="255"/>
    </xf>
    <xf numFmtId="176" fontId="4" fillId="0" borderId="17" xfId="0" applyNumberFormat="1" applyFont="1" applyFill="1" applyBorder="1" applyAlignment="1">
      <alignment horizontal="right"/>
    </xf>
    <xf numFmtId="176" fontId="4" fillId="0" borderId="7" xfId="0" applyNumberFormat="1" applyFont="1" applyFill="1" applyBorder="1" applyAlignment="1">
      <alignment horizontal="right"/>
    </xf>
    <xf numFmtId="0" fontId="4" fillId="0" borderId="42" xfId="0" applyFont="1" applyFill="1" applyBorder="1" applyAlignment="1">
      <alignment vertical="center" wrapText="1"/>
    </xf>
    <xf numFmtId="0" fontId="27" fillId="0" borderId="4" xfId="0" applyFont="1" applyFill="1" applyBorder="1" applyAlignment="1">
      <alignment horizontal="right" vertical="top"/>
    </xf>
    <xf numFmtId="0" fontId="0" fillId="0" borderId="53" xfId="0" applyBorder="1" applyAlignment="1">
      <alignment vertical="top"/>
    </xf>
    <xf numFmtId="0" fontId="4" fillId="0" borderId="10"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53" xfId="0" applyFont="1" applyFill="1" applyBorder="1" applyAlignment="1">
      <alignment horizontal="distributed" vertical="center"/>
    </xf>
    <xf numFmtId="0" fontId="8" fillId="0" borderId="0" xfId="0" applyFont="1" applyFill="1" applyBorder="1" applyAlignment="1">
      <alignment horizontal="center" vertical="center"/>
    </xf>
    <xf numFmtId="0" fontId="4" fillId="0" borderId="17" xfId="0" applyFont="1" applyFill="1" applyBorder="1" applyAlignment="1">
      <alignment vertical="center" wrapText="1"/>
    </xf>
    <xf numFmtId="0" fontId="4" fillId="0" borderId="23" xfId="0" applyFont="1" applyFill="1" applyBorder="1" applyAlignment="1">
      <alignment vertical="center" wrapText="1"/>
    </xf>
    <xf numFmtId="0" fontId="33" fillId="0" borderId="70"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0" xfId="0" applyFont="1" applyFill="1" applyAlignment="1">
      <alignment vertical="center" wrapText="1" shrinkToFit="1"/>
    </xf>
    <xf numFmtId="0" fontId="43" fillId="0" borderId="0" xfId="0" applyFont="1" applyFill="1" applyAlignment="1">
      <alignment vertical="center" wrapText="1"/>
    </xf>
    <xf numFmtId="0" fontId="0" fillId="0" borderId="0" xfId="0" applyAlignment="1">
      <alignment vertical="center" wrapText="1"/>
    </xf>
    <xf numFmtId="0" fontId="8" fillId="0" borderId="18"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8" fillId="0" borderId="70" xfId="0" applyFont="1" applyFill="1" applyBorder="1" applyAlignment="1">
      <alignment horizontal="center" vertical="center" shrinkToFit="1"/>
    </xf>
    <xf numFmtId="0" fontId="8" fillId="0" borderId="39"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4" fillId="0" borderId="3" xfId="0" applyFont="1" applyBorder="1" applyAlignment="1">
      <alignment horizontal="left" vertical="center" wrapText="1"/>
    </xf>
    <xf numFmtId="0" fontId="4" fillId="0" borderId="68" xfId="0" applyFont="1" applyBorder="1" applyAlignment="1">
      <alignment horizontal="distributed" vertical="center"/>
    </xf>
    <xf numFmtId="0" fontId="0" fillId="0" borderId="66" xfId="0" applyBorder="1" applyAlignment="1">
      <alignment horizontal="distributed" vertical="center"/>
    </xf>
    <xf numFmtId="0" fontId="0" fillId="0" borderId="71" xfId="0" applyBorder="1" applyAlignment="1">
      <alignment horizontal="distributed" vertical="center"/>
    </xf>
    <xf numFmtId="0" fontId="4" fillId="0" borderId="23" xfId="0" applyFont="1" applyBorder="1" applyAlignment="1">
      <alignment vertical="center" wrapText="1"/>
    </xf>
    <xf numFmtId="178" fontId="4" fillId="0" borderId="43" xfId="0" applyNumberFormat="1" applyFont="1" applyFill="1" applyBorder="1" applyAlignment="1">
      <alignment horizontal="right" vertical="center"/>
    </xf>
    <xf numFmtId="178" fontId="4" fillId="0" borderId="60" xfId="0" applyNumberFormat="1" applyFont="1" applyFill="1" applyBorder="1" applyAlignment="1">
      <alignment horizontal="right" vertical="center"/>
    </xf>
    <xf numFmtId="0" fontId="0" fillId="0" borderId="45" xfId="0" applyBorder="1" applyAlignment="1">
      <alignment horizontal="right" vertical="center"/>
    </xf>
    <xf numFmtId="0" fontId="4" fillId="0" borderId="42" xfId="0" applyFont="1" applyBorder="1" applyAlignment="1">
      <alignment vertical="center" wrapText="1" shrinkToFit="1"/>
    </xf>
    <xf numFmtId="0" fontId="4" fillId="0" borderId="27" xfId="0" applyFont="1" applyBorder="1" applyAlignment="1">
      <alignment vertical="center" wrapText="1" shrinkToFit="1"/>
    </xf>
    <xf numFmtId="0" fontId="0" fillId="0" borderId="65" xfId="0" applyBorder="1" applyAlignment="1">
      <alignment horizontal="distributed" vertical="center"/>
    </xf>
    <xf numFmtId="0" fontId="0" fillId="0" borderId="11" xfId="0" applyBorder="1" applyAlignment="1">
      <alignment horizontal="right" vertical="center"/>
    </xf>
    <xf numFmtId="0" fontId="0" fillId="0" borderId="27" xfId="0" applyBorder="1" applyAlignment="1">
      <alignment vertical="center" wrapText="1" shrinkToFit="1"/>
    </xf>
    <xf numFmtId="178" fontId="4" fillId="0" borderId="43" xfId="0" applyNumberFormat="1" applyFont="1" applyFill="1" applyBorder="1" applyAlignment="1">
      <alignment horizontal="right" vertical="center" shrinkToFit="1"/>
    </xf>
    <xf numFmtId="0" fontId="33" fillId="0" borderId="2" xfId="0" applyFont="1" applyBorder="1" applyAlignment="1">
      <alignment horizontal="center" vertical="center" wrapText="1"/>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64" xfId="0" applyFont="1" applyBorder="1" applyAlignment="1">
      <alignment horizontal="distributed" vertical="center"/>
    </xf>
    <xf numFmtId="0" fontId="4" fillId="0" borderId="17" xfId="0" applyFont="1" applyBorder="1" applyAlignment="1">
      <alignment vertical="center" wrapText="1"/>
    </xf>
    <xf numFmtId="178" fontId="4" fillId="0" borderId="5" xfId="0" applyNumberFormat="1" applyFont="1" applyFill="1" applyBorder="1" applyAlignment="1">
      <alignment horizontal="right" vertical="center" wrapText="1"/>
    </xf>
    <xf numFmtId="178" fontId="4" fillId="0" borderId="60" xfId="0" applyNumberFormat="1" applyFont="1" applyFill="1" applyBorder="1" applyAlignment="1">
      <alignment horizontal="right" vertical="center" shrinkToFit="1"/>
    </xf>
    <xf numFmtId="178" fontId="4" fillId="0" borderId="43" xfId="0" applyNumberFormat="1" applyFont="1" applyFill="1" applyBorder="1" applyAlignment="1">
      <alignment horizontal="right" vertical="center" wrapText="1" shrinkToFit="1"/>
    </xf>
    <xf numFmtId="0" fontId="0" fillId="0" borderId="45" xfId="0" applyBorder="1" applyAlignment="1">
      <alignment horizontal="right"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UserShapes" Target="../drawings/drawing9.xml"/><Relationship Id="rId5" Type="http://schemas.openxmlformats.org/officeDocument/2006/relationships/image" Target="../media/image5.png"/><Relationship Id="rId4" Type="http://schemas.openxmlformats.org/officeDocument/2006/relationships/image" Target="../media/image4.png"/></Relationships>
</file>

<file path=xl/charts/_rels/char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UserShapes" Target="../drawings/drawing10.xml"/><Relationship Id="rId5" Type="http://schemas.openxmlformats.org/officeDocument/2006/relationships/image" Target="../media/image5.png"/><Relationship Id="rId4" Type="http://schemas.openxmlformats.org/officeDocument/2006/relationships/image" Target="../media/image4.png"/></Relationships>
</file>

<file path=xl/charts/_rels/chart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UserShapes" Target="../drawings/drawing11.xml"/><Relationship Id="rId5" Type="http://schemas.openxmlformats.org/officeDocument/2006/relationships/image" Target="../media/image5.png"/><Relationship Id="rId4" Type="http://schemas.openxmlformats.org/officeDocument/2006/relationships/image" Target="../media/image4.png"/></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image" Target="../media/image1.png"/></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image" Target="../media/image1.png"/></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image" Target="../media/image1.png"/></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xml"/><Relationship Id="rId1" Type="http://schemas.microsoft.com/office/2011/relationships/chartStyle" Target="style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ja-JP" altLang="en-US" sz="1100">
                <a:solidFill>
                  <a:schemeClr val="tx1"/>
                </a:solidFill>
              </a:rPr>
              <a:t>交通事故件数・負傷者数・死者数推移</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endParaRPr lang="ja-JP"/>
        </a:p>
      </c:txPr>
    </c:title>
    <c:autoTitleDeleted val="0"/>
    <c:plotArea>
      <c:layout/>
      <c:lineChart>
        <c:grouping val="standard"/>
        <c:varyColors val="0"/>
        <c:ser>
          <c:idx val="0"/>
          <c:order val="0"/>
          <c:tx>
            <c:strRef>
              <c:f>'2ページ（年次推移） '!$C$7</c:f>
              <c:strCache>
                <c:ptCount val="1"/>
                <c:pt idx="0">
                  <c:v>件数</c:v>
                </c:pt>
              </c:strCache>
            </c:strRef>
          </c:tx>
          <c:spPr>
            <a:ln w="41275" cap="rnd">
              <a:solidFill>
                <a:schemeClr val="tx1"/>
              </a:solidFill>
              <a:prstDash val="sysDot"/>
              <a:round/>
            </a:ln>
            <a:effectLst/>
          </c:spPr>
          <c:marker>
            <c:symbol val="none"/>
          </c:marker>
          <c:cat>
            <c:strRef>
              <c:f>'2ページ（年次推移） '!$B$9:$B$61</c:f>
              <c:strCache>
                <c:ptCount val="53"/>
                <c:pt idx="0">
                  <c:v>S45</c:v>
                </c:pt>
                <c:pt idx="1">
                  <c:v>S46</c:v>
                </c:pt>
                <c:pt idx="2">
                  <c:v>S47</c:v>
                </c:pt>
                <c:pt idx="3">
                  <c:v>S48</c:v>
                </c:pt>
                <c:pt idx="4">
                  <c:v>S49</c:v>
                </c:pt>
                <c:pt idx="5">
                  <c:v>S50</c:v>
                </c:pt>
                <c:pt idx="6">
                  <c:v>S51</c:v>
                </c:pt>
                <c:pt idx="7">
                  <c:v>S52</c:v>
                </c:pt>
                <c:pt idx="8">
                  <c:v>S53</c:v>
                </c:pt>
                <c:pt idx="9">
                  <c:v>S54</c:v>
                </c:pt>
                <c:pt idx="10">
                  <c:v>S55</c:v>
                </c:pt>
                <c:pt idx="11">
                  <c:v>S56</c:v>
                </c:pt>
                <c:pt idx="12">
                  <c:v>S57</c:v>
                </c:pt>
                <c:pt idx="13">
                  <c:v>S58</c:v>
                </c:pt>
                <c:pt idx="14">
                  <c:v>S59</c:v>
                </c:pt>
                <c:pt idx="15">
                  <c:v>S60</c:v>
                </c:pt>
                <c:pt idx="16">
                  <c:v>S61</c:v>
                </c:pt>
                <c:pt idx="17">
                  <c:v>S62</c:v>
                </c:pt>
                <c:pt idx="18">
                  <c:v>S63</c:v>
                </c:pt>
                <c:pt idx="19">
                  <c:v>H元</c:v>
                </c:pt>
                <c:pt idx="20">
                  <c:v>H2</c:v>
                </c:pt>
                <c:pt idx="21">
                  <c:v>H3</c:v>
                </c:pt>
                <c:pt idx="22">
                  <c:v>H4</c:v>
                </c:pt>
                <c:pt idx="23">
                  <c:v>H5</c:v>
                </c:pt>
                <c:pt idx="24">
                  <c:v>H6</c:v>
                </c:pt>
                <c:pt idx="25">
                  <c:v>H7</c:v>
                </c:pt>
                <c:pt idx="26">
                  <c:v>H8</c:v>
                </c:pt>
                <c:pt idx="27">
                  <c:v>H9</c:v>
                </c:pt>
                <c:pt idx="28">
                  <c:v>H10</c:v>
                </c:pt>
                <c:pt idx="29">
                  <c:v>H11</c:v>
                </c:pt>
                <c:pt idx="30">
                  <c:v>H12</c:v>
                </c:pt>
                <c:pt idx="31">
                  <c:v>H13</c:v>
                </c:pt>
                <c:pt idx="32">
                  <c:v>H14</c:v>
                </c:pt>
                <c:pt idx="33">
                  <c:v>H15</c:v>
                </c:pt>
                <c:pt idx="34">
                  <c:v>H16</c:v>
                </c:pt>
                <c:pt idx="35">
                  <c:v>H17</c:v>
                </c:pt>
                <c:pt idx="36">
                  <c:v>H18</c:v>
                </c:pt>
                <c:pt idx="37">
                  <c:v>H19</c:v>
                </c:pt>
                <c:pt idx="38">
                  <c:v>H20</c:v>
                </c:pt>
                <c:pt idx="39">
                  <c:v>H21</c:v>
                </c:pt>
                <c:pt idx="40">
                  <c:v>H22</c:v>
                </c:pt>
                <c:pt idx="41">
                  <c:v>H23</c:v>
                </c:pt>
                <c:pt idx="42">
                  <c:v>H24</c:v>
                </c:pt>
                <c:pt idx="43">
                  <c:v>H25</c:v>
                </c:pt>
                <c:pt idx="44">
                  <c:v>H26</c:v>
                </c:pt>
                <c:pt idx="45">
                  <c:v>H27</c:v>
                </c:pt>
                <c:pt idx="46">
                  <c:v>H28</c:v>
                </c:pt>
                <c:pt idx="47">
                  <c:v>H29</c:v>
                </c:pt>
                <c:pt idx="48">
                  <c:v>H30</c:v>
                </c:pt>
                <c:pt idx="49">
                  <c:v>R元</c:v>
                </c:pt>
                <c:pt idx="50">
                  <c:v>R２</c:v>
                </c:pt>
                <c:pt idx="51">
                  <c:v>R３</c:v>
                </c:pt>
                <c:pt idx="52">
                  <c:v>R4</c:v>
                </c:pt>
              </c:strCache>
            </c:strRef>
          </c:cat>
          <c:val>
            <c:numRef>
              <c:f>'2ページ（年次推移） '!$C$9:$C$61</c:f>
              <c:numCache>
                <c:formatCode>#,##0_);[Red]\(#,##0\)</c:formatCode>
                <c:ptCount val="53"/>
                <c:pt idx="0">
                  <c:v>25242</c:v>
                </c:pt>
                <c:pt idx="1">
                  <c:v>23380</c:v>
                </c:pt>
                <c:pt idx="2">
                  <c:v>20479</c:v>
                </c:pt>
                <c:pt idx="3">
                  <c:v>16669</c:v>
                </c:pt>
                <c:pt idx="4">
                  <c:v>13552</c:v>
                </c:pt>
                <c:pt idx="5">
                  <c:v>12726</c:v>
                </c:pt>
                <c:pt idx="6">
                  <c:v>12890</c:v>
                </c:pt>
                <c:pt idx="7">
                  <c:v>12852</c:v>
                </c:pt>
                <c:pt idx="8">
                  <c:v>12742</c:v>
                </c:pt>
                <c:pt idx="9">
                  <c:v>12648</c:v>
                </c:pt>
                <c:pt idx="10">
                  <c:v>13322</c:v>
                </c:pt>
                <c:pt idx="11">
                  <c:v>14262</c:v>
                </c:pt>
                <c:pt idx="12">
                  <c:v>15192</c:v>
                </c:pt>
                <c:pt idx="13">
                  <c:v>15719</c:v>
                </c:pt>
                <c:pt idx="14">
                  <c:v>15515</c:v>
                </c:pt>
                <c:pt idx="15">
                  <c:v>16284</c:v>
                </c:pt>
                <c:pt idx="16">
                  <c:v>16380</c:v>
                </c:pt>
                <c:pt idx="17">
                  <c:v>16386</c:v>
                </c:pt>
                <c:pt idx="18">
                  <c:v>16191</c:v>
                </c:pt>
                <c:pt idx="19">
                  <c:v>16518</c:v>
                </c:pt>
                <c:pt idx="20">
                  <c:v>14987</c:v>
                </c:pt>
                <c:pt idx="21">
                  <c:v>15690</c:v>
                </c:pt>
                <c:pt idx="22">
                  <c:v>16498</c:v>
                </c:pt>
                <c:pt idx="23">
                  <c:v>16340</c:v>
                </c:pt>
                <c:pt idx="24">
                  <c:v>16354</c:v>
                </c:pt>
                <c:pt idx="25">
                  <c:v>17087</c:v>
                </c:pt>
                <c:pt idx="26">
                  <c:v>17366</c:v>
                </c:pt>
                <c:pt idx="27">
                  <c:v>16806</c:v>
                </c:pt>
                <c:pt idx="28">
                  <c:v>17237</c:v>
                </c:pt>
                <c:pt idx="29">
                  <c:v>17775</c:v>
                </c:pt>
                <c:pt idx="30">
                  <c:v>19490</c:v>
                </c:pt>
                <c:pt idx="31">
                  <c:v>19686</c:v>
                </c:pt>
                <c:pt idx="32">
                  <c:v>19690</c:v>
                </c:pt>
                <c:pt idx="33">
                  <c:v>20320</c:v>
                </c:pt>
                <c:pt idx="34">
                  <c:v>20488</c:v>
                </c:pt>
                <c:pt idx="35">
                  <c:v>19882</c:v>
                </c:pt>
                <c:pt idx="36">
                  <c:v>18753</c:v>
                </c:pt>
                <c:pt idx="37">
                  <c:v>17402</c:v>
                </c:pt>
                <c:pt idx="38">
                  <c:v>15990</c:v>
                </c:pt>
                <c:pt idx="39">
                  <c:v>15575</c:v>
                </c:pt>
                <c:pt idx="40">
                  <c:v>15403</c:v>
                </c:pt>
                <c:pt idx="41">
                  <c:v>14747</c:v>
                </c:pt>
                <c:pt idx="42">
                  <c:v>14500</c:v>
                </c:pt>
                <c:pt idx="43">
                  <c:v>13973</c:v>
                </c:pt>
                <c:pt idx="44">
                  <c:v>12946</c:v>
                </c:pt>
                <c:pt idx="45">
                  <c:v>12769</c:v>
                </c:pt>
                <c:pt idx="46">
                  <c:v>12173</c:v>
                </c:pt>
                <c:pt idx="47">
                  <c:v>11332</c:v>
                </c:pt>
                <c:pt idx="48">
                  <c:v>10885</c:v>
                </c:pt>
                <c:pt idx="49">
                  <c:v>10080</c:v>
                </c:pt>
                <c:pt idx="50">
                  <c:v>8256</c:v>
                </c:pt>
                <c:pt idx="51">
                  <c:v>8296</c:v>
                </c:pt>
                <c:pt idx="52">
                  <c:v>8106</c:v>
                </c:pt>
              </c:numCache>
            </c:numRef>
          </c:val>
          <c:smooth val="0"/>
          <c:extLst>
            <c:ext xmlns:c16="http://schemas.microsoft.com/office/drawing/2014/chart" uri="{C3380CC4-5D6E-409C-BE32-E72D297353CC}">
              <c16:uniqueId val="{00000000-D079-4EC6-8EF7-25AE8330B0F6}"/>
            </c:ext>
          </c:extLst>
        </c:ser>
        <c:ser>
          <c:idx val="2"/>
          <c:order val="2"/>
          <c:tx>
            <c:strRef>
              <c:f>'2ページ（年次推移） '!$E$7</c:f>
              <c:strCache>
                <c:ptCount val="1"/>
                <c:pt idx="0">
                  <c:v>負傷者数</c:v>
                </c:pt>
              </c:strCache>
            </c:strRef>
          </c:tx>
          <c:spPr>
            <a:ln w="28575" cap="rnd">
              <a:solidFill>
                <a:schemeClr val="accent1"/>
              </a:solidFill>
              <a:prstDash val="sysDash"/>
              <a:round/>
            </a:ln>
            <a:effectLst/>
          </c:spPr>
          <c:marker>
            <c:symbol val="none"/>
          </c:marker>
          <c:cat>
            <c:strRef>
              <c:f>'2ページ（年次推移） '!$B$9:$B$61</c:f>
              <c:strCache>
                <c:ptCount val="53"/>
                <c:pt idx="0">
                  <c:v>S45</c:v>
                </c:pt>
                <c:pt idx="1">
                  <c:v>S46</c:v>
                </c:pt>
                <c:pt idx="2">
                  <c:v>S47</c:v>
                </c:pt>
                <c:pt idx="3">
                  <c:v>S48</c:v>
                </c:pt>
                <c:pt idx="4">
                  <c:v>S49</c:v>
                </c:pt>
                <c:pt idx="5">
                  <c:v>S50</c:v>
                </c:pt>
                <c:pt idx="6">
                  <c:v>S51</c:v>
                </c:pt>
                <c:pt idx="7">
                  <c:v>S52</c:v>
                </c:pt>
                <c:pt idx="8">
                  <c:v>S53</c:v>
                </c:pt>
                <c:pt idx="9">
                  <c:v>S54</c:v>
                </c:pt>
                <c:pt idx="10">
                  <c:v>S55</c:v>
                </c:pt>
                <c:pt idx="11">
                  <c:v>S56</c:v>
                </c:pt>
                <c:pt idx="12">
                  <c:v>S57</c:v>
                </c:pt>
                <c:pt idx="13">
                  <c:v>S58</c:v>
                </c:pt>
                <c:pt idx="14">
                  <c:v>S59</c:v>
                </c:pt>
                <c:pt idx="15">
                  <c:v>S60</c:v>
                </c:pt>
                <c:pt idx="16">
                  <c:v>S61</c:v>
                </c:pt>
                <c:pt idx="17">
                  <c:v>S62</c:v>
                </c:pt>
                <c:pt idx="18">
                  <c:v>S63</c:v>
                </c:pt>
                <c:pt idx="19">
                  <c:v>H元</c:v>
                </c:pt>
                <c:pt idx="20">
                  <c:v>H2</c:v>
                </c:pt>
                <c:pt idx="21">
                  <c:v>H3</c:v>
                </c:pt>
                <c:pt idx="22">
                  <c:v>H4</c:v>
                </c:pt>
                <c:pt idx="23">
                  <c:v>H5</c:v>
                </c:pt>
                <c:pt idx="24">
                  <c:v>H6</c:v>
                </c:pt>
                <c:pt idx="25">
                  <c:v>H7</c:v>
                </c:pt>
                <c:pt idx="26">
                  <c:v>H8</c:v>
                </c:pt>
                <c:pt idx="27">
                  <c:v>H9</c:v>
                </c:pt>
                <c:pt idx="28">
                  <c:v>H10</c:v>
                </c:pt>
                <c:pt idx="29">
                  <c:v>H11</c:v>
                </c:pt>
                <c:pt idx="30">
                  <c:v>H12</c:v>
                </c:pt>
                <c:pt idx="31">
                  <c:v>H13</c:v>
                </c:pt>
                <c:pt idx="32">
                  <c:v>H14</c:v>
                </c:pt>
                <c:pt idx="33">
                  <c:v>H15</c:v>
                </c:pt>
                <c:pt idx="34">
                  <c:v>H16</c:v>
                </c:pt>
                <c:pt idx="35">
                  <c:v>H17</c:v>
                </c:pt>
                <c:pt idx="36">
                  <c:v>H18</c:v>
                </c:pt>
                <c:pt idx="37">
                  <c:v>H19</c:v>
                </c:pt>
                <c:pt idx="38">
                  <c:v>H20</c:v>
                </c:pt>
                <c:pt idx="39">
                  <c:v>H21</c:v>
                </c:pt>
                <c:pt idx="40">
                  <c:v>H22</c:v>
                </c:pt>
                <c:pt idx="41">
                  <c:v>H23</c:v>
                </c:pt>
                <c:pt idx="42">
                  <c:v>H24</c:v>
                </c:pt>
                <c:pt idx="43">
                  <c:v>H25</c:v>
                </c:pt>
                <c:pt idx="44">
                  <c:v>H26</c:v>
                </c:pt>
                <c:pt idx="45">
                  <c:v>H27</c:v>
                </c:pt>
                <c:pt idx="46">
                  <c:v>H28</c:v>
                </c:pt>
                <c:pt idx="47">
                  <c:v>H29</c:v>
                </c:pt>
                <c:pt idx="48">
                  <c:v>H30</c:v>
                </c:pt>
                <c:pt idx="49">
                  <c:v>R元</c:v>
                </c:pt>
                <c:pt idx="50">
                  <c:v>R２</c:v>
                </c:pt>
                <c:pt idx="51">
                  <c:v>R３</c:v>
                </c:pt>
                <c:pt idx="52">
                  <c:v>R4</c:v>
                </c:pt>
              </c:strCache>
            </c:strRef>
          </c:cat>
          <c:val>
            <c:numRef>
              <c:f>'2ページ（年次推移） '!$E$9:$E$61</c:f>
              <c:numCache>
                <c:formatCode>#,##0_);[Red]\(#,##0\)</c:formatCode>
                <c:ptCount val="53"/>
                <c:pt idx="0">
                  <c:v>34642</c:v>
                </c:pt>
                <c:pt idx="1">
                  <c:v>31519</c:v>
                </c:pt>
                <c:pt idx="2">
                  <c:v>27240</c:v>
                </c:pt>
                <c:pt idx="3">
                  <c:v>21997</c:v>
                </c:pt>
                <c:pt idx="4">
                  <c:v>17500</c:v>
                </c:pt>
                <c:pt idx="5">
                  <c:v>16029</c:v>
                </c:pt>
                <c:pt idx="6">
                  <c:v>16367</c:v>
                </c:pt>
                <c:pt idx="7">
                  <c:v>16017</c:v>
                </c:pt>
                <c:pt idx="8">
                  <c:v>15854</c:v>
                </c:pt>
                <c:pt idx="9">
                  <c:v>15423</c:v>
                </c:pt>
                <c:pt idx="10">
                  <c:v>16163</c:v>
                </c:pt>
                <c:pt idx="11">
                  <c:v>17476</c:v>
                </c:pt>
                <c:pt idx="12">
                  <c:v>18448</c:v>
                </c:pt>
                <c:pt idx="13">
                  <c:v>19220</c:v>
                </c:pt>
                <c:pt idx="14">
                  <c:v>18863</c:v>
                </c:pt>
                <c:pt idx="15">
                  <c:v>19750</c:v>
                </c:pt>
                <c:pt idx="16">
                  <c:v>19970</c:v>
                </c:pt>
                <c:pt idx="17">
                  <c:v>20120</c:v>
                </c:pt>
                <c:pt idx="18">
                  <c:v>19807</c:v>
                </c:pt>
                <c:pt idx="19">
                  <c:v>20524</c:v>
                </c:pt>
                <c:pt idx="20">
                  <c:v>19896</c:v>
                </c:pt>
                <c:pt idx="21">
                  <c:v>19590</c:v>
                </c:pt>
                <c:pt idx="22">
                  <c:v>20232</c:v>
                </c:pt>
                <c:pt idx="23">
                  <c:v>19840</c:v>
                </c:pt>
                <c:pt idx="24">
                  <c:v>19748</c:v>
                </c:pt>
                <c:pt idx="25">
                  <c:v>20621</c:v>
                </c:pt>
                <c:pt idx="26">
                  <c:v>20667</c:v>
                </c:pt>
                <c:pt idx="27">
                  <c:v>19764</c:v>
                </c:pt>
                <c:pt idx="28">
                  <c:v>20434</c:v>
                </c:pt>
                <c:pt idx="29">
                  <c:v>21146</c:v>
                </c:pt>
                <c:pt idx="30">
                  <c:v>23167</c:v>
                </c:pt>
                <c:pt idx="31">
                  <c:v>23349</c:v>
                </c:pt>
                <c:pt idx="32">
                  <c:v>23424</c:v>
                </c:pt>
                <c:pt idx="33">
                  <c:v>24161</c:v>
                </c:pt>
                <c:pt idx="34">
                  <c:v>24183</c:v>
                </c:pt>
                <c:pt idx="35">
                  <c:v>23353</c:v>
                </c:pt>
                <c:pt idx="36">
                  <c:v>22100</c:v>
                </c:pt>
                <c:pt idx="37">
                  <c:v>20318</c:v>
                </c:pt>
                <c:pt idx="38">
                  <c:v>18741</c:v>
                </c:pt>
                <c:pt idx="39">
                  <c:v>18280</c:v>
                </c:pt>
                <c:pt idx="40">
                  <c:v>18024</c:v>
                </c:pt>
                <c:pt idx="41">
                  <c:v>17282</c:v>
                </c:pt>
                <c:pt idx="42">
                  <c:v>16900</c:v>
                </c:pt>
                <c:pt idx="43">
                  <c:v>16418</c:v>
                </c:pt>
                <c:pt idx="44">
                  <c:v>15221</c:v>
                </c:pt>
                <c:pt idx="45">
                  <c:v>14867</c:v>
                </c:pt>
                <c:pt idx="46">
                  <c:v>14231</c:v>
                </c:pt>
                <c:pt idx="47">
                  <c:v>13398</c:v>
                </c:pt>
                <c:pt idx="48">
                  <c:v>12723</c:v>
                </c:pt>
                <c:pt idx="49">
                  <c:v>11700</c:v>
                </c:pt>
                <c:pt idx="50">
                  <c:v>9493</c:v>
                </c:pt>
                <c:pt idx="51">
                  <c:v>9584</c:v>
                </c:pt>
                <c:pt idx="52">
                  <c:v>9278</c:v>
                </c:pt>
              </c:numCache>
            </c:numRef>
          </c:val>
          <c:smooth val="0"/>
          <c:extLst>
            <c:ext xmlns:c16="http://schemas.microsoft.com/office/drawing/2014/chart" uri="{C3380CC4-5D6E-409C-BE32-E72D297353CC}">
              <c16:uniqueId val="{00000001-D079-4EC6-8EF7-25AE8330B0F6}"/>
            </c:ext>
          </c:extLst>
        </c:ser>
        <c:dLbls>
          <c:showLegendKey val="0"/>
          <c:showVal val="0"/>
          <c:showCatName val="0"/>
          <c:showSerName val="0"/>
          <c:showPercent val="0"/>
          <c:showBubbleSize val="0"/>
        </c:dLbls>
        <c:marker val="1"/>
        <c:smooth val="0"/>
        <c:axId val="498211008"/>
        <c:axId val="498207400"/>
      </c:lineChart>
      <c:lineChart>
        <c:grouping val="standard"/>
        <c:varyColors val="0"/>
        <c:ser>
          <c:idx val="1"/>
          <c:order val="1"/>
          <c:tx>
            <c:strRef>
              <c:f>'2ページ（年次推移） '!$D$7</c:f>
              <c:strCache>
                <c:ptCount val="1"/>
                <c:pt idx="0">
                  <c:v>死者数</c:v>
                </c:pt>
              </c:strCache>
            </c:strRef>
          </c:tx>
          <c:spPr>
            <a:ln w="28575" cap="rnd">
              <a:solidFill>
                <a:srgbClr val="FF0000"/>
              </a:solidFill>
              <a:round/>
            </a:ln>
            <a:effectLst/>
          </c:spPr>
          <c:marker>
            <c:symbol val="none"/>
          </c:marker>
          <c:cat>
            <c:strRef>
              <c:f>'2ページ（年次推移） '!$B$9:$B$61</c:f>
              <c:strCache>
                <c:ptCount val="53"/>
                <c:pt idx="0">
                  <c:v>S45</c:v>
                </c:pt>
                <c:pt idx="1">
                  <c:v>S46</c:v>
                </c:pt>
                <c:pt idx="2">
                  <c:v>S47</c:v>
                </c:pt>
                <c:pt idx="3">
                  <c:v>S48</c:v>
                </c:pt>
                <c:pt idx="4">
                  <c:v>S49</c:v>
                </c:pt>
                <c:pt idx="5">
                  <c:v>S50</c:v>
                </c:pt>
                <c:pt idx="6">
                  <c:v>S51</c:v>
                </c:pt>
                <c:pt idx="7">
                  <c:v>S52</c:v>
                </c:pt>
                <c:pt idx="8">
                  <c:v>S53</c:v>
                </c:pt>
                <c:pt idx="9">
                  <c:v>S54</c:v>
                </c:pt>
                <c:pt idx="10">
                  <c:v>S55</c:v>
                </c:pt>
                <c:pt idx="11">
                  <c:v>S56</c:v>
                </c:pt>
                <c:pt idx="12">
                  <c:v>S57</c:v>
                </c:pt>
                <c:pt idx="13">
                  <c:v>S58</c:v>
                </c:pt>
                <c:pt idx="14">
                  <c:v>S59</c:v>
                </c:pt>
                <c:pt idx="15">
                  <c:v>S60</c:v>
                </c:pt>
                <c:pt idx="16">
                  <c:v>S61</c:v>
                </c:pt>
                <c:pt idx="17">
                  <c:v>S62</c:v>
                </c:pt>
                <c:pt idx="18">
                  <c:v>S63</c:v>
                </c:pt>
                <c:pt idx="19">
                  <c:v>H元</c:v>
                </c:pt>
                <c:pt idx="20">
                  <c:v>H2</c:v>
                </c:pt>
                <c:pt idx="21">
                  <c:v>H3</c:v>
                </c:pt>
                <c:pt idx="22">
                  <c:v>H4</c:v>
                </c:pt>
                <c:pt idx="23">
                  <c:v>H5</c:v>
                </c:pt>
                <c:pt idx="24">
                  <c:v>H6</c:v>
                </c:pt>
                <c:pt idx="25">
                  <c:v>H7</c:v>
                </c:pt>
                <c:pt idx="26">
                  <c:v>H8</c:v>
                </c:pt>
                <c:pt idx="27">
                  <c:v>H9</c:v>
                </c:pt>
                <c:pt idx="28">
                  <c:v>H10</c:v>
                </c:pt>
                <c:pt idx="29">
                  <c:v>H11</c:v>
                </c:pt>
                <c:pt idx="30">
                  <c:v>H12</c:v>
                </c:pt>
                <c:pt idx="31">
                  <c:v>H13</c:v>
                </c:pt>
                <c:pt idx="32">
                  <c:v>H14</c:v>
                </c:pt>
                <c:pt idx="33">
                  <c:v>H15</c:v>
                </c:pt>
                <c:pt idx="34">
                  <c:v>H16</c:v>
                </c:pt>
                <c:pt idx="35">
                  <c:v>H17</c:v>
                </c:pt>
                <c:pt idx="36">
                  <c:v>H18</c:v>
                </c:pt>
                <c:pt idx="37">
                  <c:v>H19</c:v>
                </c:pt>
                <c:pt idx="38">
                  <c:v>H20</c:v>
                </c:pt>
                <c:pt idx="39">
                  <c:v>H21</c:v>
                </c:pt>
                <c:pt idx="40">
                  <c:v>H22</c:v>
                </c:pt>
                <c:pt idx="41">
                  <c:v>H23</c:v>
                </c:pt>
                <c:pt idx="42">
                  <c:v>H24</c:v>
                </c:pt>
                <c:pt idx="43">
                  <c:v>H25</c:v>
                </c:pt>
                <c:pt idx="44">
                  <c:v>H26</c:v>
                </c:pt>
                <c:pt idx="45">
                  <c:v>H27</c:v>
                </c:pt>
                <c:pt idx="46">
                  <c:v>H28</c:v>
                </c:pt>
                <c:pt idx="47">
                  <c:v>H29</c:v>
                </c:pt>
                <c:pt idx="48">
                  <c:v>H30</c:v>
                </c:pt>
                <c:pt idx="49">
                  <c:v>R元</c:v>
                </c:pt>
                <c:pt idx="50">
                  <c:v>R２</c:v>
                </c:pt>
                <c:pt idx="51">
                  <c:v>R３</c:v>
                </c:pt>
                <c:pt idx="52">
                  <c:v>R4</c:v>
                </c:pt>
              </c:strCache>
            </c:strRef>
          </c:cat>
          <c:val>
            <c:numRef>
              <c:f>'2ページ（年次推移） '!$D$9:$D$61</c:f>
              <c:numCache>
                <c:formatCode>#,##0_);[Red]\(#,##0\)</c:formatCode>
                <c:ptCount val="53"/>
                <c:pt idx="0">
                  <c:v>280</c:v>
                </c:pt>
                <c:pt idx="1">
                  <c:v>222</c:v>
                </c:pt>
                <c:pt idx="2">
                  <c:v>228</c:v>
                </c:pt>
                <c:pt idx="3">
                  <c:v>244</c:v>
                </c:pt>
                <c:pt idx="4">
                  <c:v>147</c:v>
                </c:pt>
                <c:pt idx="5">
                  <c:v>130</c:v>
                </c:pt>
                <c:pt idx="6">
                  <c:v>110</c:v>
                </c:pt>
                <c:pt idx="7">
                  <c:v>98</c:v>
                </c:pt>
                <c:pt idx="8">
                  <c:v>118</c:v>
                </c:pt>
                <c:pt idx="9">
                  <c:v>99</c:v>
                </c:pt>
                <c:pt idx="10">
                  <c:v>104</c:v>
                </c:pt>
                <c:pt idx="11">
                  <c:v>128</c:v>
                </c:pt>
                <c:pt idx="12">
                  <c:v>131</c:v>
                </c:pt>
                <c:pt idx="13">
                  <c:v>117</c:v>
                </c:pt>
                <c:pt idx="14">
                  <c:v>138</c:v>
                </c:pt>
                <c:pt idx="15">
                  <c:v>121</c:v>
                </c:pt>
                <c:pt idx="16">
                  <c:v>134</c:v>
                </c:pt>
                <c:pt idx="17">
                  <c:v>139</c:v>
                </c:pt>
                <c:pt idx="18">
                  <c:v>145</c:v>
                </c:pt>
                <c:pt idx="19">
                  <c:v>148</c:v>
                </c:pt>
                <c:pt idx="20">
                  <c:v>164</c:v>
                </c:pt>
                <c:pt idx="21">
                  <c:v>147</c:v>
                </c:pt>
                <c:pt idx="22">
                  <c:v>157</c:v>
                </c:pt>
                <c:pt idx="23">
                  <c:v>167</c:v>
                </c:pt>
                <c:pt idx="24">
                  <c:v>156</c:v>
                </c:pt>
                <c:pt idx="25">
                  <c:v>159</c:v>
                </c:pt>
                <c:pt idx="26">
                  <c:v>122</c:v>
                </c:pt>
                <c:pt idx="27">
                  <c:v>132</c:v>
                </c:pt>
                <c:pt idx="28">
                  <c:v>129</c:v>
                </c:pt>
                <c:pt idx="29">
                  <c:v>117</c:v>
                </c:pt>
                <c:pt idx="30">
                  <c:v>100</c:v>
                </c:pt>
                <c:pt idx="31">
                  <c:v>101</c:v>
                </c:pt>
                <c:pt idx="32">
                  <c:v>107</c:v>
                </c:pt>
                <c:pt idx="33">
                  <c:v>86</c:v>
                </c:pt>
                <c:pt idx="34">
                  <c:v>91</c:v>
                </c:pt>
                <c:pt idx="35">
                  <c:v>80</c:v>
                </c:pt>
                <c:pt idx="36">
                  <c:v>75</c:v>
                </c:pt>
                <c:pt idx="37">
                  <c:v>73</c:v>
                </c:pt>
                <c:pt idx="38">
                  <c:v>61</c:v>
                </c:pt>
                <c:pt idx="39">
                  <c:v>64</c:v>
                </c:pt>
                <c:pt idx="40">
                  <c:v>62</c:v>
                </c:pt>
                <c:pt idx="41">
                  <c:v>65</c:v>
                </c:pt>
                <c:pt idx="42">
                  <c:v>51</c:v>
                </c:pt>
                <c:pt idx="43">
                  <c:v>49</c:v>
                </c:pt>
                <c:pt idx="44">
                  <c:v>51</c:v>
                </c:pt>
                <c:pt idx="45">
                  <c:v>51</c:v>
                </c:pt>
                <c:pt idx="46">
                  <c:v>49</c:v>
                </c:pt>
                <c:pt idx="47">
                  <c:v>44</c:v>
                </c:pt>
                <c:pt idx="48">
                  <c:v>44</c:v>
                </c:pt>
                <c:pt idx="49">
                  <c:v>34</c:v>
                </c:pt>
                <c:pt idx="50">
                  <c:v>37</c:v>
                </c:pt>
                <c:pt idx="51">
                  <c:v>43</c:v>
                </c:pt>
                <c:pt idx="52">
                  <c:v>40</c:v>
                </c:pt>
              </c:numCache>
            </c:numRef>
          </c:val>
          <c:smooth val="0"/>
          <c:extLst>
            <c:ext xmlns:c16="http://schemas.microsoft.com/office/drawing/2014/chart" uri="{C3380CC4-5D6E-409C-BE32-E72D297353CC}">
              <c16:uniqueId val="{00000002-D079-4EC6-8EF7-25AE8330B0F6}"/>
            </c:ext>
          </c:extLst>
        </c:ser>
        <c:dLbls>
          <c:showLegendKey val="0"/>
          <c:showVal val="0"/>
          <c:showCatName val="0"/>
          <c:showSerName val="0"/>
          <c:showPercent val="0"/>
          <c:showBubbleSize val="0"/>
        </c:dLbls>
        <c:marker val="1"/>
        <c:smooth val="0"/>
        <c:axId val="507132240"/>
        <c:axId val="507135520"/>
      </c:lineChart>
      <c:catAx>
        <c:axId val="498211008"/>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8207400"/>
        <c:crosses val="autoZero"/>
        <c:auto val="1"/>
        <c:lblAlgn val="ctr"/>
        <c:lblOffset val="100"/>
        <c:noMultiLvlLbl val="0"/>
      </c:catAx>
      <c:valAx>
        <c:axId val="498207400"/>
        <c:scaling>
          <c:orientation val="minMax"/>
          <c:max val="35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8211008"/>
        <c:crosses val="autoZero"/>
        <c:crossBetween val="between"/>
      </c:valAx>
      <c:valAx>
        <c:axId val="507135520"/>
        <c:scaling>
          <c:orientation val="minMax"/>
          <c:max val="350"/>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07132240"/>
        <c:crosses val="max"/>
        <c:crossBetween val="between"/>
      </c:valAx>
      <c:catAx>
        <c:axId val="507132240"/>
        <c:scaling>
          <c:orientation val="minMax"/>
        </c:scaling>
        <c:delete val="1"/>
        <c:axPos val="b"/>
        <c:numFmt formatCode="General" sourceLinked="1"/>
        <c:majorTickMark val="out"/>
        <c:minorTickMark val="none"/>
        <c:tickLblPos val="nextTo"/>
        <c:crossAx val="507135520"/>
        <c:crosses val="autoZero"/>
        <c:auto val="1"/>
        <c:lblAlgn val="ctr"/>
        <c:lblOffset val="100"/>
        <c:noMultiLvlLbl val="0"/>
      </c:catAx>
      <c:spPr>
        <a:noFill/>
        <a:ln w="6350">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en-US">
                <a:latin typeface="Arial" panose="020B0604020202020204" pitchFamily="34" charset="0"/>
                <a:cs typeface="Arial" panose="020B0604020202020204" pitchFamily="34" charset="0"/>
              </a:rPr>
              <a:t>各区における人口及び事故件数</a:t>
            </a:r>
          </a:p>
        </c:rich>
      </c:tx>
      <c:layout>
        <c:manualLayout>
          <c:xMode val="edge"/>
          <c:yMode val="edge"/>
          <c:x val="0.35555555555555557"/>
          <c:y val="3.1553398058252427E-2"/>
        </c:manualLayout>
      </c:layout>
      <c:overlay val="0"/>
      <c:spPr>
        <a:noFill/>
        <a:ln w="25400">
          <a:noFill/>
        </a:ln>
      </c:spPr>
    </c:title>
    <c:autoTitleDeleted val="0"/>
    <c:plotArea>
      <c:layout>
        <c:manualLayout>
          <c:layoutTarget val="inner"/>
          <c:xMode val="edge"/>
          <c:yMode val="edge"/>
          <c:x val="0.2013888888888889"/>
          <c:y val="0.15291262135922329"/>
          <c:w val="0.63194444444444442"/>
          <c:h val="0.60436893203883491"/>
        </c:manualLayout>
      </c:layout>
      <c:barChart>
        <c:barDir val="col"/>
        <c:grouping val="clustered"/>
        <c:varyColors val="0"/>
        <c:ser>
          <c:idx val="1"/>
          <c:order val="0"/>
          <c:tx>
            <c:v>人口</c:v>
          </c:tx>
          <c:spPr>
            <a:solidFill>
              <a:srgbClr val="969696"/>
            </a:solidFill>
            <a:ln w="12700">
              <a:solidFill>
                <a:srgbClr val="000000"/>
              </a:solidFill>
              <a:prstDash val="solid"/>
            </a:ln>
          </c:spPr>
          <c:invertIfNegative val="0"/>
          <c:cat>
            <c:strRef>
              <c:f>'★６ページ（行政区別）'!$Q$6:$Q$29</c:f>
              <c:strCache>
                <c:ptCount val="24"/>
                <c:pt idx="0">
                  <c:v>北</c:v>
                </c:pt>
                <c:pt idx="1">
                  <c:v>都島</c:v>
                </c:pt>
                <c:pt idx="2">
                  <c:v>福島</c:v>
                </c:pt>
                <c:pt idx="3">
                  <c:v>此花</c:v>
                </c:pt>
                <c:pt idx="4">
                  <c:v>中央</c:v>
                </c:pt>
                <c:pt idx="5">
                  <c:v>西</c:v>
                </c:pt>
                <c:pt idx="6">
                  <c:v>港</c:v>
                </c:pt>
                <c:pt idx="7">
                  <c:v>大正</c:v>
                </c:pt>
                <c:pt idx="8">
                  <c:v>天王寺</c:v>
                </c:pt>
                <c:pt idx="9">
                  <c:v>浪速</c:v>
                </c:pt>
                <c:pt idx="10">
                  <c:v>西淀川</c:v>
                </c:pt>
                <c:pt idx="11">
                  <c:v>淀川</c:v>
                </c:pt>
                <c:pt idx="12">
                  <c:v>東淀川</c:v>
                </c:pt>
                <c:pt idx="13">
                  <c:v>東成</c:v>
                </c:pt>
                <c:pt idx="14">
                  <c:v>生野</c:v>
                </c:pt>
                <c:pt idx="15">
                  <c:v>旭</c:v>
                </c:pt>
                <c:pt idx="16">
                  <c:v>城東</c:v>
                </c:pt>
                <c:pt idx="17">
                  <c:v>鶴見</c:v>
                </c:pt>
                <c:pt idx="18">
                  <c:v>阿倍野</c:v>
                </c:pt>
                <c:pt idx="19">
                  <c:v>住之江</c:v>
                </c:pt>
                <c:pt idx="20">
                  <c:v>住吉</c:v>
                </c:pt>
                <c:pt idx="21">
                  <c:v>東住吉</c:v>
                </c:pt>
                <c:pt idx="22">
                  <c:v>平野</c:v>
                </c:pt>
                <c:pt idx="23">
                  <c:v>西成</c:v>
                </c:pt>
              </c:strCache>
            </c:strRef>
          </c:cat>
          <c:val>
            <c:numRef>
              <c:f>'★６ページ（行政区別）'!$R$6:$R$29</c:f>
              <c:numCache>
                <c:formatCode>#,##0_);[Red]\(#,##0\)</c:formatCode>
                <c:ptCount val="24"/>
                <c:pt idx="0">
                  <c:v>142738</c:v>
                </c:pt>
                <c:pt idx="1">
                  <c:v>107826</c:v>
                </c:pt>
                <c:pt idx="2">
                  <c:v>80348</c:v>
                </c:pt>
                <c:pt idx="3">
                  <c:v>64687</c:v>
                </c:pt>
                <c:pt idx="4">
                  <c:v>110271</c:v>
                </c:pt>
                <c:pt idx="5">
                  <c:v>108402</c:v>
                </c:pt>
                <c:pt idx="6">
                  <c:v>79469</c:v>
                </c:pt>
                <c:pt idx="7">
                  <c:v>60345</c:v>
                </c:pt>
                <c:pt idx="8">
                  <c:v>84310</c:v>
                </c:pt>
                <c:pt idx="9">
                  <c:v>79113</c:v>
                </c:pt>
                <c:pt idx="10">
                  <c:v>95436</c:v>
                </c:pt>
                <c:pt idx="11">
                  <c:v>184414</c:v>
                </c:pt>
                <c:pt idx="12">
                  <c:v>175806</c:v>
                </c:pt>
                <c:pt idx="13">
                  <c:v>85514</c:v>
                </c:pt>
                <c:pt idx="14">
                  <c:v>126741</c:v>
                </c:pt>
                <c:pt idx="15">
                  <c:v>88872</c:v>
                </c:pt>
                <c:pt idx="16">
                  <c:v>168069</c:v>
                </c:pt>
                <c:pt idx="17">
                  <c:v>111612</c:v>
                </c:pt>
                <c:pt idx="18">
                  <c:v>111563</c:v>
                </c:pt>
                <c:pt idx="19">
                  <c:v>117595</c:v>
                </c:pt>
                <c:pt idx="20">
                  <c:v>152080</c:v>
                </c:pt>
                <c:pt idx="21">
                  <c:v>127384</c:v>
                </c:pt>
                <c:pt idx="22">
                  <c:v>188208</c:v>
                </c:pt>
                <c:pt idx="23">
                  <c:v>106004</c:v>
                </c:pt>
              </c:numCache>
            </c:numRef>
          </c:val>
          <c:extLst>
            <c:ext xmlns:c16="http://schemas.microsoft.com/office/drawing/2014/chart" uri="{C3380CC4-5D6E-409C-BE32-E72D297353CC}">
              <c16:uniqueId val="{00000000-49D0-4055-AC8B-9A8F509B6B02}"/>
            </c:ext>
          </c:extLst>
        </c:ser>
        <c:dLbls>
          <c:showLegendKey val="0"/>
          <c:showVal val="0"/>
          <c:showCatName val="0"/>
          <c:showSerName val="0"/>
          <c:showPercent val="0"/>
          <c:showBubbleSize val="0"/>
        </c:dLbls>
        <c:gapWidth val="150"/>
        <c:axId val="344650496"/>
        <c:axId val="345083904"/>
      </c:barChart>
      <c:lineChart>
        <c:grouping val="standard"/>
        <c:varyColors val="0"/>
        <c:ser>
          <c:idx val="0"/>
          <c:order val="1"/>
          <c:tx>
            <c:v>件数</c:v>
          </c:tx>
          <c:spPr>
            <a:ln w="12700">
              <a:solidFill>
                <a:srgbClr val="000080"/>
              </a:solidFill>
              <a:prstDash val="solid"/>
            </a:ln>
          </c:spPr>
          <c:marker>
            <c:symbol val="diamond"/>
            <c:size val="5"/>
            <c:spPr>
              <a:solidFill>
                <a:srgbClr val="000080"/>
              </a:solidFill>
              <a:ln>
                <a:solidFill>
                  <a:srgbClr val="000080"/>
                </a:solidFill>
                <a:prstDash val="solid"/>
              </a:ln>
            </c:spPr>
          </c:marker>
          <c:cat>
            <c:strRef>
              <c:f>'★６ページ（行政区別）'!$Q$6:$Q$29</c:f>
              <c:strCache>
                <c:ptCount val="24"/>
                <c:pt idx="0">
                  <c:v>北</c:v>
                </c:pt>
                <c:pt idx="1">
                  <c:v>都島</c:v>
                </c:pt>
                <c:pt idx="2">
                  <c:v>福島</c:v>
                </c:pt>
                <c:pt idx="3">
                  <c:v>此花</c:v>
                </c:pt>
                <c:pt idx="4">
                  <c:v>中央</c:v>
                </c:pt>
                <c:pt idx="5">
                  <c:v>西</c:v>
                </c:pt>
                <c:pt idx="6">
                  <c:v>港</c:v>
                </c:pt>
                <c:pt idx="7">
                  <c:v>大正</c:v>
                </c:pt>
                <c:pt idx="8">
                  <c:v>天王寺</c:v>
                </c:pt>
                <c:pt idx="9">
                  <c:v>浪速</c:v>
                </c:pt>
                <c:pt idx="10">
                  <c:v>西淀川</c:v>
                </c:pt>
                <c:pt idx="11">
                  <c:v>淀川</c:v>
                </c:pt>
                <c:pt idx="12">
                  <c:v>東淀川</c:v>
                </c:pt>
                <c:pt idx="13">
                  <c:v>東成</c:v>
                </c:pt>
                <c:pt idx="14">
                  <c:v>生野</c:v>
                </c:pt>
                <c:pt idx="15">
                  <c:v>旭</c:v>
                </c:pt>
                <c:pt idx="16">
                  <c:v>城東</c:v>
                </c:pt>
                <c:pt idx="17">
                  <c:v>鶴見</c:v>
                </c:pt>
                <c:pt idx="18">
                  <c:v>阿倍野</c:v>
                </c:pt>
                <c:pt idx="19">
                  <c:v>住之江</c:v>
                </c:pt>
                <c:pt idx="20">
                  <c:v>住吉</c:v>
                </c:pt>
                <c:pt idx="21">
                  <c:v>東住吉</c:v>
                </c:pt>
                <c:pt idx="22">
                  <c:v>平野</c:v>
                </c:pt>
                <c:pt idx="23">
                  <c:v>西成</c:v>
                </c:pt>
              </c:strCache>
            </c:strRef>
          </c:cat>
          <c:val>
            <c:numRef>
              <c:f>'★６ページ（行政区別）'!$S$6:$S$29</c:f>
              <c:numCache>
                <c:formatCode>#,##0_);[Red]\(#,##0\)</c:formatCode>
                <c:ptCount val="24"/>
                <c:pt idx="0">
                  <c:v>842</c:v>
                </c:pt>
                <c:pt idx="1">
                  <c:v>222</c:v>
                </c:pt>
                <c:pt idx="2">
                  <c:v>166</c:v>
                </c:pt>
                <c:pt idx="3">
                  <c:v>126</c:v>
                </c:pt>
                <c:pt idx="4">
                  <c:v>745</c:v>
                </c:pt>
                <c:pt idx="5">
                  <c:v>324</c:v>
                </c:pt>
                <c:pt idx="6">
                  <c:v>134</c:v>
                </c:pt>
                <c:pt idx="7">
                  <c:v>118</c:v>
                </c:pt>
                <c:pt idx="8">
                  <c:v>345</c:v>
                </c:pt>
                <c:pt idx="9">
                  <c:v>326</c:v>
                </c:pt>
                <c:pt idx="10">
                  <c:v>228</c:v>
                </c:pt>
                <c:pt idx="11">
                  <c:v>524</c:v>
                </c:pt>
                <c:pt idx="12">
                  <c:v>417</c:v>
                </c:pt>
                <c:pt idx="13">
                  <c:v>307</c:v>
                </c:pt>
                <c:pt idx="14">
                  <c:v>316</c:v>
                </c:pt>
                <c:pt idx="15">
                  <c:v>141</c:v>
                </c:pt>
                <c:pt idx="16">
                  <c:v>419</c:v>
                </c:pt>
                <c:pt idx="17">
                  <c:v>249</c:v>
                </c:pt>
                <c:pt idx="18">
                  <c:v>192</c:v>
                </c:pt>
                <c:pt idx="19">
                  <c:v>350</c:v>
                </c:pt>
                <c:pt idx="20">
                  <c:v>356</c:v>
                </c:pt>
                <c:pt idx="21">
                  <c:v>289</c:v>
                </c:pt>
                <c:pt idx="22">
                  <c:v>691</c:v>
                </c:pt>
                <c:pt idx="23">
                  <c:v>279</c:v>
                </c:pt>
              </c:numCache>
            </c:numRef>
          </c:val>
          <c:smooth val="0"/>
          <c:extLst>
            <c:ext xmlns:c16="http://schemas.microsoft.com/office/drawing/2014/chart" uri="{C3380CC4-5D6E-409C-BE32-E72D297353CC}">
              <c16:uniqueId val="{00000001-49D0-4055-AC8B-9A8F509B6B02}"/>
            </c:ext>
          </c:extLst>
        </c:ser>
        <c:dLbls>
          <c:showLegendKey val="0"/>
          <c:showVal val="0"/>
          <c:showCatName val="0"/>
          <c:showSerName val="0"/>
          <c:showPercent val="0"/>
          <c:showBubbleSize val="0"/>
        </c:dLbls>
        <c:marker val="1"/>
        <c:smooth val="0"/>
        <c:axId val="345086208"/>
        <c:axId val="345264512"/>
      </c:lineChart>
      <c:catAx>
        <c:axId val="3446504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区</a:t>
                </a:r>
              </a:p>
            </c:rich>
          </c:tx>
          <c:layout>
            <c:manualLayout>
              <c:xMode val="edge"/>
              <c:yMode val="edge"/>
              <c:x val="0.49583333333333335"/>
              <c:y val="0.84546925566343045"/>
            </c:manualLayout>
          </c:layout>
          <c:overlay val="0"/>
          <c:spPr>
            <a:noFill/>
            <a:ln w="25400">
              <a:noFill/>
            </a:ln>
          </c:spPr>
        </c:title>
        <c:numFmt formatCode="@" sourceLinked="0"/>
        <c:majorTickMark val="none"/>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crossAx val="345083904"/>
        <c:crosses val="autoZero"/>
        <c:auto val="0"/>
        <c:lblAlgn val="ctr"/>
        <c:lblOffset val="100"/>
        <c:tickLblSkip val="1"/>
        <c:tickMarkSkip val="2"/>
        <c:noMultiLvlLbl val="0"/>
      </c:catAx>
      <c:valAx>
        <c:axId val="345083904"/>
        <c:scaling>
          <c:orientation val="minMax"/>
          <c:max val="250000"/>
        </c:scaling>
        <c:delete val="0"/>
        <c:axPos val="l"/>
        <c:title>
          <c:tx>
            <c:rich>
              <a:bodyPr rot="0" vert="horz"/>
              <a:lstStyle/>
              <a:p>
                <a:pPr algn="ctr">
                  <a:defRPr sz="1100" b="0" i="0" u="none" strike="noStrike" baseline="0">
                    <a:solidFill>
                      <a:srgbClr val="000000"/>
                    </a:solidFill>
                    <a:latin typeface="Arial" panose="020B0604020202020204" pitchFamily="34" charset="0"/>
                    <a:ea typeface="Yu Gothic"/>
                    <a:cs typeface="Arial" panose="020B0604020202020204" pitchFamily="34" charset="0"/>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人口(人）</a:t>
                </a:r>
              </a:p>
            </c:rich>
          </c:tx>
          <c:layout>
            <c:manualLayout>
              <c:xMode val="edge"/>
              <c:yMode val="edge"/>
              <c:x val="6.9444444444444441E-3"/>
              <c:y val="0.39077669902912621"/>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crossAx val="344650496"/>
        <c:crosses val="autoZero"/>
        <c:crossBetween val="between"/>
      </c:valAx>
      <c:catAx>
        <c:axId val="345086208"/>
        <c:scaling>
          <c:orientation val="minMax"/>
        </c:scaling>
        <c:delete val="1"/>
        <c:axPos val="b"/>
        <c:numFmt formatCode="General" sourceLinked="1"/>
        <c:majorTickMark val="out"/>
        <c:minorTickMark val="none"/>
        <c:tickLblPos val="nextTo"/>
        <c:crossAx val="345264512"/>
        <c:crosses val="autoZero"/>
        <c:auto val="0"/>
        <c:lblAlgn val="ctr"/>
        <c:lblOffset val="100"/>
        <c:noMultiLvlLbl val="0"/>
      </c:catAx>
      <c:valAx>
        <c:axId val="345264512"/>
        <c:scaling>
          <c:orientation val="minMax"/>
        </c:scaling>
        <c:delete val="0"/>
        <c:axPos val="r"/>
        <c:title>
          <c:tx>
            <c:rich>
              <a:bodyPr rot="0" vert="horz"/>
              <a:lstStyle/>
              <a:p>
                <a:pPr algn="ctr">
                  <a:defRPr sz="10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en-US" sz="1000">
                    <a:latin typeface="Arial" panose="020B0604020202020204" pitchFamily="34" charset="0"/>
                    <a:cs typeface="Arial" panose="020B0604020202020204" pitchFamily="34" charset="0"/>
                  </a:rPr>
                  <a:t>件数（件）</a:t>
                </a:r>
              </a:p>
            </c:rich>
          </c:tx>
          <c:layout>
            <c:manualLayout>
              <c:xMode val="edge"/>
              <c:yMode val="edge"/>
              <c:x val="0.90092592592592591"/>
              <c:y val="0.3948220064724918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crossAx val="345086208"/>
        <c:crosses val="max"/>
        <c:crossBetween val="between"/>
      </c:valAx>
      <c:spPr>
        <a:solidFill>
          <a:srgbClr val="FFFFFF"/>
        </a:solidFill>
        <a:ln w="25400">
          <a:noFill/>
        </a:ln>
      </c:spPr>
    </c:plotArea>
    <c:legend>
      <c:legendPos val="r"/>
      <c:layout>
        <c:manualLayout>
          <c:xMode val="edge"/>
          <c:yMode val="edge"/>
          <c:x val="0.41018518518518521"/>
          <c:y val="0.92475728155339809"/>
          <c:w val="0.19305555555555554"/>
          <c:h val="5.8252427184465994E-2"/>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&amp;C-6-
</c:oddFooter>
    </c:headerFooter>
    <c:pageMargins b="0.98399999999999999" l="0.78700000000000003" r="0.78700000000000003" t="0.98399999999999999" header="0.5" footer="0.5"/>
    <c:pageSetup paperSize="9" firstPageNumber="0" orientation="landscape" horizont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道路種別交通事故発生件数</a:t>
            </a:r>
          </a:p>
        </c:rich>
      </c:tx>
      <c:layout>
        <c:manualLayout>
          <c:xMode val="edge"/>
          <c:yMode val="edge"/>
          <c:x val="0.36018237082066867"/>
          <c:y val="4.6632124352331605E-2"/>
        </c:manualLayout>
      </c:layout>
      <c:overlay val="0"/>
      <c:spPr>
        <a:noFill/>
        <a:ln w="25400">
          <a:noFill/>
        </a:ln>
      </c:spPr>
    </c:title>
    <c:autoTitleDeleted val="0"/>
    <c:plotArea>
      <c:layout>
        <c:manualLayout>
          <c:layoutTarget val="inner"/>
          <c:xMode val="edge"/>
          <c:yMode val="edge"/>
          <c:x val="0.1276595744680851"/>
          <c:y val="0.21243523316062177"/>
          <c:w val="0.71884498480243164"/>
          <c:h val="0.59067357512953367"/>
        </c:manualLayout>
      </c:layout>
      <c:barChart>
        <c:barDir val="bar"/>
        <c:grouping val="stacked"/>
        <c:varyColors val="0"/>
        <c:ser>
          <c:idx val="0"/>
          <c:order val="0"/>
          <c:tx>
            <c:v>一般国道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★７ページの最初の項目用!$B$7:$C$7</c:f>
              <c:numCache>
                <c:formatCode>#,##0_);[Red]\(#,##0\)</c:formatCode>
                <c:ptCount val="2"/>
                <c:pt idx="0">
                  <c:v>1759</c:v>
                </c:pt>
                <c:pt idx="1">
                  <c:v>1780</c:v>
                </c:pt>
              </c:numCache>
            </c:numRef>
          </c:val>
          <c:extLst>
            <c:ext xmlns:c16="http://schemas.microsoft.com/office/drawing/2014/chart" uri="{C3380CC4-5D6E-409C-BE32-E72D297353CC}">
              <c16:uniqueId val="{00000000-4D26-4B66-B9C7-0AF8FB5E826D}"/>
            </c:ext>
          </c:extLst>
        </c:ser>
        <c:ser>
          <c:idx val="1"/>
          <c:order val="1"/>
          <c:tx>
            <c:v>主要地方道</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val>
            <c:numRef>
              <c:f>★７ページの最初の項目用!$B$8:$C$8</c:f>
              <c:numCache>
                <c:formatCode>#,##0_);[Red]\(#,##0\)</c:formatCode>
                <c:ptCount val="2"/>
                <c:pt idx="0">
                  <c:v>2145</c:v>
                </c:pt>
                <c:pt idx="1">
                  <c:v>2218</c:v>
                </c:pt>
              </c:numCache>
            </c:numRef>
          </c:val>
          <c:extLst>
            <c:ext xmlns:c16="http://schemas.microsoft.com/office/drawing/2014/chart" uri="{C3380CC4-5D6E-409C-BE32-E72D297353CC}">
              <c16:uniqueId val="{00000001-4D26-4B66-B9C7-0AF8FB5E826D}"/>
            </c:ext>
          </c:extLst>
        </c:ser>
        <c:ser>
          <c:idx val="2"/>
          <c:order val="2"/>
          <c:tx>
            <c:v>一般府道</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dPt>
            <c:idx val="1"/>
            <c:invertIfNegative val="0"/>
            <c:bubble3D val="0"/>
            <c:extLst>
              <c:ext xmlns:c16="http://schemas.microsoft.com/office/drawing/2014/chart" uri="{C3380CC4-5D6E-409C-BE32-E72D297353CC}">
                <c16:uniqueId val="{00000002-4D26-4B66-B9C7-0AF8FB5E826D}"/>
              </c:ext>
            </c:extLst>
          </c:dPt>
          <c:val>
            <c:numRef>
              <c:f>★７ページの最初の項目用!$B$9:$C$9</c:f>
              <c:numCache>
                <c:formatCode>#,##0_);[Red]\(#,##0\)</c:formatCode>
                <c:ptCount val="2"/>
                <c:pt idx="0">
                  <c:v>501</c:v>
                </c:pt>
                <c:pt idx="1">
                  <c:v>479</c:v>
                </c:pt>
              </c:numCache>
            </c:numRef>
          </c:val>
          <c:extLst>
            <c:ext xmlns:c16="http://schemas.microsoft.com/office/drawing/2014/chart" uri="{C3380CC4-5D6E-409C-BE32-E72D297353CC}">
              <c16:uniqueId val="{00000003-4D26-4B66-B9C7-0AF8FB5E826D}"/>
            </c:ext>
          </c:extLst>
        </c:ser>
        <c:ser>
          <c:idx val="3"/>
          <c:order val="3"/>
          <c:tx>
            <c:v>大阪市道</c:v>
          </c:tx>
          <c:spPr>
            <a:blipFill dpi="0" rotWithShape="0">
              <a:blip xmlns:r="http://schemas.openxmlformats.org/officeDocument/2006/relationships" r:embed="rId4"/>
              <a:srcRect/>
              <a:tile tx="0" ty="0" sx="100000" sy="100000" flip="none" algn="tl"/>
            </a:blipFill>
            <a:ln w="12700">
              <a:solidFill>
                <a:srgbClr val="000000"/>
              </a:solidFill>
              <a:prstDash val="solid"/>
            </a:ln>
          </c:spPr>
          <c:invertIfNegative val="0"/>
          <c:val>
            <c:numRef>
              <c:f>★７ページの最初の項目用!$B$10:$C$10</c:f>
              <c:numCache>
                <c:formatCode>#,##0_);[Red]\(#,##0\)</c:formatCode>
                <c:ptCount val="2"/>
                <c:pt idx="0">
                  <c:v>345</c:v>
                </c:pt>
                <c:pt idx="1">
                  <c:v>361</c:v>
                </c:pt>
              </c:numCache>
            </c:numRef>
          </c:val>
          <c:extLst>
            <c:ext xmlns:c16="http://schemas.microsoft.com/office/drawing/2014/chart" uri="{C3380CC4-5D6E-409C-BE32-E72D297353CC}">
              <c16:uniqueId val="{00000004-4D26-4B66-B9C7-0AF8FB5E826D}"/>
            </c:ext>
          </c:extLst>
        </c:ser>
        <c:ser>
          <c:idx val="4"/>
          <c:order val="4"/>
          <c:tx>
            <c:v>その他</c:v>
          </c:tx>
          <c:spPr>
            <a:blipFill dpi="0" rotWithShape="0">
              <a:blip xmlns:r="http://schemas.openxmlformats.org/officeDocument/2006/relationships" r:embed="rId5"/>
              <a:srcRect/>
              <a:tile tx="0" ty="0" sx="100000" sy="100000" flip="none" algn="tl"/>
            </a:blipFill>
            <a:ln w="12700">
              <a:solidFill>
                <a:srgbClr val="000000"/>
              </a:solidFill>
              <a:prstDash val="solid"/>
            </a:ln>
          </c:spPr>
          <c:invertIfNegative val="0"/>
          <c:val>
            <c:numRef>
              <c:f>★７ページの最初の項目用!$B$11:$C$11</c:f>
              <c:numCache>
                <c:formatCode>#,##0_);[Red]\(#,##0\)</c:formatCode>
                <c:ptCount val="2"/>
                <c:pt idx="0">
                  <c:v>3356</c:v>
                </c:pt>
                <c:pt idx="1">
                  <c:v>3458</c:v>
                </c:pt>
              </c:numCache>
            </c:numRef>
          </c:val>
          <c:extLst>
            <c:ext xmlns:c16="http://schemas.microsoft.com/office/drawing/2014/chart" uri="{C3380CC4-5D6E-409C-BE32-E72D297353CC}">
              <c16:uniqueId val="{00000005-4D26-4B66-B9C7-0AF8FB5E826D}"/>
            </c:ext>
          </c:extLst>
        </c:ser>
        <c:dLbls>
          <c:showLegendKey val="0"/>
          <c:showVal val="0"/>
          <c:showCatName val="0"/>
          <c:showSerName val="0"/>
          <c:showPercent val="0"/>
          <c:showBubbleSize val="0"/>
        </c:dLbls>
        <c:gapWidth val="150"/>
        <c:overlap val="100"/>
        <c:axId val="222498816"/>
        <c:axId val="222500352"/>
      </c:barChart>
      <c:catAx>
        <c:axId val="222498816"/>
        <c:scaling>
          <c:orientation val="minMax"/>
        </c:scaling>
        <c:delete val="1"/>
        <c:axPos val="l"/>
        <c:majorTickMark val="out"/>
        <c:minorTickMark val="none"/>
        <c:tickLblPos val="nextTo"/>
        <c:crossAx val="222500352"/>
        <c:crosses val="autoZero"/>
        <c:auto val="0"/>
        <c:lblAlgn val="ctr"/>
        <c:lblOffset val="100"/>
        <c:noMultiLvlLbl val="0"/>
      </c:catAx>
      <c:valAx>
        <c:axId val="222500352"/>
        <c:scaling>
          <c:orientation val="minMax"/>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498816"/>
        <c:crosses val="autoZero"/>
        <c:crossBetween val="between"/>
      </c:valAx>
      <c:spPr>
        <a:solidFill>
          <a:srgbClr val="FFFFFF"/>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firstPageNumber="0" orientation="portrait"/>
  </c:printSettings>
  <c:userShapes r:id="rId6"/>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道路種別死亡事故死者数</a:t>
            </a:r>
          </a:p>
        </c:rich>
      </c:tx>
      <c:layout>
        <c:manualLayout>
          <c:xMode val="edge"/>
          <c:yMode val="edge"/>
          <c:x val="0.37329286798179057"/>
          <c:y val="4.2253521126760563E-2"/>
        </c:manualLayout>
      </c:layout>
      <c:overlay val="0"/>
      <c:spPr>
        <a:noFill/>
        <a:ln w="25400">
          <a:noFill/>
        </a:ln>
      </c:spPr>
    </c:title>
    <c:autoTitleDeleted val="0"/>
    <c:plotArea>
      <c:layout>
        <c:manualLayout>
          <c:layoutTarget val="inner"/>
          <c:xMode val="edge"/>
          <c:yMode val="edge"/>
          <c:x val="0.11532625189681335"/>
          <c:y val="0.20187793427230047"/>
          <c:w val="0.73141122913505308"/>
          <c:h val="0.61971830985915488"/>
        </c:manualLayout>
      </c:layout>
      <c:barChart>
        <c:barDir val="bar"/>
        <c:grouping val="stacked"/>
        <c:varyColors val="0"/>
        <c:ser>
          <c:idx val="0"/>
          <c:order val="0"/>
          <c:tx>
            <c:v>一般国道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★７ページの最初の項目用!$D$7:$E$7</c:f>
              <c:numCache>
                <c:formatCode>#,##0_);[Red]\(#,##0\)</c:formatCode>
                <c:ptCount val="2"/>
                <c:pt idx="0">
                  <c:v>6</c:v>
                </c:pt>
                <c:pt idx="1">
                  <c:v>8</c:v>
                </c:pt>
              </c:numCache>
            </c:numRef>
          </c:val>
          <c:extLst>
            <c:ext xmlns:c16="http://schemas.microsoft.com/office/drawing/2014/chart" uri="{C3380CC4-5D6E-409C-BE32-E72D297353CC}">
              <c16:uniqueId val="{00000000-DDDC-413D-927F-159A90C38A14}"/>
            </c:ext>
          </c:extLst>
        </c:ser>
        <c:ser>
          <c:idx val="1"/>
          <c:order val="1"/>
          <c:tx>
            <c:v>主要地方道</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val>
            <c:numRef>
              <c:f>★７ページの最初の項目用!$D$8:$E$8</c:f>
              <c:numCache>
                <c:formatCode>#,##0_);[Red]\(#,##0\)</c:formatCode>
                <c:ptCount val="2"/>
                <c:pt idx="0">
                  <c:v>14</c:v>
                </c:pt>
                <c:pt idx="1">
                  <c:v>20</c:v>
                </c:pt>
              </c:numCache>
            </c:numRef>
          </c:val>
          <c:extLst>
            <c:ext xmlns:c16="http://schemas.microsoft.com/office/drawing/2014/chart" uri="{C3380CC4-5D6E-409C-BE32-E72D297353CC}">
              <c16:uniqueId val="{00000001-DDDC-413D-927F-159A90C38A14}"/>
            </c:ext>
          </c:extLst>
        </c:ser>
        <c:ser>
          <c:idx val="2"/>
          <c:order val="2"/>
          <c:tx>
            <c:v>一般府道</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val>
            <c:numRef>
              <c:f>★７ページの最初の項目用!$D$9:$E$9</c:f>
              <c:numCache>
                <c:formatCode>#,##0_);[Red]\(#,##0\)</c:formatCode>
                <c:ptCount val="2"/>
                <c:pt idx="0">
                  <c:v>4</c:v>
                </c:pt>
                <c:pt idx="1">
                  <c:v>3</c:v>
                </c:pt>
              </c:numCache>
            </c:numRef>
          </c:val>
          <c:extLst>
            <c:ext xmlns:c16="http://schemas.microsoft.com/office/drawing/2014/chart" uri="{C3380CC4-5D6E-409C-BE32-E72D297353CC}">
              <c16:uniqueId val="{00000002-DDDC-413D-927F-159A90C38A14}"/>
            </c:ext>
          </c:extLst>
        </c:ser>
        <c:ser>
          <c:idx val="3"/>
          <c:order val="3"/>
          <c:tx>
            <c:v>大阪市道</c:v>
          </c:tx>
          <c:spPr>
            <a:blipFill dpi="0" rotWithShape="0">
              <a:blip xmlns:r="http://schemas.openxmlformats.org/officeDocument/2006/relationships" r:embed="rId4"/>
              <a:srcRect/>
              <a:tile tx="0" ty="0" sx="100000" sy="100000" flip="none" algn="tl"/>
            </a:blipFill>
            <a:ln w="12700">
              <a:solidFill>
                <a:srgbClr val="000000"/>
              </a:solidFill>
              <a:prstDash val="solid"/>
            </a:ln>
          </c:spPr>
          <c:invertIfNegative val="0"/>
          <c:val>
            <c:numRef>
              <c:f>★７ページの最初の項目用!$D$10:$E$10</c:f>
              <c:numCache>
                <c:formatCode>#,##0_);[Red]\(#,##0\)</c:formatCode>
                <c:ptCount val="2"/>
                <c:pt idx="0">
                  <c:v>1</c:v>
                </c:pt>
                <c:pt idx="1">
                  <c:v>3</c:v>
                </c:pt>
              </c:numCache>
            </c:numRef>
          </c:val>
          <c:extLst>
            <c:ext xmlns:c16="http://schemas.microsoft.com/office/drawing/2014/chart" uri="{C3380CC4-5D6E-409C-BE32-E72D297353CC}">
              <c16:uniqueId val="{00000003-DDDC-413D-927F-159A90C38A14}"/>
            </c:ext>
          </c:extLst>
        </c:ser>
        <c:ser>
          <c:idx val="4"/>
          <c:order val="4"/>
          <c:tx>
            <c:v>その他</c:v>
          </c:tx>
          <c:spPr>
            <a:blipFill dpi="0" rotWithShape="0">
              <a:blip xmlns:r="http://schemas.openxmlformats.org/officeDocument/2006/relationships" r:embed="rId5"/>
              <a:srcRect/>
              <a:tile tx="0" ty="0" sx="100000" sy="100000" flip="none" algn="tl"/>
            </a:blipFill>
            <a:ln w="12700">
              <a:solidFill>
                <a:srgbClr val="000000"/>
              </a:solidFill>
              <a:prstDash val="solid"/>
            </a:ln>
          </c:spPr>
          <c:invertIfNegative val="0"/>
          <c:val>
            <c:numRef>
              <c:f>★７ページの最初の項目用!$D$11:$E$11</c:f>
              <c:numCache>
                <c:formatCode>#,##0_);[Red]\(#,##0\)</c:formatCode>
                <c:ptCount val="2"/>
                <c:pt idx="0">
                  <c:v>15</c:v>
                </c:pt>
                <c:pt idx="1">
                  <c:v>9</c:v>
                </c:pt>
              </c:numCache>
            </c:numRef>
          </c:val>
          <c:extLst>
            <c:ext xmlns:c16="http://schemas.microsoft.com/office/drawing/2014/chart" uri="{C3380CC4-5D6E-409C-BE32-E72D297353CC}">
              <c16:uniqueId val="{00000004-DDDC-413D-927F-159A90C38A14}"/>
            </c:ext>
          </c:extLst>
        </c:ser>
        <c:dLbls>
          <c:showLegendKey val="0"/>
          <c:showVal val="0"/>
          <c:showCatName val="0"/>
          <c:showSerName val="0"/>
          <c:showPercent val="0"/>
          <c:showBubbleSize val="0"/>
        </c:dLbls>
        <c:gapWidth val="150"/>
        <c:overlap val="100"/>
        <c:axId val="222513792"/>
        <c:axId val="222515584"/>
      </c:barChart>
      <c:catAx>
        <c:axId val="222513792"/>
        <c:scaling>
          <c:orientation val="minMax"/>
        </c:scaling>
        <c:delete val="1"/>
        <c:axPos val="l"/>
        <c:majorTickMark val="out"/>
        <c:minorTickMark val="none"/>
        <c:tickLblPos val="nextTo"/>
        <c:crossAx val="222515584"/>
        <c:crosses val="autoZero"/>
        <c:auto val="0"/>
        <c:lblAlgn val="ctr"/>
        <c:lblOffset val="100"/>
        <c:noMultiLvlLbl val="0"/>
      </c:catAx>
      <c:valAx>
        <c:axId val="222515584"/>
        <c:scaling>
          <c:orientation val="minMax"/>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22513792"/>
        <c:crosses val="autoZero"/>
        <c:crossBetween val="between"/>
      </c:valAx>
      <c:spPr>
        <a:solidFill>
          <a:srgbClr val="FFFFFF"/>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firstPageNumber="0" orientation="landscape"/>
  </c:printSettings>
  <c:userShapes r:id="rId6"/>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道路種別交通事故負傷者数</a:t>
            </a:r>
          </a:p>
        </c:rich>
      </c:tx>
      <c:layout>
        <c:manualLayout>
          <c:xMode val="edge"/>
          <c:yMode val="edge"/>
          <c:x val="0.36102730298956531"/>
          <c:y val="4.4554381921771975E-2"/>
        </c:manualLayout>
      </c:layout>
      <c:overlay val="0"/>
      <c:spPr>
        <a:noFill/>
        <a:ln w="25400">
          <a:noFill/>
        </a:ln>
      </c:spPr>
    </c:title>
    <c:autoTitleDeleted val="0"/>
    <c:plotArea>
      <c:layout>
        <c:manualLayout>
          <c:layoutTarget val="inner"/>
          <c:xMode val="edge"/>
          <c:yMode val="edge"/>
          <c:x val="0.12537764350453173"/>
          <c:y val="0.21782178217821782"/>
          <c:w val="0.73867069486404835"/>
          <c:h val="0.59405940594059403"/>
        </c:manualLayout>
      </c:layout>
      <c:barChart>
        <c:barDir val="bar"/>
        <c:grouping val="stacked"/>
        <c:varyColors val="0"/>
        <c:ser>
          <c:idx val="0"/>
          <c:order val="0"/>
          <c:tx>
            <c:v>一般国道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★７ページの最初の項目用!$F$7:$G$7</c:f>
              <c:numCache>
                <c:formatCode>#,##0_);[Red]\(#,##0\)</c:formatCode>
                <c:ptCount val="2"/>
                <c:pt idx="0">
                  <c:v>2170</c:v>
                </c:pt>
                <c:pt idx="1">
                  <c:v>2185</c:v>
                </c:pt>
              </c:numCache>
            </c:numRef>
          </c:val>
          <c:extLst>
            <c:ext xmlns:c16="http://schemas.microsoft.com/office/drawing/2014/chart" uri="{C3380CC4-5D6E-409C-BE32-E72D297353CC}">
              <c16:uniqueId val="{00000000-9DEA-464E-92A4-CAEEE43D2F5B}"/>
            </c:ext>
          </c:extLst>
        </c:ser>
        <c:ser>
          <c:idx val="1"/>
          <c:order val="1"/>
          <c:tx>
            <c:v>主要地方道</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val>
            <c:numRef>
              <c:f>★７ページの最初の項目用!$F$8:$G$8</c:f>
              <c:numCache>
                <c:formatCode>#,##0_);[Red]\(#,##0\)</c:formatCode>
                <c:ptCount val="2"/>
                <c:pt idx="0">
                  <c:v>2481</c:v>
                </c:pt>
                <c:pt idx="1">
                  <c:v>2619</c:v>
                </c:pt>
              </c:numCache>
            </c:numRef>
          </c:val>
          <c:extLst>
            <c:ext xmlns:c16="http://schemas.microsoft.com/office/drawing/2014/chart" uri="{C3380CC4-5D6E-409C-BE32-E72D297353CC}">
              <c16:uniqueId val="{00000001-9DEA-464E-92A4-CAEEE43D2F5B}"/>
            </c:ext>
          </c:extLst>
        </c:ser>
        <c:ser>
          <c:idx val="2"/>
          <c:order val="2"/>
          <c:tx>
            <c:v>一般府道</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val>
            <c:numRef>
              <c:f>★７ページの最初の項目用!$F$9:$G$9</c:f>
              <c:numCache>
                <c:formatCode>#,##0_);[Red]\(#,##0\)</c:formatCode>
                <c:ptCount val="2"/>
                <c:pt idx="0">
                  <c:v>583</c:v>
                </c:pt>
                <c:pt idx="1">
                  <c:v>560</c:v>
                </c:pt>
              </c:numCache>
            </c:numRef>
          </c:val>
          <c:extLst>
            <c:ext xmlns:c16="http://schemas.microsoft.com/office/drawing/2014/chart" uri="{C3380CC4-5D6E-409C-BE32-E72D297353CC}">
              <c16:uniqueId val="{00000002-9DEA-464E-92A4-CAEEE43D2F5B}"/>
            </c:ext>
          </c:extLst>
        </c:ser>
        <c:ser>
          <c:idx val="3"/>
          <c:order val="3"/>
          <c:tx>
            <c:v>大阪市道</c:v>
          </c:tx>
          <c:spPr>
            <a:blipFill dpi="0" rotWithShape="0">
              <a:blip xmlns:r="http://schemas.openxmlformats.org/officeDocument/2006/relationships" r:embed="rId4"/>
              <a:srcRect/>
              <a:tile tx="0" ty="0" sx="100000" sy="100000" flip="none" algn="tl"/>
            </a:blipFill>
            <a:ln w="12700">
              <a:solidFill>
                <a:srgbClr val="000000"/>
              </a:solidFill>
              <a:prstDash val="solid"/>
            </a:ln>
          </c:spPr>
          <c:invertIfNegative val="0"/>
          <c:val>
            <c:numRef>
              <c:f>★７ページの最初の項目用!$F$10:$G$10</c:f>
              <c:numCache>
                <c:formatCode>#,##0_);[Red]\(#,##0\)</c:formatCode>
                <c:ptCount val="2"/>
                <c:pt idx="0">
                  <c:v>413</c:v>
                </c:pt>
                <c:pt idx="1">
                  <c:v>416</c:v>
                </c:pt>
              </c:numCache>
            </c:numRef>
          </c:val>
          <c:extLst>
            <c:ext xmlns:c16="http://schemas.microsoft.com/office/drawing/2014/chart" uri="{C3380CC4-5D6E-409C-BE32-E72D297353CC}">
              <c16:uniqueId val="{00000003-9DEA-464E-92A4-CAEEE43D2F5B}"/>
            </c:ext>
          </c:extLst>
        </c:ser>
        <c:ser>
          <c:idx val="4"/>
          <c:order val="4"/>
          <c:tx>
            <c:v>その他</c:v>
          </c:tx>
          <c:spPr>
            <a:blipFill dpi="0" rotWithShape="0">
              <a:blip xmlns:r="http://schemas.openxmlformats.org/officeDocument/2006/relationships" r:embed="rId5"/>
              <a:srcRect/>
              <a:tile tx="0" ty="0" sx="100000" sy="100000" flip="none" algn="tl"/>
            </a:blipFill>
            <a:ln w="12700">
              <a:solidFill>
                <a:srgbClr val="000000"/>
              </a:solidFill>
              <a:prstDash val="solid"/>
            </a:ln>
          </c:spPr>
          <c:invertIfNegative val="0"/>
          <c:val>
            <c:numRef>
              <c:f>★７ページの最初の項目用!$F$11:$G$11</c:f>
              <c:numCache>
                <c:formatCode>#,##0_);[Red]\(#,##0\)</c:formatCode>
                <c:ptCount val="2"/>
                <c:pt idx="0">
                  <c:v>3631</c:v>
                </c:pt>
                <c:pt idx="1">
                  <c:v>3804</c:v>
                </c:pt>
              </c:numCache>
            </c:numRef>
          </c:val>
          <c:extLst>
            <c:ext xmlns:c16="http://schemas.microsoft.com/office/drawing/2014/chart" uri="{C3380CC4-5D6E-409C-BE32-E72D297353CC}">
              <c16:uniqueId val="{00000004-9DEA-464E-92A4-CAEEE43D2F5B}"/>
            </c:ext>
          </c:extLst>
        </c:ser>
        <c:dLbls>
          <c:showLegendKey val="0"/>
          <c:showVal val="0"/>
          <c:showCatName val="0"/>
          <c:showSerName val="0"/>
          <c:showPercent val="0"/>
          <c:showBubbleSize val="0"/>
        </c:dLbls>
        <c:gapWidth val="150"/>
        <c:overlap val="100"/>
        <c:axId val="222529408"/>
        <c:axId val="222530944"/>
      </c:barChart>
      <c:catAx>
        <c:axId val="222529408"/>
        <c:scaling>
          <c:orientation val="minMax"/>
        </c:scaling>
        <c:delete val="1"/>
        <c:axPos val="l"/>
        <c:majorTickMark val="out"/>
        <c:minorTickMark val="none"/>
        <c:tickLblPos val="nextTo"/>
        <c:crossAx val="222530944"/>
        <c:crosses val="autoZero"/>
        <c:auto val="0"/>
        <c:lblAlgn val="ctr"/>
        <c:lblOffset val="100"/>
        <c:noMultiLvlLbl val="0"/>
      </c:catAx>
      <c:valAx>
        <c:axId val="222530944"/>
        <c:scaling>
          <c:orientation val="minMax"/>
          <c:max val="1200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529408"/>
        <c:crosses val="autoZero"/>
        <c:crossBetween val="between"/>
      </c:valAx>
      <c:spPr>
        <a:solidFill>
          <a:srgbClr val="FFFFFF"/>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firstPageNumber="0" orientation="landscape"/>
  </c:printSettings>
  <c:userShapes r:id="rId6"/>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昼夜別交通事故件数</a:t>
            </a:r>
          </a:p>
        </c:rich>
      </c:tx>
      <c:layout>
        <c:manualLayout>
          <c:xMode val="edge"/>
          <c:yMode val="edge"/>
          <c:x val="0.39874031007751937"/>
          <c:y val="5.3333333333333337E-2"/>
        </c:manualLayout>
      </c:layout>
      <c:overlay val="0"/>
      <c:spPr>
        <a:noFill/>
        <a:ln w="25400">
          <a:noFill/>
        </a:ln>
      </c:spPr>
    </c:title>
    <c:autoTitleDeleted val="0"/>
    <c:plotArea>
      <c:layout>
        <c:manualLayout>
          <c:layoutTarget val="inner"/>
          <c:xMode val="edge"/>
          <c:yMode val="edge"/>
          <c:x val="0.12645348837209303"/>
          <c:y val="0.21714285714285714"/>
          <c:w val="0.73401162790697672"/>
          <c:h val="0.56571428571428573"/>
        </c:manualLayout>
      </c:layout>
      <c:barChart>
        <c:barDir val="bar"/>
        <c:grouping val="stacked"/>
        <c:varyColors val="0"/>
        <c:ser>
          <c:idx val="0"/>
          <c:order val="0"/>
          <c:tx>
            <c:v>昼間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('★11ページ（時間別）'!$F$6,'★11ページ（時間別）'!$F$7)</c:f>
              <c:numCache>
                <c:formatCode>#,##0_);[Red]\(#,##0\)</c:formatCode>
                <c:ptCount val="2"/>
                <c:pt idx="0">
                  <c:v>5717</c:v>
                </c:pt>
                <c:pt idx="1">
                  <c:v>6042</c:v>
                </c:pt>
              </c:numCache>
            </c:numRef>
          </c:val>
          <c:extLst>
            <c:ext xmlns:c16="http://schemas.microsoft.com/office/drawing/2014/chart" uri="{C3380CC4-5D6E-409C-BE32-E72D297353CC}">
              <c16:uniqueId val="{00000000-0433-432C-9680-6A509F2E9C40}"/>
            </c:ext>
          </c:extLst>
        </c:ser>
        <c:ser>
          <c:idx val="1"/>
          <c:order val="1"/>
          <c:tx>
            <c:v>夜間</c:v>
          </c:tx>
          <c:spPr>
            <a:solidFill>
              <a:srgbClr val="7F7F7F"/>
            </a:solidFill>
            <a:ln w="12700">
              <a:solidFill>
                <a:srgbClr val="000000"/>
              </a:solidFill>
              <a:prstDash val="solid"/>
            </a:ln>
          </c:spPr>
          <c:invertIfNegative val="0"/>
          <c:val>
            <c:numRef>
              <c:f>('★11ページ（時間別）'!$I$6,'★11ページ（時間別）'!$I$7)</c:f>
              <c:numCache>
                <c:formatCode>#,##0_);[Red]\(#,##0\)</c:formatCode>
                <c:ptCount val="2"/>
                <c:pt idx="0">
                  <c:v>2389</c:v>
                </c:pt>
                <c:pt idx="1">
                  <c:v>2254</c:v>
                </c:pt>
              </c:numCache>
            </c:numRef>
          </c:val>
          <c:extLst>
            <c:ext xmlns:c16="http://schemas.microsoft.com/office/drawing/2014/chart" uri="{C3380CC4-5D6E-409C-BE32-E72D297353CC}">
              <c16:uniqueId val="{00000001-0433-432C-9680-6A509F2E9C40}"/>
            </c:ext>
          </c:extLst>
        </c:ser>
        <c:dLbls>
          <c:showLegendKey val="0"/>
          <c:showVal val="0"/>
          <c:showCatName val="0"/>
          <c:showSerName val="0"/>
          <c:showPercent val="0"/>
          <c:showBubbleSize val="0"/>
        </c:dLbls>
        <c:gapWidth val="150"/>
        <c:overlap val="100"/>
        <c:axId val="223297920"/>
        <c:axId val="223299456"/>
      </c:barChart>
      <c:catAx>
        <c:axId val="223297920"/>
        <c:scaling>
          <c:orientation val="minMax"/>
        </c:scaling>
        <c:delete val="1"/>
        <c:axPos val="l"/>
        <c:majorTickMark val="out"/>
        <c:minorTickMark val="none"/>
        <c:tickLblPos val="nextTo"/>
        <c:crossAx val="223299456"/>
        <c:crosses val="autoZero"/>
        <c:auto val="0"/>
        <c:lblAlgn val="ctr"/>
        <c:lblOffset val="100"/>
        <c:noMultiLvlLbl val="0"/>
      </c:catAx>
      <c:valAx>
        <c:axId val="223299456"/>
        <c:scaling>
          <c:orientation val="minMax"/>
          <c:max val="12000"/>
          <c:min val="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297920"/>
        <c:crosses val="autoZero"/>
        <c:crossBetween val="between"/>
      </c:valAx>
      <c:spPr>
        <a:solidFill>
          <a:srgbClr val="FFFFFF"/>
        </a:solidFill>
        <a:ln w="12700">
          <a:solidFill>
            <a:srgbClr val="808080"/>
          </a:solidFill>
          <a:prstDash val="solid"/>
        </a:ln>
      </c:spPr>
    </c:plotArea>
    <c:legend>
      <c:legendPos val="r"/>
      <c:layout>
        <c:manualLayout>
          <c:xMode val="edge"/>
          <c:yMode val="edge"/>
          <c:x val="0.87936046511627908"/>
          <c:y val="0.38857142857142857"/>
          <c:w val="0.11191860465116277"/>
          <c:h val="0.2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98425196850393704" r="0.39370078740157483" t="0.98425196850393704" header="0.51181102362204722" footer="0.51181102362204722"/>
    <c:pageSetup paperSize="9" firstPageNumber="0"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昼夜別交通事故死者数</a:t>
            </a:r>
          </a:p>
        </c:rich>
      </c:tx>
      <c:layout>
        <c:manualLayout>
          <c:xMode val="edge"/>
          <c:yMode val="edge"/>
          <c:x val="0.38896952104499272"/>
          <c:y val="4.9079754601226995E-2"/>
        </c:manualLayout>
      </c:layout>
      <c:overlay val="0"/>
      <c:spPr>
        <a:noFill/>
        <a:ln w="25400">
          <a:noFill/>
        </a:ln>
      </c:spPr>
    </c:title>
    <c:autoTitleDeleted val="0"/>
    <c:plotArea>
      <c:layout>
        <c:manualLayout>
          <c:layoutTarget val="inner"/>
          <c:xMode val="edge"/>
          <c:yMode val="edge"/>
          <c:x val="0.12336719883889695"/>
          <c:y val="0.2392638036809816"/>
          <c:w val="0.72859216255442671"/>
          <c:h val="0.52760736196319014"/>
        </c:manualLayout>
      </c:layout>
      <c:barChart>
        <c:barDir val="bar"/>
        <c:grouping val="stacked"/>
        <c:varyColors val="0"/>
        <c:ser>
          <c:idx val="0"/>
          <c:order val="0"/>
          <c:tx>
            <c:v>昼間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'★11ページ（時間別）'!$F$8:$F$9</c:f>
              <c:numCache>
                <c:formatCode>#,##0_);[Red]\(#,##0\)</c:formatCode>
                <c:ptCount val="2"/>
                <c:pt idx="0">
                  <c:v>19</c:v>
                </c:pt>
                <c:pt idx="1">
                  <c:v>27</c:v>
                </c:pt>
              </c:numCache>
            </c:numRef>
          </c:val>
          <c:extLst>
            <c:ext xmlns:c16="http://schemas.microsoft.com/office/drawing/2014/chart" uri="{C3380CC4-5D6E-409C-BE32-E72D297353CC}">
              <c16:uniqueId val="{00000000-4DB4-4090-9CF4-105E24CDF702}"/>
            </c:ext>
          </c:extLst>
        </c:ser>
        <c:ser>
          <c:idx val="1"/>
          <c:order val="1"/>
          <c:tx>
            <c:v>夜間</c:v>
          </c:tx>
          <c:spPr>
            <a:solidFill>
              <a:srgbClr val="7F7F7F"/>
            </a:solidFill>
            <a:ln w="12700">
              <a:solidFill>
                <a:srgbClr val="000000"/>
              </a:solidFill>
              <a:prstDash val="solid"/>
            </a:ln>
          </c:spPr>
          <c:invertIfNegative val="0"/>
          <c:val>
            <c:numRef>
              <c:f>'★11ページ（時間別）'!$I$8:$I$9</c:f>
              <c:numCache>
                <c:formatCode>#,##0_);[Red]\(#,##0\)</c:formatCode>
                <c:ptCount val="2"/>
                <c:pt idx="0">
                  <c:v>21</c:v>
                </c:pt>
                <c:pt idx="1">
                  <c:v>16</c:v>
                </c:pt>
              </c:numCache>
            </c:numRef>
          </c:val>
          <c:extLst>
            <c:ext xmlns:c16="http://schemas.microsoft.com/office/drawing/2014/chart" uri="{C3380CC4-5D6E-409C-BE32-E72D297353CC}">
              <c16:uniqueId val="{00000001-4DB4-4090-9CF4-105E24CDF702}"/>
            </c:ext>
          </c:extLst>
        </c:ser>
        <c:dLbls>
          <c:showLegendKey val="0"/>
          <c:showVal val="0"/>
          <c:showCatName val="0"/>
          <c:showSerName val="0"/>
          <c:showPercent val="0"/>
          <c:showBubbleSize val="0"/>
        </c:dLbls>
        <c:gapWidth val="150"/>
        <c:overlap val="100"/>
        <c:axId val="223326976"/>
        <c:axId val="223328512"/>
      </c:barChart>
      <c:catAx>
        <c:axId val="223326976"/>
        <c:scaling>
          <c:orientation val="minMax"/>
        </c:scaling>
        <c:delete val="1"/>
        <c:axPos val="l"/>
        <c:majorTickMark val="out"/>
        <c:minorTickMark val="none"/>
        <c:tickLblPos val="nextTo"/>
        <c:crossAx val="223328512"/>
        <c:crosses val="autoZero"/>
        <c:auto val="0"/>
        <c:lblAlgn val="ctr"/>
        <c:lblOffset val="100"/>
        <c:noMultiLvlLbl val="0"/>
      </c:catAx>
      <c:valAx>
        <c:axId val="223328512"/>
        <c:scaling>
          <c:orientation val="minMax"/>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326976"/>
        <c:crosses val="autoZero"/>
        <c:crossBetween val="between"/>
      </c:valAx>
      <c:spPr>
        <a:solidFill>
          <a:srgbClr val="FFFFFF"/>
        </a:solidFill>
        <a:ln w="12700">
          <a:solidFill>
            <a:srgbClr val="808080"/>
          </a:solidFill>
          <a:prstDash val="solid"/>
        </a:ln>
      </c:spPr>
    </c:plotArea>
    <c:legend>
      <c:legendPos val="r"/>
      <c:layout>
        <c:manualLayout>
          <c:xMode val="edge"/>
          <c:yMode val="edge"/>
          <c:x val="0.87808417997097243"/>
          <c:y val="0.34355828220858897"/>
          <c:w val="0.11175616835994195"/>
          <c:h val="0.2944785276073620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firstPageNumber="0"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昼夜別交通事故負傷者数</a:t>
            </a:r>
          </a:p>
        </c:rich>
      </c:tx>
      <c:layout>
        <c:manualLayout>
          <c:xMode val="edge"/>
          <c:yMode val="edge"/>
          <c:x val="0.37755102040816324"/>
          <c:y val="4.5977011494252873E-2"/>
        </c:manualLayout>
      </c:layout>
      <c:overlay val="0"/>
      <c:spPr>
        <a:noFill/>
        <a:ln w="25400">
          <a:noFill/>
        </a:ln>
      </c:spPr>
    </c:title>
    <c:autoTitleDeleted val="0"/>
    <c:plotArea>
      <c:layout>
        <c:manualLayout>
          <c:layoutTarget val="inner"/>
          <c:xMode val="edge"/>
          <c:yMode val="edge"/>
          <c:x val="0.1282798833819242"/>
          <c:y val="0.21839080459770116"/>
          <c:w val="0.72448979591836737"/>
          <c:h val="0.56321839080459768"/>
        </c:manualLayout>
      </c:layout>
      <c:barChart>
        <c:barDir val="bar"/>
        <c:grouping val="stacked"/>
        <c:varyColors val="0"/>
        <c:ser>
          <c:idx val="0"/>
          <c:order val="0"/>
          <c:tx>
            <c:v>昼間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'★11ページ（時間別）'!$F$10:$F$11</c:f>
              <c:numCache>
                <c:formatCode>#,##0_);[Red]\(#,##0\)</c:formatCode>
                <c:ptCount val="2"/>
                <c:pt idx="0">
                  <c:v>6496</c:v>
                </c:pt>
                <c:pt idx="1">
                  <c:v>6917</c:v>
                </c:pt>
              </c:numCache>
            </c:numRef>
          </c:val>
          <c:extLst>
            <c:ext xmlns:c16="http://schemas.microsoft.com/office/drawing/2014/chart" uri="{C3380CC4-5D6E-409C-BE32-E72D297353CC}">
              <c16:uniqueId val="{00000000-0290-4E04-9A5E-30342BA13F17}"/>
            </c:ext>
          </c:extLst>
        </c:ser>
        <c:ser>
          <c:idx val="1"/>
          <c:order val="1"/>
          <c:tx>
            <c:v>夜間</c:v>
          </c:tx>
          <c:spPr>
            <a:solidFill>
              <a:srgbClr val="7F7F7F"/>
            </a:solidFill>
            <a:ln w="12700">
              <a:solidFill>
                <a:srgbClr val="000000"/>
              </a:solidFill>
              <a:prstDash val="solid"/>
            </a:ln>
          </c:spPr>
          <c:invertIfNegative val="0"/>
          <c:val>
            <c:numRef>
              <c:f>'★11ページ（時間別）'!$I$10:$I$11</c:f>
              <c:numCache>
                <c:formatCode>#,##0_);[Red]\(#,##0\)</c:formatCode>
                <c:ptCount val="2"/>
                <c:pt idx="0">
                  <c:v>2782</c:v>
                </c:pt>
                <c:pt idx="1">
                  <c:v>2667</c:v>
                </c:pt>
              </c:numCache>
            </c:numRef>
          </c:val>
          <c:extLst>
            <c:ext xmlns:c16="http://schemas.microsoft.com/office/drawing/2014/chart" uri="{C3380CC4-5D6E-409C-BE32-E72D297353CC}">
              <c16:uniqueId val="{00000001-0290-4E04-9A5E-30342BA13F17}"/>
            </c:ext>
          </c:extLst>
        </c:ser>
        <c:dLbls>
          <c:showLegendKey val="0"/>
          <c:showVal val="0"/>
          <c:showCatName val="0"/>
          <c:showSerName val="0"/>
          <c:showPercent val="0"/>
          <c:showBubbleSize val="0"/>
        </c:dLbls>
        <c:gapWidth val="150"/>
        <c:overlap val="100"/>
        <c:axId val="263033600"/>
        <c:axId val="263035136"/>
      </c:barChart>
      <c:catAx>
        <c:axId val="263033600"/>
        <c:scaling>
          <c:orientation val="minMax"/>
        </c:scaling>
        <c:delete val="1"/>
        <c:axPos val="l"/>
        <c:majorTickMark val="out"/>
        <c:minorTickMark val="none"/>
        <c:tickLblPos val="nextTo"/>
        <c:crossAx val="263035136"/>
        <c:crosses val="autoZero"/>
        <c:auto val="0"/>
        <c:lblAlgn val="ctr"/>
        <c:lblOffset val="100"/>
        <c:noMultiLvlLbl val="0"/>
      </c:catAx>
      <c:valAx>
        <c:axId val="263035136"/>
        <c:scaling>
          <c:orientation val="minMax"/>
          <c:max val="1200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033600"/>
        <c:crosses val="autoZero"/>
        <c:crossBetween val="between"/>
      </c:valAx>
      <c:spPr>
        <a:solidFill>
          <a:srgbClr val="FFFFFF"/>
        </a:solidFill>
        <a:ln w="12700">
          <a:solidFill>
            <a:srgbClr val="808080"/>
          </a:solidFill>
          <a:prstDash val="solid"/>
        </a:ln>
      </c:spPr>
    </c:plotArea>
    <c:legend>
      <c:legendPos val="r"/>
      <c:layout>
        <c:manualLayout>
          <c:xMode val="edge"/>
          <c:yMode val="edge"/>
          <c:x val="0.88629737609329451"/>
          <c:y val="0.38505747126436779"/>
          <c:w val="0.10495626822157433"/>
          <c:h val="0.2643678160919539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&amp;C－１０－</c:oddFooter>
    </c:headerFooter>
    <c:pageMargins b="0.98399999999999999" l="0.78700000000000003" r="0.78700000000000003" t="0.98399999999999999" header="0.51200000000000001" footer="0.51200000000000001"/>
    <c:pageSetup paperSize="9" firstPageNumber="0" orientation="landscape" horizontalDpi="300"/>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08333333333332"/>
          <c:y val="9.7222222222222224E-2"/>
          <c:w val="0.48125000000000001"/>
          <c:h val="0.80208333333333337"/>
        </c:manualLayout>
      </c:layout>
      <c:radarChart>
        <c:radarStyle val="marker"/>
        <c:varyColors val="0"/>
        <c:ser>
          <c:idx val="0"/>
          <c:order val="0"/>
          <c:tx>
            <c:v>件数</c:v>
          </c:tx>
          <c:spPr>
            <a:ln w="25400">
              <a:solidFill>
                <a:srgbClr val="000000"/>
              </a:solidFill>
              <a:prstDash val="solid"/>
            </a:ln>
          </c:spPr>
          <c:marker>
            <c:symbol val="none"/>
          </c:marker>
          <c:cat>
            <c:numRef>
              <c:f>'★12ページ（時間道路別）'!$B$6:$B$29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'★12ページ（時間道路別）'!$C$6:$C$29</c:f>
              <c:numCache>
                <c:formatCode>#,##0_ ;[Red]\-#,##0\ </c:formatCode>
                <c:ptCount val="24"/>
                <c:pt idx="0">
                  <c:v>123</c:v>
                </c:pt>
                <c:pt idx="1">
                  <c:v>100</c:v>
                </c:pt>
                <c:pt idx="2">
                  <c:v>76</c:v>
                </c:pt>
                <c:pt idx="3">
                  <c:v>77</c:v>
                </c:pt>
                <c:pt idx="4">
                  <c:v>63</c:v>
                </c:pt>
                <c:pt idx="5">
                  <c:v>103</c:v>
                </c:pt>
                <c:pt idx="6">
                  <c:v>173</c:v>
                </c:pt>
                <c:pt idx="7">
                  <c:v>430</c:v>
                </c:pt>
                <c:pt idx="8">
                  <c:v>594</c:v>
                </c:pt>
                <c:pt idx="9">
                  <c:v>559</c:v>
                </c:pt>
                <c:pt idx="10">
                  <c:v>522</c:v>
                </c:pt>
                <c:pt idx="11">
                  <c:v>519</c:v>
                </c:pt>
                <c:pt idx="12">
                  <c:v>458</c:v>
                </c:pt>
                <c:pt idx="13">
                  <c:v>454</c:v>
                </c:pt>
                <c:pt idx="14">
                  <c:v>453</c:v>
                </c:pt>
                <c:pt idx="15">
                  <c:v>491</c:v>
                </c:pt>
                <c:pt idx="16">
                  <c:v>472</c:v>
                </c:pt>
                <c:pt idx="17">
                  <c:v>592</c:v>
                </c:pt>
                <c:pt idx="18">
                  <c:v>572</c:v>
                </c:pt>
                <c:pt idx="19">
                  <c:v>409</c:v>
                </c:pt>
                <c:pt idx="20">
                  <c:v>289</c:v>
                </c:pt>
                <c:pt idx="21">
                  <c:v>248</c:v>
                </c:pt>
                <c:pt idx="22">
                  <c:v>177</c:v>
                </c:pt>
                <c:pt idx="23">
                  <c:v>152</c:v>
                </c:pt>
              </c:numCache>
            </c:numRef>
          </c:val>
          <c:extLst>
            <c:ext xmlns:c16="http://schemas.microsoft.com/office/drawing/2014/chart" uri="{C3380CC4-5D6E-409C-BE32-E72D297353CC}">
              <c16:uniqueId val="{00000000-7663-471A-9435-D43ABAF12B9E}"/>
            </c:ext>
          </c:extLst>
        </c:ser>
        <c:ser>
          <c:idx val="1"/>
          <c:order val="1"/>
          <c:tx>
            <c:v>負傷者数</c:v>
          </c:tx>
          <c:spPr>
            <a:ln w="12700">
              <a:solidFill>
                <a:srgbClr val="FF0000"/>
              </a:solidFill>
              <a:prstDash val="solid"/>
            </a:ln>
          </c:spPr>
          <c:marker>
            <c:symbol val="none"/>
          </c:marker>
          <c:cat>
            <c:numRef>
              <c:f>'★12ページ（時間道路別）'!$B$6:$B$29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'★12ページ（時間道路別）'!$I$6:$I$29</c:f>
              <c:numCache>
                <c:formatCode>#,##0_ ;[Red]\-#,##0\ </c:formatCode>
                <c:ptCount val="24"/>
                <c:pt idx="0">
                  <c:v>143</c:v>
                </c:pt>
                <c:pt idx="1">
                  <c:v>120</c:v>
                </c:pt>
                <c:pt idx="2">
                  <c:v>96</c:v>
                </c:pt>
                <c:pt idx="3">
                  <c:v>90</c:v>
                </c:pt>
                <c:pt idx="4">
                  <c:v>75</c:v>
                </c:pt>
                <c:pt idx="5">
                  <c:v>112</c:v>
                </c:pt>
                <c:pt idx="6">
                  <c:v>192</c:v>
                </c:pt>
                <c:pt idx="7">
                  <c:v>470</c:v>
                </c:pt>
                <c:pt idx="8">
                  <c:v>663</c:v>
                </c:pt>
                <c:pt idx="9">
                  <c:v>629</c:v>
                </c:pt>
                <c:pt idx="10">
                  <c:v>592</c:v>
                </c:pt>
                <c:pt idx="11">
                  <c:v>584</c:v>
                </c:pt>
                <c:pt idx="12">
                  <c:v>508</c:v>
                </c:pt>
                <c:pt idx="13">
                  <c:v>503</c:v>
                </c:pt>
                <c:pt idx="14">
                  <c:v>533</c:v>
                </c:pt>
                <c:pt idx="15">
                  <c:v>568</c:v>
                </c:pt>
                <c:pt idx="16">
                  <c:v>565</c:v>
                </c:pt>
                <c:pt idx="17">
                  <c:v>689</c:v>
                </c:pt>
                <c:pt idx="18">
                  <c:v>652</c:v>
                </c:pt>
                <c:pt idx="19">
                  <c:v>454</c:v>
                </c:pt>
                <c:pt idx="20">
                  <c:v>341</c:v>
                </c:pt>
                <c:pt idx="21">
                  <c:v>292</c:v>
                </c:pt>
                <c:pt idx="22">
                  <c:v>228</c:v>
                </c:pt>
                <c:pt idx="23">
                  <c:v>179</c:v>
                </c:pt>
              </c:numCache>
            </c:numRef>
          </c:val>
          <c:extLst>
            <c:ext xmlns:c16="http://schemas.microsoft.com/office/drawing/2014/chart" uri="{C3380CC4-5D6E-409C-BE32-E72D297353CC}">
              <c16:uniqueId val="{00000001-7663-471A-9435-D43ABAF12B9E}"/>
            </c:ext>
          </c:extLst>
        </c:ser>
        <c:dLbls>
          <c:showLegendKey val="0"/>
          <c:showVal val="0"/>
          <c:showCatName val="0"/>
          <c:showSerName val="0"/>
          <c:showPercent val="0"/>
          <c:showBubbleSize val="0"/>
        </c:dLbls>
        <c:axId val="263346432"/>
        <c:axId val="263348224"/>
      </c:radarChart>
      <c:catAx>
        <c:axId val="26334643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348224"/>
        <c:crosses val="autoZero"/>
        <c:auto val="0"/>
        <c:lblAlgn val="ctr"/>
        <c:lblOffset val="100"/>
        <c:noMultiLvlLbl val="0"/>
      </c:catAx>
      <c:valAx>
        <c:axId val="263348224"/>
        <c:scaling>
          <c:orientation val="minMax"/>
        </c:scaling>
        <c:delete val="0"/>
        <c:axPos val="l"/>
        <c:majorGridlines>
          <c:spPr>
            <a:ln w="3175">
              <a:solidFill>
                <a:srgbClr val="808080"/>
              </a:solidFill>
              <a:prstDash val="solid"/>
            </a:ln>
          </c:spPr>
        </c:majorGridlines>
        <c:numFmt formatCode="#,##0_ ;[Red]\-#,##0\ "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346432"/>
        <c:crosses val="autoZero"/>
        <c:crossBetween val="between"/>
      </c:valAx>
      <c:spPr>
        <a:solidFill>
          <a:srgbClr val="FFFFFF"/>
        </a:solidFill>
        <a:ln w="25400">
          <a:noFill/>
        </a:ln>
      </c:spPr>
    </c:plotArea>
    <c:legend>
      <c:legendPos val="r"/>
      <c:layout>
        <c:manualLayout>
          <c:xMode val="edge"/>
          <c:yMode val="edge"/>
          <c:x val="0.71250002259106537"/>
          <c:y val="0.3541665796994245"/>
          <c:w val="0.21245442971360937"/>
          <c:h val="0.16188972998967244"/>
        </c:manualLayout>
      </c:layout>
      <c:overlay val="0"/>
      <c:spPr>
        <a:no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5" l="0.7" r="0.7" t="0.75" header="0.3" footer="0.3"/>
    <c:pageSetup paperSize="9"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年齢層別の死亡事故の推移</a:t>
            </a:r>
          </a:p>
        </c:rich>
      </c:tx>
      <c:layout>
        <c:manualLayout>
          <c:xMode val="edge"/>
          <c:yMode val="edge"/>
          <c:x val="0.33883593498181147"/>
          <c:y val="2.0732902769176324E-2"/>
        </c:manualLayout>
      </c:layout>
      <c:overlay val="0"/>
      <c:spPr>
        <a:noFill/>
        <a:ln w="25400">
          <a:noFill/>
        </a:ln>
      </c:spPr>
    </c:title>
    <c:autoTitleDeleted val="0"/>
    <c:plotArea>
      <c:layout>
        <c:manualLayout>
          <c:layoutTarget val="inner"/>
          <c:xMode val="edge"/>
          <c:yMode val="edge"/>
          <c:x val="0.12954203154512228"/>
          <c:y val="8.6990474505293597E-2"/>
          <c:w val="0.70476832552793633"/>
          <c:h val="0.78206039847855902"/>
        </c:manualLayout>
      </c:layout>
      <c:barChart>
        <c:barDir val="col"/>
        <c:grouping val="stacked"/>
        <c:varyColors val="0"/>
        <c:ser>
          <c:idx val="0"/>
          <c:order val="0"/>
          <c:tx>
            <c:strRef>
              <c:f>'16ページ死亡事故の推移 '!$A$61</c:f>
              <c:strCache>
                <c:ptCount val="1"/>
                <c:pt idx="0">
                  <c:v>高齢者</c:v>
                </c:pt>
              </c:strCache>
            </c:strRef>
          </c:tx>
          <c:spPr>
            <a:solidFill>
              <a:srgbClr val="CCFFFF"/>
            </a:solidFill>
            <a:ln w="12700">
              <a:solidFill>
                <a:srgbClr val="000000"/>
              </a:solidFill>
              <a:prstDash val="solid"/>
            </a:ln>
          </c:spPr>
          <c:invertIfNegative val="0"/>
          <c:dLbls>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'!$C$58:$W$59</c:f>
              <c:strCach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元</c:v>
                </c:pt>
                <c:pt idx="18">
                  <c:v>2</c:v>
                </c:pt>
                <c:pt idx="19">
                  <c:v>3</c:v>
                </c:pt>
                <c:pt idx="20">
                  <c:v>4</c:v>
                </c:pt>
              </c:strCache>
            </c:strRef>
          </c:cat>
          <c:val>
            <c:numRef>
              <c:f>'16ページ死亡事故の推移 '!$C$61:$W$61</c:f>
              <c:numCache>
                <c:formatCode>General</c:formatCode>
                <c:ptCount val="21"/>
                <c:pt idx="0">
                  <c:v>39</c:v>
                </c:pt>
                <c:pt idx="1">
                  <c:v>28</c:v>
                </c:pt>
                <c:pt idx="2">
                  <c:v>27</c:v>
                </c:pt>
                <c:pt idx="3">
                  <c:v>30</c:v>
                </c:pt>
                <c:pt idx="4">
                  <c:v>22</c:v>
                </c:pt>
                <c:pt idx="5">
                  <c:v>30</c:v>
                </c:pt>
                <c:pt idx="6">
                  <c:v>25</c:v>
                </c:pt>
                <c:pt idx="7">
                  <c:v>35</c:v>
                </c:pt>
                <c:pt idx="8">
                  <c:v>23</c:v>
                </c:pt>
                <c:pt idx="9">
                  <c:v>18</c:v>
                </c:pt>
                <c:pt idx="10">
                  <c:v>19</c:v>
                </c:pt>
                <c:pt idx="11">
                  <c:v>21</c:v>
                </c:pt>
                <c:pt idx="12">
                  <c:v>30</c:v>
                </c:pt>
                <c:pt idx="13">
                  <c:v>21</c:v>
                </c:pt>
                <c:pt idx="14">
                  <c:v>23</c:v>
                </c:pt>
                <c:pt idx="15">
                  <c:v>20</c:v>
                </c:pt>
                <c:pt idx="16">
                  <c:v>15</c:v>
                </c:pt>
                <c:pt idx="17">
                  <c:v>25</c:v>
                </c:pt>
                <c:pt idx="18">
                  <c:v>14</c:v>
                </c:pt>
                <c:pt idx="19">
                  <c:v>21</c:v>
                </c:pt>
                <c:pt idx="20">
                  <c:v>17</c:v>
                </c:pt>
              </c:numCache>
            </c:numRef>
          </c:val>
          <c:extLst>
            <c:ext xmlns:c16="http://schemas.microsoft.com/office/drawing/2014/chart" uri="{C3380CC4-5D6E-409C-BE32-E72D297353CC}">
              <c16:uniqueId val="{00000000-FBA9-4B62-8021-2E3D552CF8FF}"/>
            </c:ext>
          </c:extLst>
        </c:ser>
        <c:ser>
          <c:idx val="1"/>
          <c:order val="1"/>
          <c:tx>
            <c:strRef>
              <c:f>'16ページ死亡事故の推移 '!$A$62</c:f>
              <c:strCache>
                <c:ptCount val="1"/>
                <c:pt idx="0">
                  <c:v>子ども</c:v>
                </c:pt>
              </c:strCache>
            </c:strRef>
          </c:tx>
          <c:spPr>
            <a:solidFill>
              <a:srgbClr val="FFFFFF"/>
            </a:solidFill>
            <a:ln w="12700">
              <a:solidFill>
                <a:srgbClr val="000000"/>
              </a:solidFill>
              <a:prstDash val="solid"/>
            </a:ln>
          </c:spPr>
          <c:invertIfNegative val="0"/>
          <c:dLbls>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'!$C$58:$W$59</c:f>
              <c:strCach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元</c:v>
                </c:pt>
                <c:pt idx="18">
                  <c:v>2</c:v>
                </c:pt>
                <c:pt idx="19">
                  <c:v>3</c:v>
                </c:pt>
                <c:pt idx="20">
                  <c:v>4</c:v>
                </c:pt>
              </c:strCache>
            </c:strRef>
          </c:cat>
          <c:val>
            <c:numRef>
              <c:f>'16ページ死亡事故の推移 '!$C$62:$W$62</c:f>
              <c:numCache>
                <c:formatCode>General</c:formatCode>
                <c:ptCount val="21"/>
                <c:pt idx="0">
                  <c:v>4</c:v>
                </c:pt>
                <c:pt idx="1">
                  <c:v>3</c:v>
                </c:pt>
                <c:pt idx="2">
                  <c:v>5</c:v>
                </c:pt>
                <c:pt idx="3">
                  <c:v>0</c:v>
                </c:pt>
                <c:pt idx="4">
                  <c:v>0</c:v>
                </c:pt>
                <c:pt idx="5">
                  <c:v>1</c:v>
                </c:pt>
                <c:pt idx="6">
                  <c:v>0</c:v>
                </c:pt>
                <c:pt idx="7">
                  <c:v>0</c:v>
                </c:pt>
                <c:pt idx="8">
                  <c:v>1</c:v>
                </c:pt>
                <c:pt idx="9">
                  <c:v>1</c:v>
                </c:pt>
                <c:pt idx="10">
                  <c:v>1</c:v>
                </c:pt>
                <c:pt idx="11">
                  <c:v>1</c:v>
                </c:pt>
                <c:pt idx="12">
                  <c:v>2</c:v>
                </c:pt>
                <c:pt idx="13">
                  <c:v>0</c:v>
                </c:pt>
                <c:pt idx="14">
                  <c:v>2</c:v>
                </c:pt>
                <c:pt idx="15">
                  <c:v>0</c:v>
                </c:pt>
                <c:pt idx="16">
                  <c:v>3</c:v>
                </c:pt>
                <c:pt idx="17">
                  <c:v>0</c:v>
                </c:pt>
                <c:pt idx="18">
                  <c:v>1</c:v>
                </c:pt>
                <c:pt idx="19">
                  <c:v>0</c:v>
                </c:pt>
                <c:pt idx="20">
                  <c:v>1</c:v>
                </c:pt>
              </c:numCache>
            </c:numRef>
          </c:val>
          <c:extLst>
            <c:ext xmlns:c16="http://schemas.microsoft.com/office/drawing/2014/chart" uri="{C3380CC4-5D6E-409C-BE32-E72D297353CC}">
              <c16:uniqueId val="{00000001-FBA9-4B62-8021-2E3D552CF8FF}"/>
            </c:ext>
          </c:extLst>
        </c:ser>
        <c:ser>
          <c:idx val="2"/>
          <c:order val="2"/>
          <c:tx>
            <c:strRef>
              <c:f>'16ページ死亡事故の推移 '!$A$63</c:f>
              <c:strCache>
                <c:ptCount val="1"/>
                <c:pt idx="0">
                  <c:v>その他</c:v>
                </c:pt>
              </c:strCache>
            </c:strRef>
          </c:tx>
          <c:spPr>
            <a:solidFill>
              <a:schemeClr val="accent4">
                <a:lumMod val="60000"/>
                <a:lumOff val="40000"/>
              </a:schemeClr>
            </a:solidFill>
            <a:ln>
              <a:solidFill>
                <a:schemeClr val="tx1"/>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'!$C$58:$W$59</c:f>
              <c:strCach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元</c:v>
                </c:pt>
                <c:pt idx="18">
                  <c:v>2</c:v>
                </c:pt>
                <c:pt idx="19">
                  <c:v>3</c:v>
                </c:pt>
                <c:pt idx="20">
                  <c:v>4</c:v>
                </c:pt>
              </c:strCache>
            </c:strRef>
          </c:cat>
          <c:val>
            <c:numRef>
              <c:f>'16ページ死亡事故の推移 '!$C$63:$W$63</c:f>
              <c:numCache>
                <c:formatCode>General</c:formatCode>
                <c:ptCount val="21"/>
                <c:pt idx="0">
                  <c:v>64</c:v>
                </c:pt>
                <c:pt idx="1">
                  <c:v>55</c:v>
                </c:pt>
                <c:pt idx="2">
                  <c:v>59</c:v>
                </c:pt>
                <c:pt idx="3">
                  <c:v>50</c:v>
                </c:pt>
                <c:pt idx="4">
                  <c:v>53</c:v>
                </c:pt>
                <c:pt idx="5">
                  <c:v>42</c:v>
                </c:pt>
                <c:pt idx="6">
                  <c:v>36</c:v>
                </c:pt>
                <c:pt idx="7">
                  <c:v>29</c:v>
                </c:pt>
                <c:pt idx="8">
                  <c:v>38</c:v>
                </c:pt>
                <c:pt idx="9">
                  <c:v>46</c:v>
                </c:pt>
                <c:pt idx="10">
                  <c:v>31</c:v>
                </c:pt>
                <c:pt idx="11">
                  <c:v>27</c:v>
                </c:pt>
                <c:pt idx="12">
                  <c:v>19</c:v>
                </c:pt>
                <c:pt idx="13">
                  <c:v>30</c:v>
                </c:pt>
                <c:pt idx="14">
                  <c:v>24</c:v>
                </c:pt>
                <c:pt idx="15">
                  <c:v>24</c:v>
                </c:pt>
                <c:pt idx="16">
                  <c:v>26</c:v>
                </c:pt>
                <c:pt idx="17">
                  <c:v>9</c:v>
                </c:pt>
                <c:pt idx="18">
                  <c:v>22</c:v>
                </c:pt>
                <c:pt idx="19">
                  <c:v>22</c:v>
                </c:pt>
                <c:pt idx="20">
                  <c:v>22</c:v>
                </c:pt>
              </c:numCache>
            </c:numRef>
          </c:val>
          <c:extLst>
            <c:ext xmlns:c16="http://schemas.microsoft.com/office/drawing/2014/chart" uri="{C3380CC4-5D6E-409C-BE32-E72D297353CC}">
              <c16:uniqueId val="{00000002-FBA9-4B62-8021-2E3D552CF8FF}"/>
            </c:ext>
          </c:extLst>
        </c:ser>
        <c:dLbls>
          <c:showLegendKey val="0"/>
          <c:showVal val="0"/>
          <c:showCatName val="0"/>
          <c:showSerName val="0"/>
          <c:showPercent val="0"/>
          <c:showBubbleSize val="0"/>
        </c:dLbls>
        <c:gapWidth val="150"/>
        <c:overlap val="100"/>
        <c:axId val="345820160"/>
        <c:axId val="347088000"/>
      </c:barChart>
      <c:catAx>
        <c:axId val="345820160"/>
        <c:scaling>
          <c:orientation val="minMax"/>
        </c:scaling>
        <c:delete val="0"/>
        <c:axPos val="b"/>
        <c:title>
          <c:tx>
            <c:rich>
              <a:bodyPr/>
              <a:lstStyle/>
              <a:p>
                <a:pPr>
                  <a:defRPr/>
                </a:pPr>
                <a:r>
                  <a:rPr lang="ja-JP"/>
                  <a:t>年</a:t>
                </a:r>
              </a:p>
            </c:rich>
          </c:tx>
          <c:layout>
            <c:manualLayout>
              <c:xMode val="edge"/>
              <c:yMode val="edge"/>
              <c:x val="0.47130137680158396"/>
              <c:y val="0.9437116989589784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7088000"/>
        <c:crosses val="autoZero"/>
        <c:auto val="1"/>
        <c:lblAlgn val="ctr"/>
        <c:lblOffset val="100"/>
        <c:tickLblSkip val="1"/>
        <c:tickMarkSkip val="1"/>
        <c:noMultiLvlLbl val="0"/>
      </c:catAx>
      <c:valAx>
        <c:axId val="347088000"/>
        <c:scaling>
          <c:orientation val="minMax"/>
          <c:max val="120"/>
        </c:scaling>
        <c:delete val="0"/>
        <c:axPos val="l"/>
        <c:majorGridlines>
          <c:spPr>
            <a:ln w="3175">
              <a:solidFill>
                <a:srgbClr val="000000"/>
              </a:solidFill>
              <a:prstDash val="solid"/>
            </a:ln>
          </c:spPr>
        </c:majorGridlines>
        <c:title>
          <c:tx>
            <c:rich>
              <a:bodyPr rot="0" vert="horz"/>
              <a:lstStyle/>
              <a:p>
                <a:pPr algn="ctr">
                  <a:defRPr/>
                </a:pPr>
                <a:r>
                  <a:rPr lang="ja-JP"/>
                  <a:t>人数</a:t>
                </a:r>
              </a:p>
            </c:rich>
          </c:tx>
          <c:layout>
            <c:manualLayout>
              <c:xMode val="edge"/>
              <c:yMode val="edge"/>
              <c:x val="1.4496937882764653E-2"/>
              <c:y val="0.4069792868248157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5820160"/>
        <c:crosses val="autoZero"/>
        <c:crossBetween val="between"/>
      </c:valAx>
      <c:spPr>
        <a:solidFill>
          <a:srgbClr val="FFFFFF"/>
        </a:solidFill>
        <a:ln w="12700">
          <a:solidFill>
            <a:srgbClr val="808080"/>
          </a:solidFill>
          <a:prstDash val="solid"/>
        </a:ln>
      </c:spPr>
    </c:plotArea>
    <c:legend>
      <c:legendPos val="r"/>
      <c:layout>
        <c:manualLayout>
          <c:xMode val="edge"/>
          <c:yMode val="edge"/>
          <c:x val="0.85070711749266636"/>
          <c:y val="0.20590804801085258"/>
          <c:w val="0.12922838076612972"/>
          <c:h val="0.20199710991182282"/>
        </c:manualLayout>
      </c:layout>
      <c:overlay val="0"/>
      <c:spPr>
        <a:solidFill>
          <a:srgbClr val="FFFFFF"/>
        </a:solidFill>
        <a:ln w="3175">
          <a:solidFill>
            <a:srgbClr val="000000"/>
          </a:solidFill>
          <a:prstDash val="solid"/>
        </a:ln>
      </c:spPr>
      <c:txPr>
        <a:bodyPr/>
        <a:lstStyle/>
        <a:p>
          <a:pPr>
            <a:defRPr sz="1000" baseline="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&amp;C－１６－
</c:oddFooter>
    </c:headerFooter>
    <c:pageMargins b="0.98425196850393704" l="0.78740157480314965" r="0.78740157480314965" t="0.98425196850393704" header="0.51181102362204722" footer="0.51181102362204722"/>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乗り物別による死亡事故の推移</a:t>
            </a:r>
          </a:p>
        </c:rich>
      </c:tx>
      <c:layout>
        <c:manualLayout>
          <c:xMode val="edge"/>
          <c:yMode val="edge"/>
          <c:x val="0.28557877261808706"/>
          <c:y val="1.2874325748651499E-2"/>
        </c:manualLayout>
      </c:layout>
      <c:overlay val="0"/>
      <c:spPr>
        <a:noFill/>
        <a:ln w="25400">
          <a:noFill/>
        </a:ln>
      </c:spPr>
    </c:title>
    <c:autoTitleDeleted val="0"/>
    <c:plotArea>
      <c:layout>
        <c:manualLayout>
          <c:layoutTarget val="inner"/>
          <c:xMode val="edge"/>
          <c:yMode val="edge"/>
          <c:x val="0.14785377533137511"/>
          <c:y val="7.130489594312521E-2"/>
          <c:w val="0.68203497615262321"/>
          <c:h val="0.8118583196902367"/>
        </c:manualLayout>
      </c:layout>
      <c:barChart>
        <c:barDir val="col"/>
        <c:grouping val="stacked"/>
        <c:varyColors val="0"/>
        <c:ser>
          <c:idx val="0"/>
          <c:order val="0"/>
          <c:tx>
            <c:strRef>
              <c:f>'16ページ死亡事故の推移 '!$A$64</c:f>
              <c:strCache>
                <c:ptCount val="1"/>
                <c:pt idx="0">
                  <c:v>歩行者</c:v>
                </c:pt>
              </c:strCache>
            </c:strRef>
          </c:tx>
          <c:spPr>
            <a:solidFill>
              <a:srgbClr val="9999FF"/>
            </a:solidFill>
            <a:ln w="12700">
              <a:solidFill>
                <a:srgbClr val="000000"/>
              </a:solidFill>
              <a:prstDash val="solid"/>
            </a:ln>
          </c:spPr>
          <c:invertIfNegative val="0"/>
          <c:dLbls>
            <c:dLbl>
              <c:idx val="19"/>
              <c:layout>
                <c:manualLayout>
                  <c:x val="-4.1797283176593526E-3"/>
                  <c:y val="-2.62467191601059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4A-4975-B251-046FE25D6258}"/>
                </c:ext>
              </c:extLst>
            </c:dLbl>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'!$C$58:$W$59</c:f>
              <c:strCach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元</c:v>
                </c:pt>
                <c:pt idx="18">
                  <c:v>2</c:v>
                </c:pt>
                <c:pt idx="19">
                  <c:v>3</c:v>
                </c:pt>
                <c:pt idx="20">
                  <c:v>4</c:v>
                </c:pt>
              </c:strCache>
            </c:strRef>
          </c:cat>
          <c:val>
            <c:numRef>
              <c:f>'16ページ死亡事故の推移 '!$C$64:$W$64</c:f>
              <c:numCache>
                <c:formatCode>#,##0_);[Red]\(#,##0\)</c:formatCode>
                <c:ptCount val="21"/>
                <c:pt idx="0">
                  <c:v>53</c:v>
                </c:pt>
                <c:pt idx="1">
                  <c:v>25</c:v>
                </c:pt>
                <c:pt idx="2">
                  <c:v>34</c:v>
                </c:pt>
                <c:pt idx="3">
                  <c:v>27</c:v>
                </c:pt>
                <c:pt idx="4">
                  <c:v>20</c:v>
                </c:pt>
                <c:pt idx="5">
                  <c:v>32</c:v>
                </c:pt>
                <c:pt idx="6">
                  <c:v>19</c:v>
                </c:pt>
                <c:pt idx="7" formatCode="General">
                  <c:v>25</c:v>
                </c:pt>
                <c:pt idx="8" formatCode="General">
                  <c:v>17</c:v>
                </c:pt>
                <c:pt idx="9" formatCode="General">
                  <c:v>21</c:v>
                </c:pt>
                <c:pt idx="10" formatCode="General">
                  <c:v>11</c:v>
                </c:pt>
                <c:pt idx="11" formatCode="General">
                  <c:v>16</c:v>
                </c:pt>
                <c:pt idx="12" formatCode="General">
                  <c:v>28</c:v>
                </c:pt>
                <c:pt idx="13" formatCode="General">
                  <c:v>16</c:v>
                </c:pt>
                <c:pt idx="14" formatCode="General">
                  <c:v>20</c:v>
                </c:pt>
                <c:pt idx="15" formatCode="General">
                  <c:v>17</c:v>
                </c:pt>
                <c:pt idx="16" formatCode="General">
                  <c:v>15</c:v>
                </c:pt>
                <c:pt idx="17" formatCode="General">
                  <c:v>15</c:v>
                </c:pt>
                <c:pt idx="18" formatCode="General">
                  <c:v>16</c:v>
                </c:pt>
                <c:pt idx="19" formatCode="General">
                  <c:v>16</c:v>
                </c:pt>
                <c:pt idx="20" formatCode="General">
                  <c:v>12</c:v>
                </c:pt>
              </c:numCache>
            </c:numRef>
          </c:val>
          <c:extLst>
            <c:ext xmlns:c16="http://schemas.microsoft.com/office/drawing/2014/chart" uri="{C3380CC4-5D6E-409C-BE32-E72D297353CC}">
              <c16:uniqueId val="{00000001-974A-4975-B251-046FE25D6258}"/>
            </c:ext>
          </c:extLst>
        </c:ser>
        <c:ser>
          <c:idx val="1"/>
          <c:order val="1"/>
          <c:tx>
            <c:strRef>
              <c:f>'16ページ死亡事故の推移 '!$A$65</c:f>
              <c:strCache>
                <c:ptCount val="1"/>
                <c:pt idx="0">
                  <c:v>自転車</c:v>
                </c:pt>
              </c:strCache>
            </c:strRef>
          </c:tx>
          <c:spPr>
            <a:solidFill>
              <a:schemeClr val="bg1"/>
            </a:solidFill>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'!$C$58:$W$59</c:f>
              <c:strCach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元</c:v>
                </c:pt>
                <c:pt idx="18">
                  <c:v>2</c:v>
                </c:pt>
                <c:pt idx="19">
                  <c:v>3</c:v>
                </c:pt>
                <c:pt idx="20">
                  <c:v>4</c:v>
                </c:pt>
              </c:strCache>
            </c:strRef>
          </c:cat>
          <c:val>
            <c:numRef>
              <c:f>'16ページ死亡事故の推移 '!$C$65:$W$65</c:f>
              <c:numCache>
                <c:formatCode>#,##0_);[Red]\(#,##0\)</c:formatCode>
                <c:ptCount val="21"/>
                <c:pt idx="0">
                  <c:v>20</c:v>
                </c:pt>
                <c:pt idx="1">
                  <c:v>25</c:v>
                </c:pt>
                <c:pt idx="2">
                  <c:v>25</c:v>
                </c:pt>
                <c:pt idx="3">
                  <c:v>24</c:v>
                </c:pt>
                <c:pt idx="4">
                  <c:v>22</c:v>
                </c:pt>
                <c:pt idx="5">
                  <c:v>18</c:v>
                </c:pt>
                <c:pt idx="6">
                  <c:v>18</c:v>
                </c:pt>
                <c:pt idx="7" formatCode="General">
                  <c:v>19</c:v>
                </c:pt>
                <c:pt idx="8" formatCode="General">
                  <c:v>21</c:v>
                </c:pt>
                <c:pt idx="9" formatCode="General">
                  <c:v>14</c:v>
                </c:pt>
                <c:pt idx="10" formatCode="General">
                  <c:v>20</c:v>
                </c:pt>
                <c:pt idx="11" formatCode="General">
                  <c:v>15</c:v>
                </c:pt>
                <c:pt idx="12" formatCode="General">
                  <c:v>13</c:v>
                </c:pt>
                <c:pt idx="13" formatCode="General">
                  <c:v>19</c:v>
                </c:pt>
                <c:pt idx="14" formatCode="General">
                  <c:v>8</c:v>
                </c:pt>
                <c:pt idx="15" formatCode="General">
                  <c:v>13</c:v>
                </c:pt>
                <c:pt idx="16" formatCode="General">
                  <c:v>8</c:v>
                </c:pt>
                <c:pt idx="17" formatCode="General">
                  <c:v>11</c:v>
                </c:pt>
                <c:pt idx="18" formatCode="General">
                  <c:v>12</c:v>
                </c:pt>
                <c:pt idx="19" formatCode="General">
                  <c:v>8</c:v>
                </c:pt>
                <c:pt idx="20" formatCode="General">
                  <c:v>8</c:v>
                </c:pt>
              </c:numCache>
            </c:numRef>
          </c:val>
          <c:extLst>
            <c:ext xmlns:c16="http://schemas.microsoft.com/office/drawing/2014/chart" uri="{C3380CC4-5D6E-409C-BE32-E72D297353CC}">
              <c16:uniqueId val="{00000002-974A-4975-B251-046FE25D6258}"/>
            </c:ext>
          </c:extLst>
        </c:ser>
        <c:ser>
          <c:idx val="2"/>
          <c:order val="2"/>
          <c:tx>
            <c:strRef>
              <c:f>'16ページ死亡事故の推移 '!$A$66</c:f>
              <c:strCache>
                <c:ptCount val="1"/>
                <c:pt idx="0">
                  <c:v>自動二輪</c:v>
                </c:pt>
              </c:strCache>
            </c:strRef>
          </c:tx>
          <c:spPr>
            <a:solidFill>
              <a:schemeClr val="accent2">
                <a:lumMod val="60000"/>
                <a:lumOff val="40000"/>
              </a:schemeClr>
            </a:solidFill>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'!$C$58:$W$59</c:f>
              <c:strCach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元</c:v>
                </c:pt>
                <c:pt idx="18">
                  <c:v>2</c:v>
                </c:pt>
                <c:pt idx="19">
                  <c:v>3</c:v>
                </c:pt>
                <c:pt idx="20">
                  <c:v>4</c:v>
                </c:pt>
              </c:strCache>
            </c:strRef>
          </c:cat>
          <c:val>
            <c:numRef>
              <c:f>'16ページ死亡事故の推移 '!$C$66:$W$66</c:f>
              <c:numCache>
                <c:formatCode>#,##0_);[Red]\(#,##0\)</c:formatCode>
                <c:ptCount val="21"/>
                <c:pt idx="0">
                  <c:v>25</c:v>
                </c:pt>
                <c:pt idx="1">
                  <c:v>18</c:v>
                </c:pt>
                <c:pt idx="2">
                  <c:v>21</c:v>
                </c:pt>
                <c:pt idx="3">
                  <c:v>18</c:v>
                </c:pt>
                <c:pt idx="4">
                  <c:v>14</c:v>
                </c:pt>
                <c:pt idx="5">
                  <c:v>14</c:v>
                </c:pt>
                <c:pt idx="6">
                  <c:v>16</c:v>
                </c:pt>
                <c:pt idx="7" formatCode="General">
                  <c:v>7</c:v>
                </c:pt>
                <c:pt idx="8" formatCode="General">
                  <c:v>18</c:v>
                </c:pt>
                <c:pt idx="9" formatCode="General">
                  <c:v>12</c:v>
                </c:pt>
                <c:pt idx="10" formatCode="General">
                  <c:v>14</c:v>
                </c:pt>
                <c:pt idx="11" formatCode="General">
                  <c:v>9</c:v>
                </c:pt>
                <c:pt idx="12" formatCode="General">
                  <c:v>7</c:v>
                </c:pt>
                <c:pt idx="13" formatCode="General">
                  <c:v>10</c:v>
                </c:pt>
                <c:pt idx="14" formatCode="General">
                  <c:v>12</c:v>
                </c:pt>
                <c:pt idx="15" formatCode="General">
                  <c:v>8</c:v>
                </c:pt>
                <c:pt idx="16" formatCode="General">
                  <c:v>11</c:v>
                </c:pt>
                <c:pt idx="17" formatCode="General">
                  <c:v>4</c:v>
                </c:pt>
                <c:pt idx="18" formatCode="General">
                  <c:v>5</c:v>
                </c:pt>
                <c:pt idx="19" formatCode="General">
                  <c:v>14</c:v>
                </c:pt>
                <c:pt idx="20" formatCode="General">
                  <c:v>8</c:v>
                </c:pt>
              </c:numCache>
            </c:numRef>
          </c:val>
          <c:extLst>
            <c:ext xmlns:c16="http://schemas.microsoft.com/office/drawing/2014/chart" uri="{C3380CC4-5D6E-409C-BE32-E72D297353CC}">
              <c16:uniqueId val="{00000003-974A-4975-B251-046FE25D6258}"/>
            </c:ext>
          </c:extLst>
        </c:ser>
        <c:ser>
          <c:idx val="3"/>
          <c:order val="3"/>
          <c:tx>
            <c:strRef>
              <c:f>'16ページ死亡事故の推移 '!$A$67</c:f>
              <c:strCache>
                <c:ptCount val="1"/>
                <c:pt idx="0">
                  <c:v>原付</c:v>
                </c:pt>
              </c:strCache>
            </c:strRef>
          </c:tx>
          <c:spPr>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'!$C$58:$W$59</c:f>
              <c:strCach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元</c:v>
                </c:pt>
                <c:pt idx="18">
                  <c:v>2</c:v>
                </c:pt>
                <c:pt idx="19">
                  <c:v>3</c:v>
                </c:pt>
                <c:pt idx="20">
                  <c:v>4</c:v>
                </c:pt>
              </c:strCache>
            </c:strRef>
          </c:cat>
          <c:val>
            <c:numRef>
              <c:f>'16ページ死亡事故の推移 '!$C$67:$W$67</c:f>
              <c:numCache>
                <c:formatCode>#,##0_);[Red]\(#,##0\)</c:formatCode>
                <c:ptCount val="21"/>
                <c:pt idx="0">
                  <c:v>9</c:v>
                </c:pt>
                <c:pt idx="1">
                  <c:v>9</c:v>
                </c:pt>
                <c:pt idx="2">
                  <c:v>8</c:v>
                </c:pt>
                <c:pt idx="3">
                  <c:v>5</c:v>
                </c:pt>
                <c:pt idx="4">
                  <c:v>14</c:v>
                </c:pt>
                <c:pt idx="5">
                  <c:v>8</c:v>
                </c:pt>
                <c:pt idx="6">
                  <c:v>11</c:v>
                </c:pt>
                <c:pt idx="7" formatCode="General">
                  <c:v>7</c:v>
                </c:pt>
                <c:pt idx="8" formatCode="General">
                  <c:v>3</c:v>
                </c:pt>
                <c:pt idx="9" formatCode="General">
                  <c:v>6</c:v>
                </c:pt>
                <c:pt idx="10" formatCode="General">
                  <c:v>5</c:v>
                </c:pt>
                <c:pt idx="11" formatCode="General">
                  <c:v>6</c:v>
                </c:pt>
                <c:pt idx="12" formatCode="General">
                  <c:v>1</c:v>
                </c:pt>
                <c:pt idx="13" formatCode="General">
                  <c:v>3</c:v>
                </c:pt>
                <c:pt idx="14" formatCode="General">
                  <c:v>3</c:v>
                </c:pt>
                <c:pt idx="15" formatCode="General">
                  <c:v>1</c:v>
                </c:pt>
                <c:pt idx="16" formatCode="General">
                  <c:v>6</c:v>
                </c:pt>
                <c:pt idx="17" formatCode="General">
                  <c:v>0</c:v>
                </c:pt>
                <c:pt idx="18" formatCode="General">
                  <c:v>1</c:v>
                </c:pt>
                <c:pt idx="19" formatCode="General">
                  <c:v>2</c:v>
                </c:pt>
                <c:pt idx="20" formatCode="General">
                  <c:v>3</c:v>
                </c:pt>
              </c:numCache>
            </c:numRef>
          </c:val>
          <c:extLst>
            <c:ext xmlns:c16="http://schemas.microsoft.com/office/drawing/2014/chart" uri="{C3380CC4-5D6E-409C-BE32-E72D297353CC}">
              <c16:uniqueId val="{00000004-974A-4975-B251-046FE25D6258}"/>
            </c:ext>
          </c:extLst>
        </c:ser>
        <c:ser>
          <c:idx val="4"/>
          <c:order val="4"/>
          <c:tx>
            <c:strRef>
              <c:f>'16ページ死亡事故の推移 '!$A$68</c:f>
              <c:strCache>
                <c:ptCount val="1"/>
                <c:pt idx="0">
                  <c:v>その他</c:v>
                </c:pt>
              </c:strCache>
            </c:strRef>
          </c:tx>
          <c:spPr>
            <a:ln>
              <a:solidFill>
                <a:prstClr val="black"/>
              </a:solidFill>
            </a:ln>
          </c:spPr>
          <c:invertIfNegative val="0"/>
          <c:dLbls>
            <c:dLbl>
              <c:idx val="10"/>
              <c:layout>
                <c:manualLayout>
                  <c:x val="2.3557126030624262E-3"/>
                  <c:y val="-7.874015748031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4A-4975-B251-046FE25D6258}"/>
                </c:ext>
              </c:extLst>
            </c:dLbl>
            <c:dLbl>
              <c:idx val="11"/>
              <c:layout>
                <c:manualLayout>
                  <c:x val="0"/>
                  <c:y val="-1.8372703412073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4A-4975-B251-046FE25D6258}"/>
                </c:ext>
              </c:extLst>
            </c:dLbl>
            <c:dLbl>
              <c:idx val="15"/>
              <c:layout>
                <c:manualLayout>
                  <c:x val="0"/>
                  <c:y val="-1.5748031496062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4A-4975-B251-046FE25D6258}"/>
                </c:ext>
              </c:extLst>
            </c:dLbl>
            <c:dLbl>
              <c:idx val="16"/>
              <c:layout>
                <c:manualLayout>
                  <c:x val="2.3557126030624262E-3"/>
                  <c:y val="-2.09973753280839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4A-4975-B251-046FE25D6258}"/>
                </c:ext>
              </c:extLst>
            </c:dLbl>
            <c:dLbl>
              <c:idx val="17"/>
              <c:layout>
                <c:manualLayout>
                  <c:x val="8.6375130966072036E-17"/>
                  <c:y val="-1.8372703412073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4A-4975-B251-046FE25D6258}"/>
                </c:ext>
              </c:extLst>
            </c:dLbl>
            <c:dLbl>
              <c:idx val="18"/>
              <c:layout>
                <c:manualLayout>
                  <c:x val="-8.6375130966072036E-17"/>
                  <c:y val="-2.09973753280839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4A-4975-B251-046FE25D6258}"/>
                </c:ext>
              </c:extLst>
            </c:dLbl>
            <c:dLbl>
              <c:idx val="19"/>
              <c:layout>
                <c:manualLayout>
                  <c:x val="-1.7275026193214407E-16"/>
                  <c:y val="-3.41207349081364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4A-4975-B251-046FE25D6258}"/>
                </c:ext>
              </c:extLst>
            </c:dLbl>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'!$C$58:$W$59</c:f>
              <c:strCach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元</c:v>
                </c:pt>
                <c:pt idx="18">
                  <c:v>2</c:v>
                </c:pt>
                <c:pt idx="19">
                  <c:v>3</c:v>
                </c:pt>
                <c:pt idx="20">
                  <c:v>4</c:v>
                </c:pt>
              </c:strCache>
            </c:strRef>
          </c:cat>
          <c:val>
            <c:numRef>
              <c:f>'16ページ死亡事故の推移 '!$C$68:$W$68</c:f>
              <c:numCache>
                <c:formatCode>#,##0_);[Red]\(#,##0\)</c:formatCode>
                <c:ptCount val="21"/>
                <c:pt idx="0">
                  <c:v>7</c:v>
                </c:pt>
                <c:pt idx="1">
                  <c:v>9</c:v>
                </c:pt>
                <c:pt idx="2">
                  <c:v>3</c:v>
                </c:pt>
                <c:pt idx="3">
                  <c:v>6</c:v>
                </c:pt>
                <c:pt idx="4">
                  <c:v>5</c:v>
                </c:pt>
                <c:pt idx="5">
                  <c:v>1</c:v>
                </c:pt>
                <c:pt idx="6">
                  <c:v>2</c:v>
                </c:pt>
                <c:pt idx="7">
                  <c:v>6</c:v>
                </c:pt>
                <c:pt idx="8">
                  <c:v>3</c:v>
                </c:pt>
                <c:pt idx="9">
                  <c:v>12</c:v>
                </c:pt>
                <c:pt idx="10">
                  <c:v>1</c:v>
                </c:pt>
                <c:pt idx="11">
                  <c:v>5</c:v>
                </c:pt>
                <c:pt idx="12">
                  <c:v>2</c:v>
                </c:pt>
                <c:pt idx="13">
                  <c:v>3</c:v>
                </c:pt>
                <c:pt idx="14" formatCode="General">
                  <c:v>6</c:v>
                </c:pt>
                <c:pt idx="15">
                  <c:v>5</c:v>
                </c:pt>
                <c:pt idx="16">
                  <c:v>4</c:v>
                </c:pt>
                <c:pt idx="17" formatCode="General">
                  <c:v>4</c:v>
                </c:pt>
                <c:pt idx="18" formatCode="General">
                  <c:v>3</c:v>
                </c:pt>
                <c:pt idx="19" formatCode="General">
                  <c:v>3</c:v>
                </c:pt>
                <c:pt idx="20" formatCode="General">
                  <c:v>9</c:v>
                </c:pt>
              </c:numCache>
            </c:numRef>
          </c:val>
          <c:extLst>
            <c:ext xmlns:c16="http://schemas.microsoft.com/office/drawing/2014/chart" uri="{C3380CC4-5D6E-409C-BE32-E72D297353CC}">
              <c16:uniqueId val="{0000000C-974A-4975-B251-046FE25D6258}"/>
            </c:ext>
          </c:extLst>
        </c:ser>
        <c:dLbls>
          <c:showLegendKey val="0"/>
          <c:showVal val="0"/>
          <c:showCatName val="0"/>
          <c:showSerName val="0"/>
          <c:showPercent val="0"/>
          <c:showBubbleSize val="0"/>
        </c:dLbls>
        <c:gapWidth val="150"/>
        <c:overlap val="100"/>
        <c:axId val="339860096"/>
        <c:axId val="340333312"/>
      </c:barChart>
      <c:catAx>
        <c:axId val="339860096"/>
        <c:scaling>
          <c:orientation val="minMax"/>
        </c:scaling>
        <c:delete val="0"/>
        <c:axPos val="b"/>
        <c:title>
          <c:tx>
            <c:rich>
              <a:bodyPr/>
              <a:lstStyle/>
              <a:p>
                <a:pPr>
                  <a:defRPr/>
                </a:pPr>
                <a:r>
                  <a:rPr lang="ja-JP"/>
                  <a:t>年</a:t>
                </a:r>
              </a:p>
            </c:rich>
          </c:tx>
          <c:layout>
            <c:manualLayout>
              <c:xMode val="edge"/>
              <c:yMode val="edge"/>
              <c:x val="0.46581879561874556"/>
              <c:y val="0.9496846260359187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0333312"/>
        <c:crosses val="autoZero"/>
        <c:auto val="1"/>
        <c:lblAlgn val="ctr"/>
        <c:lblOffset val="100"/>
        <c:tickLblSkip val="1"/>
        <c:tickMarkSkip val="1"/>
        <c:noMultiLvlLbl val="0"/>
      </c:catAx>
      <c:valAx>
        <c:axId val="340333312"/>
        <c:scaling>
          <c:orientation val="minMax"/>
        </c:scaling>
        <c:delete val="0"/>
        <c:axPos val="l"/>
        <c:majorGridlines>
          <c:spPr>
            <a:ln w="3175">
              <a:solidFill>
                <a:srgbClr val="000000"/>
              </a:solidFill>
              <a:prstDash val="solid"/>
            </a:ln>
          </c:spPr>
        </c:majorGridlines>
        <c:title>
          <c:tx>
            <c:rich>
              <a:bodyPr rot="0" vert="horz"/>
              <a:lstStyle/>
              <a:p>
                <a:pPr algn="ctr">
                  <a:defRPr/>
                </a:pPr>
                <a:r>
                  <a:rPr lang="ja-JP"/>
                  <a:t>人数</a:t>
                </a:r>
              </a:p>
            </c:rich>
          </c:tx>
          <c:layout>
            <c:manualLayout>
              <c:xMode val="edge"/>
              <c:yMode val="edge"/>
              <c:x val="2.0068181132530845E-2"/>
              <c:y val="0.4163767731280780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39860096"/>
        <c:crosses val="autoZero"/>
        <c:crossBetween val="between"/>
      </c:valAx>
      <c:spPr>
        <a:solidFill>
          <a:srgbClr val="FFFFFF"/>
        </a:solidFill>
        <a:ln w="12700">
          <a:solidFill>
            <a:srgbClr val="808080"/>
          </a:solidFill>
          <a:prstDash val="solid"/>
        </a:ln>
      </c:spPr>
    </c:plotArea>
    <c:legend>
      <c:legendPos val="r"/>
      <c:layout>
        <c:manualLayout>
          <c:xMode val="edge"/>
          <c:yMode val="edge"/>
          <c:x val="0.84428684047002966"/>
          <c:y val="0.34909169818339636"/>
          <c:w val="0.12956419316843348"/>
          <c:h val="0.28477690288713908"/>
        </c:manualLayout>
      </c:layout>
      <c:overlay val="0"/>
      <c:spPr>
        <a:solidFill>
          <a:srgbClr val="FFFFFF"/>
        </a:solidFill>
        <a:ln w="3175">
          <a:solidFill>
            <a:srgbClr val="000000"/>
          </a:solidFill>
          <a:prstDash val="solid"/>
        </a:ln>
      </c:spPr>
      <c:txPr>
        <a:bodyPr/>
        <a:lstStyle/>
        <a:p>
          <a:pPr>
            <a:defRPr sz="1000" baseline="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&amp;C－１５－</c:oddFooter>
    </c:headerFooter>
    <c:pageMargins b="0.98399999999999999" l="0.78700000000000003" r="0.78700000000000003" t="0.98399999999999999"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高齢者の月別交通事故死者数・負傷者数</a:t>
            </a:r>
          </a:p>
        </c:rich>
      </c:tx>
      <c:layout>
        <c:manualLayout>
          <c:xMode val="edge"/>
          <c:yMode val="edge"/>
          <c:x val="0.26708333333333334"/>
          <c:y val="6.7588325652841785E-2"/>
        </c:manualLayout>
      </c:layout>
      <c:overlay val="0"/>
      <c:spPr>
        <a:noFill/>
        <a:ln w="25400">
          <a:noFill/>
        </a:ln>
      </c:spPr>
    </c:title>
    <c:autoTitleDeleted val="0"/>
    <c:plotArea>
      <c:layout>
        <c:manualLayout>
          <c:layoutTarget val="inner"/>
          <c:xMode val="edge"/>
          <c:yMode val="edge"/>
          <c:x val="0.15375"/>
          <c:y val="0.25806509681266382"/>
          <c:w val="0.52375000000000005"/>
          <c:h val="0.4239640876208049"/>
        </c:manualLayout>
      </c:layout>
      <c:barChart>
        <c:barDir val="col"/>
        <c:grouping val="clustered"/>
        <c:varyColors val="0"/>
        <c:ser>
          <c:idx val="1"/>
          <c:order val="0"/>
          <c:tx>
            <c:v>死者数</c:v>
          </c:tx>
          <c:spPr>
            <a:solidFill>
              <a:srgbClr val="808080"/>
            </a:solidFill>
            <a:ln w="12700">
              <a:solidFill>
                <a:srgbClr val="000000"/>
              </a:solidFill>
              <a:prstDash val="solid"/>
            </a:ln>
          </c:spPr>
          <c:invertIfNegative val="0"/>
          <c:val>
            <c:numRef>
              <c:f>'★17ページ高齢者（推移）'!$E$32:$P$32</c:f>
              <c:numCache>
                <c:formatCode>#,##0_);[Red]\(#,##0\)</c:formatCode>
                <c:ptCount val="12"/>
                <c:pt idx="0">
                  <c:v>0</c:v>
                </c:pt>
                <c:pt idx="1">
                  <c:v>1</c:v>
                </c:pt>
                <c:pt idx="2">
                  <c:v>0</c:v>
                </c:pt>
                <c:pt idx="3">
                  <c:v>1</c:v>
                </c:pt>
                <c:pt idx="4">
                  <c:v>2</c:v>
                </c:pt>
                <c:pt idx="5">
                  <c:v>3</c:v>
                </c:pt>
                <c:pt idx="6">
                  <c:v>1</c:v>
                </c:pt>
                <c:pt idx="7">
                  <c:v>2</c:v>
                </c:pt>
                <c:pt idx="8">
                  <c:v>2</c:v>
                </c:pt>
                <c:pt idx="9">
                  <c:v>0</c:v>
                </c:pt>
                <c:pt idx="10">
                  <c:v>2</c:v>
                </c:pt>
                <c:pt idx="11">
                  <c:v>3</c:v>
                </c:pt>
              </c:numCache>
            </c:numRef>
          </c:val>
          <c:extLst>
            <c:ext xmlns:c16="http://schemas.microsoft.com/office/drawing/2014/chart" uri="{C3380CC4-5D6E-409C-BE32-E72D297353CC}">
              <c16:uniqueId val="{00000000-7D17-4692-8020-9F837460E7E1}"/>
            </c:ext>
          </c:extLst>
        </c:ser>
        <c:dLbls>
          <c:showLegendKey val="0"/>
          <c:showVal val="0"/>
          <c:showCatName val="0"/>
          <c:showSerName val="0"/>
          <c:showPercent val="0"/>
          <c:showBubbleSize val="0"/>
        </c:dLbls>
        <c:gapWidth val="150"/>
        <c:axId val="340365696"/>
        <c:axId val="340368000"/>
      </c:barChart>
      <c:lineChart>
        <c:grouping val="standard"/>
        <c:varyColors val="0"/>
        <c:ser>
          <c:idx val="0"/>
          <c:order val="1"/>
          <c:tx>
            <c:v>負傷者数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'★17ページ高齢者（推移）'!$E$33:$P$33</c:f>
              <c:numCache>
                <c:formatCode>#,##0_);[Red]\(#,##0\)</c:formatCode>
                <c:ptCount val="12"/>
                <c:pt idx="0">
                  <c:v>95</c:v>
                </c:pt>
                <c:pt idx="1">
                  <c:v>81</c:v>
                </c:pt>
                <c:pt idx="2">
                  <c:v>113</c:v>
                </c:pt>
                <c:pt idx="3">
                  <c:v>122</c:v>
                </c:pt>
                <c:pt idx="4">
                  <c:v>104</c:v>
                </c:pt>
                <c:pt idx="5">
                  <c:v>92</c:v>
                </c:pt>
                <c:pt idx="6">
                  <c:v>99</c:v>
                </c:pt>
                <c:pt idx="7">
                  <c:v>77</c:v>
                </c:pt>
                <c:pt idx="8">
                  <c:v>96</c:v>
                </c:pt>
                <c:pt idx="9">
                  <c:v>114</c:v>
                </c:pt>
                <c:pt idx="10">
                  <c:v>100</c:v>
                </c:pt>
                <c:pt idx="11">
                  <c:v>107</c:v>
                </c:pt>
              </c:numCache>
            </c:numRef>
          </c:val>
          <c:smooth val="0"/>
          <c:extLst>
            <c:ext xmlns:c16="http://schemas.microsoft.com/office/drawing/2014/chart" uri="{C3380CC4-5D6E-409C-BE32-E72D297353CC}">
              <c16:uniqueId val="{00000001-7D17-4692-8020-9F837460E7E1}"/>
            </c:ext>
          </c:extLst>
        </c:ser>
        <c:dLbls>
          <c:showLegendKey val="0"/>
          <c:showVal val="0"/>
          <c:showCatName val="0"/>
          <c:showSerName val="0"/>
          <c:showPercent val="0"/>
          <c:showBubbleSize val="0"/>
        </c:dLbls>
        <c:marker val="1"/>
        <c:smooth val="0"/>
        <c:axId val="340370176"/>
        <c:axId val="340371712"/>
      </c:lineChart>
      <c:catAx>
        <c:axId val="3403656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0375"/>
              <c:y val="0.8294950227995693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68000"/>
        <c:crosses val="autoZero"/>
        <c:auto val="0"/>
        <c:lblAlgn val="ctr"/>
        <c:lblOffset val="100"/>
        <c:tickLblSkip val="1"/>
        <c:tickMarkSkip val="1"/>
        <c:noMultiLvlLbl val="0"/>
      </c:catAx>
      <c:valAx>
        <c:axId val="340368000"/>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02"/>
              <c:y val="0.4193558063306602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65696"/>
        <c:crosses val="autoZero"/>
        <c:crossBetween val="between"/>
        <c:majorUnit val="1"/>
      </c:valAx>
      <c:catAx>
        <c:axId val="340370176"/>
        <c:scaling>
          <c:orientation val="minMax"/>
        </c:scaling>
        <c:delete val="1"/>
        <c:axPos val="b"/>
        <c:majorTickMark val="out"/>
        <c:minorTickMark val="none"/>
        <c:tickLblPos val="nextTo"/>
        <c:crossAx val="340371712"/>
        <c:crosses val="autoZero"/>
        <c:auto val="0"/>
        <c:lblAlgn val="ctr"/>
        <c:lblOffset val="100"/>
        <c:noMultiLvlLbl val="0"/>
      </c:catAx>
      <c:valAx>
        <c:axId val="340371712"/>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0.73124999999999996"/>
              <c:y val="0.4193558063306602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70176"/>
        <c:crosses val="max"/>
        <c:crossBetween val="between"/>
      </c:valAx>
      <c:spPr>
        <a:solidFill>
          <a:srgbClr val="FFFFFF"/>
        </a:solidFill>
        <a:ln w="12700">
          <a:solidFill>
            <a:srgbClr val="808080"/>
          </a:solidFill>
          <a:prstDash val="solid"/>
        </a:ln>
      </c:spPr>
    </c:plotArea>
    <c:legend>
      <c:legendPos val="r"/>
      <c:layout>
        <c:manualLayout>
          <c:xMode val="edge"/>
          <c:yMode val="edge"/>
          <c:x val="0.86499999999999999"/>
          <c:y val="0.3778811519527801"/>
          <c:w val="0.125"/>
          <c:h val="0.1889405759763900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子どもの月別交通事故死者数･負傷者数</a:t>
            </a:r>
          </a:p>
        </c:rich>
      </c:tx>
      <c:layout>
        <c:manualLayout>
          <c:xMode val="edge"/>
          <c:yMode val="edge"/>
          <c:x val="0.26381886067058519"/>
          <c:y val="3.9583425565780178E-2"/>
        </c:manualLayout>
      </c:layout>
      <c:overlay val="0"/>
      <c:spPr>
        <a:noFill/>
        <a:ln w="25400">
          <a:noFill/>
        </a:ln>
      </c:spPr>
    </c:title>
    <c:autoTitleDeleted val="0"/>
    <c:plotArea>
      <c:layout>
        <c:manualLayout>
          <c:layoutTarget val="inner"/>
          <c:xMode val="edge"/>
          <c:yMode val="edge"/>
          <c:x val="0.2109417027096965"/>
          <c:y val="0.13958363638280155"/>
          <c:w val="0.46541819489189912"/>
          <c:h val="0.71666812473169905"/>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val>
            <c:numRef>
              <c:f>'★２０ページ子ども（推移）'!$R$26:$AC$26</c:f>
              <c:numCache>
                <c:formatCode>General</c:formatCode>
                <c:ptCount val="12"/>
                <c:pt idx="0">
                  <c:v>24</c:v>
                </c:pt>
                <c:pt idx="1">
                  <c:v>29</c:v>
                </c:pt>
                <c:pt idx="2">
                  <c:v>37</c:v>
                </c:pt>
                <c:pt idx="3">
                  <c:v>35</c:v>
                </c:pt>
                <c:pt idx="4">
                  <c:v>32</c:v>
                </c:pt>
                <c:pt idx="5">
                  <c:v>34</c:v>
                </c:pt>
                <c:pt idx="6">
                  <c:v>35</c:v>
                </c:pt>
                <c:pt idx="7">
                  <c:v>34</c:v>
                </c:pt>
                <c:pt idx="8">
                  <c:v>28</c:v>
                </c:pt>
                <c:pt idx="9">
                  <c:v>28</c:v>
                </c:pt>
                <c:pt idx="10">
                  <c:v>35</c:v>
                </c:pt>
                <c:pt idx="11">
                  <c:v>30</c:v>
                </c:pt>
              </c:numCache>
            </c:numRef>
          </c:val>
          <c:extLst>
            <c:ext xmlns:c16="http://schemas.microsoft.com/office/drawing/2014/chart" uri="{C3380CC4-5D6E-409C-BE32-E72D297353CC}">
              <c16:uniqueId val="{00000000-A9BB-472B-AD16-C32EF8D86921}"/>
            </c:ext>
          </c:extLst>
        </c:ser>
        <c:dLbls>
          <c:showLegendKey val="0"/>
          <c:showVal val="0"/>
          <c:showCatName val="0"/>
          <c:showSerName val="0"/>
          <c:showPercent val="0"/>
          <c:showBubbleSize val="0"/>
        </c:dLbls>
        <c:gapWidth val="150"/>
        <c:axId val="344316928"/>
        <c:axId val="344319488"/>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'★２０ページ子ども（推移）'!$R$21:$AC$21</c:f>
              <c:numCache>
                <c:formatCode>General</c:formatCode>
                <c:ptCount val="12"/>
                <c:pt idx="0">
                  <c:v>0</c:v>
                </c:pt>
                <c:pt idx="1">
                  <c:v>0</c:v>
                </c:pt>
                <c:pt idx="2">
                  <c:v>0</c:v>
                </c:pt>
                <c:pt idx="3">
                  <c:v>0</c:v>
                </c:pt>
                <c:pt idx="4">
                  <c:v>0</c:v>
                </c:pt>
                <c:pt idx="5">
                  <c:v>0</c:v>
                </c:pt>
                <c:pt idx="6">
                  <c:v>0</c:v>
                </c:pt>
                <c:pt idx="7">
                  <c:v>1</c:v>
                </c:pt>
                <c:pt idx="8">
                  <c:v>0</c:v>
                </c:pt>
                <c:pt idx="9">
                  <c:v>0</c:v>
                </c:pt>
                <c:pt idx="10">
                  <c:v>0</c:v>
                </c:pt>
                <c:pt idx="11">
                  <c:v>0</c:v>
                </c:pt>
              </c:numCache>
            </c:numRef>
          </c:val>
          <c:smooth val="0"/>
          <c:extLst>
            <c:ext xmlns:c16="http://schemas.microsoft.com/office/drawing/2014/chart" uri="{C3380CC4-5D6E-409C-BE32-E72D297353CC}">
              <c16:uniqueId val="{00000001-A9BB-472B-AD16-C32EF8D86921}"/>
            </c:ext>
          </c:extLst>
        </c:ser>
        <c:dLbls>
          <c:showLegendKey val="0"/>
          <c:showVal val="0"/>
          <c:showCatName val="0"/>
          <c:showSerName val="0"/>
          <c:showPercent val="0"/>
          <c:showBubbleSize val="0"/>
        </c:dLbls>
        <c:marker val="1"/>
        <c:smooth val="0"/>
        <c:axId val="344321408"/>
        <c:axId val="344323200"/>
      </c:lineChart>
      <c:catAx>
        <c:axId val="34431692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337178818065609"/>
              <c:y val="0.922918678824190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19488"/>
        <c:crosses val="autoZero"/>
        <c:auto val="0"/>
        <c:lblAlgn val="ctr"/>
        <c:lblOffset val="100"/>
        <c:tickLblSkip val="1"/>
        <c:tickMarkSkip val="1"/>
        <c:noMultiLvlLbl val="0"/>
      </c:catAx>
      <c:valAx>
        <c:axId val="344319488"/>
        <c:scaling>
          <c:orientation val="minMax"/>
          <c:max val="6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2.3054755043227664E-2"/>
              <c:y val="0.475000791221263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16928"/>
        <c:crosses val="autoZero"/>
        <c:crossBetween val="between"/>
        <c:majorUnit val="10"/>
      </c:valAx>
      <c:catAx>
        <c:axId val="344321408"/>
        <c:scaling>
          <c:orientation val="minMax"/>
        </c:scaling>
        <c:delete val="1"/>
        <c:axPos val="b"/>
        <c:majorTickMark val="out"/>
        <c:minorTickMark val="none"/>
        <c:tickLblPos val="nextTo"/>
        <c:crossAx val="344323200"/>
        <c:crosses val="autoZero"/>
        <c:auto val="0"/>
        <c:lblAlgn val="ctr"/>
        <c:lblOffset val="100"/>
        <c:noMultiLvlLbl val="0"/>
      </c:catAx>
      <c:valAx>
        <c:axId val="344323200"/>
        <c:scaling>
          <c:orientation val="minMax"/>
          <c:max val="2"/>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71181601579341491"/>
              <c:y val="0.475000791221263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21408"/>
        <c:crosses val="max"/>
        <c:crossBetween val="between"/>
        <c:majorUnit val="1"/>
      </c:valAx>
      <c:spPr>
        <a:solidFill>
          <a:srgbClr val="FFFFFF"/>
        </a:solidFill>
        <a:ln w="12700">
          <a:solidFill>
            <a:srgbClr val="808080"/>
          </a:solidFill>
          <a:prstDash val="solid"/>
        </a:ln>
      </c:spPr>
    </c:plotArea>
    <c:legend>
      <c:legendPos val="r"/>
      <c:layout>
        <c:manualLayout>
          <c:xMode val="edge"/>
          <c:yMode val="edge"/>
          <c:x val="0.84438100856989418"/>
          <c:y val="0.45625092081784996"/>
          <c:w val="0.14409237029809319"/>
          <c:h val="8.5416973605949964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425196850393704" l="0.98425196850393704" r="0.39370078740157483" t="0.98425196850393704" header="0.51181102362204722" footer="0.51181102362204722"/>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若年者の月別交通事故死者数･負傷者数</a:t>
            </a:r>
          </a:p>
        </c:rich>
      </c:tx>
      <c:layout>
        <c:manualLayout>
          <c:xMode val="edge"/>
          <c:yMode val="edge"/>
          <c:x val="0.2214875870625376"/>
          <c:y val="5.1094642581442022E-2"/>
        </c:manualLayout>
      </c:layout>
      <c:overlay val="0"/>
      <c:spPr>
        <a:noFill/>
        <a:ln w="25400">
          <a:noFill/>
        </a:ln>
      </c:spPr>
    </c:title>
    <c:autoTitleDeleted val="0"/>
    <c:plotArea>
      <c:layout>
        <c:manualLayout>
          <c:layoutTarget val="inner"/>
          <c:xMode val="edge"/>
          <c:yMode val="edge"/>
          <c:x val="0.24628099173553719"/>
          <c:y val="0.21532885087970974"/>
          <c:w val="0.38677685950413221"/>
          <c:h val="0.53284766488877322"/>
        </c:manualLayout>
      </c:layout>
      <c:barChart>
        <c:barDir val="col"/>
        <c:grouping val="clustered"/>
        <c:varyColors val="0"/>
        <c:ser>
          <c:idx val="1"/>
          <c:order val="0"/>
          <c:tx>
            <c:v>負傷者数</c:v>
          </c:tx>
          <c:invertIfNegative val="0"/>
          <c:val>
            <c:numRef>
              <c:f>'★２４ページ若年者（推移）'!$P$7:$AA$7</c:f>
              <c:numCache>
                <c:formatCode>General</c:formatCode>
                <c:ptCount val="12"/>
                <c:pt idx="0">
                  <c:v>85</c:v>
                </c:pt>
                <c:pt idx="1">
                  <c:v>69</c:v>
                </c:pt>
                <c:pt idx="2">
                  <c:v>89</c:v>
                </c:pt>
                <c:pt idx="3">
                  <c:v>91</c:v>
                </c:pt>
                <c:pt idx="4">
                  <c:v>97</c:v>
                </c:pt>
                <c:pt idx="5">
                  <c:v>92</c:v>
                </c:pt>
                <c:pt idx="6">
                  <c:v>107</c:v>
                </c:pt>
                <c:pt idx="7">
                  <c:v>100</c:v>
                </c:pt>
                <c:pt idx="8">
                  <c:v>86</c:v>
                </c:pt>
                <c:pt idx="9">
                  <c:v>93</c:v>
                </c:pt>
                <c:pt idx="10">
                  <c:v>95</c:v>
                </c:pt>
                <c:pt idx="11">
                  <c:v>138</c:v>
                </c:pt>
              </c:numCache>
            </c:numRef>
          </c:val>
          <c:extLst>
            <c:ext xmlns:c16="http://schemas.microsoft.com/office/drawing/2014/chart" uri="{C3380CC4-5D6E-409C-BE32-E72D297353CC}">
              <c16:uniqueId val="{00000000-42CD-409D-80AF-82576F1E74E8}"/>
            </c:ext>
          </c:extLst>
        </c:ser>
        <c:dLbls>
          <c:showLegendKey val="0"/>
          <c:showVal val="0"/>
          <c:showCatName val="0"/>
          <c:showSerName val="0"/>
          <c:showPercent val="0"/>
          <c:showBubbleSize val="0"/>
        </c:dLbls>
        <c:gapWidth val="150"/>
        <c:axId val="344642304"/>
        <c:axId val="344644608"/>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'★２４ページ若年者（推移）'!$P$6:$AA$6</c:f>
              <c:numCache>
                <c:formatCode>General</c:formatCode>
                <c:ptCount val="12"/>
                <c:pt idx="0">
                  <c:v>0</c:v>
                </c:pt>
                <c:pt idx="1">
                  <c:v>0</c:v>
                </c:pt>
                <c:pt idx="2">
                  <c:v>0</c:v>
                </c:pt>
                <c:pt idx="3">
                  <c:v>0</c:v>
                </c:pt>
                <c:pt idx="4">
                  <c:v>0</c:v>
                </c:pt>
                <c:pt idx="5">
                  <c:v>1</c:v>
                </c:pt>
                <c:pt idx="6">
                  <c:v>0</c:v>
                </c:pt>
                <c:pt idx="7">
                  <c:v>0</c:v>
                </c:pt>
                <c:pt idx="8">
                  <c:v>0</c:v>
                </c:pt>
                <c:pt idx="9">
                  <c:v>1</c:v>
                </c:pt>
                <c:pt idx="10">
                  <c:v>1</c:v>
                </c:pt>
                <c:pt idx="11">
                  <c:v>0</c:v>
                </c:pt>
              </c:numCache>
            </c:numRef>
          </c:val>
          <c:smooth val="0"/>
          <c:extLst>
            <c:ext xmlns:c16="http://schemas.microsoft.com/office/drawing/2014/chart" uri="{C3380CC4-5D6E-409C-BE32-E72D297353CC}">
              <c16:uniqueId val="{00000001-42CD-409D-80AF-82576F1E74E8}"/>
            </c:ext>
          </c:extLst>
        </c:ser>
        <c:dLbls>
          <c:showLegendKey val="0"/>
          <c:showVal val="0"/>
          <c:showCatName val="0"/>
          <c:showSerName val="0"/>
          <c:showPercent val="0"/>
          <c:showBubbleSize val="0"/>
        </c:dLbls>
        <c:marker val="1"/>
        <c:smooth val="0"/>
        <c:axId val="345052288"/>
        <c:axId val="345053824"/>
      </c:lineChart>
      <c:catAx>
        <c:axId val="34464230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2479344528111834"/>
              <c:y val="0.8649652616952292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644608"/>
        <c:crosses val="autoZero"/>
        <c:auto val="0"/>
        <c:lblAlgn val="ctr"/>
        <c:lblOffset val="100"/>
        <c:tickLblSkip val="1"/>
        <c:tickMarkSkip val="1"/>
        <c:noMultiLvlLbl val="0"/>
      </c:catAx>
      <c:valAx>
        <c:axId val="344644608"/>
        <c:scaling>
          <c:orientation val="minMax"/>
          <c:max val="16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2.6446210604329685E-2"/>
              <c:y val="0.44160683958622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642304"/>
        <c:crosses val="autoZero"/>
        <c:crossBetween val="between"/>
        <c:majorUnit val="20"/>
      </c:valAx>
      <c:catAx>
        <c:axId val="345052288"/>
        <c:scaling>
          <c:orientation val="minMax"/>
        </c:scaling>
        <c:delete val="1"/>
        <c:axPos val="b"/>
        <c:majorTickMark val="out"/>
        <c:minorTickMark val="none"/>
        <c:tickLblPos val="nextTo"/>
        <c:crossAx val="345053824"/>
        <c:crosses val="autoZero"/>
        <c:auto val="0"/>
        <c:lblAlgn val="ctr"/>
        <c:lblOffset val="100"/>
        <c:noMultiLvlLbl val="0"/>
      </c:catAx>
      <c:valAx>
        <c:axId val="345053824"/>
        <c:scaling>
          <c:orientation val="minMax"/>
          <c:max val="4"/>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66942154851548386"/>
              <c:y val="0.44160683958622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052288"/>
        <c:crosses val="max"/>
        <c:crossBetween val="between"/>
        <c:majorUnit val="1"/>
      </c:valAx>
      <c:spPr>
        <a:solidFill>
          <a:srgbClr val="FFFFFF"/>
        </a:solidFill>
        <a:ln w="12700">
          <a:solidFill>
            <a:srgbClr val="808080"/>
          </a:solidFill>
          <a:prstDash val="solid"/>
        </a:ln>
      </c:spPr>
    </c:plotArea>
    <c:legend>
      <c:legendPos val="r"/>
      <c:layout>
        <c:manualLayout>
          <c:xMode val="edge"/>
          <c:yMode val="edge"/>
          <c:x val="0.82148758706253766"/>
          <c:y val="0.40875984251968506"/>
          <c:w val="0.16183908045977011"/>
          <c:h val="0.166136826354649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歩行者の月別交通事故発生件数</a:t>
            </a:r>
          </a:p>
        </c:rich>
      </c:tx>
      <c:layout>
        <c:manualLayout>
          <c:xMode val="edge"/>
          <c:yMode val="edge"/>
          <c:x val="0.32960033595800525"/>
          <c:y val="3.6496350364963501E-2"/>
        </c:manualLayout>
      </c:layout>
      <c:overlay val="0"/>
      <c:spPr>
        <a:noFill/>
        <a:ln w="25400">
          <a:noFill/>
        </a:ln>
      </c:spPr>
    </c:title>
    <c:autoTitleDeleted val="0"/>
    <c:plotArea>
      <c:layout>
        <c:manualLayout>
          <c:layoutTarget val="inner"/>
          <c:xMode val="edge"/>
          <c:yMode val="edge"/>
          <c:x val="0.19840015500012109"/>
          <c:y val="0.21532885087970974"/>
          <c:w val="0.65920051500040233"/>
          <c:h val="0.53284766488877322"/>
        </c:manualLayout>
      </c:layout>
      <c:lineChart>
        <c:grouping val="standard"/>
        <c:varyColors val="0"/>
        <c:ser>
          <c:idx val="0"/>
          <c:order val="0"/>
          <c:tx>
            <c:v>件数</c:v>
          </c:tx>
          <c:spPr>
            <a:ln w="12700">
              <a:solidFill>
                <a:schemeClr val="tx1"/>
              </a:solidFill>
              <a:prstDash val="solid"/>
            </a:ln>
          </c:spPr>
          <c:marker>
            <c:symbol val="diamond"/>
            <c:size val="5"/>
            <c:spPr>
              <a:solidFill>
                <a:schemeClr val="tx1"/>
              </a:solidFill>
              <a:ln>
                <a:solidFill>
                  <a:srgbClr val="000080"/>
                </a:solidFill>
                <a:prstDash val="solid"/>
              </a:ln>
            </c:spPr>
          </c:marker>
          <c:val>
            <c:numRef>
              <c:f>'★２９ページ歩行者(類型･月別）'!$C$4:$N$4</c:f>
              <c:numCache>
                <c:formatCode>#,##0_);[Red]\(#,##0\)</c:formatCode>
                <c:ptCount val="12"/>
                <c:pt idx="0">
                  <c:v>77</c:v>
                </c:pt>
                <c:pt idx="1">
                  <c:v>57</c:v>
                </c:pt>
                <c:pt idx="2">
                  <c:v>74</c:v>
                </c:pt>
                <c:pt idx="3">
                  <c:v>74</c:v>
                </c:pt>
                <c:pt idx="4">
                  <c:v>77</c:v>
                </c:pt>
                <c:pt idx="5">
                  <c:v>79</c:v>
                </c:pt>
                <c:pt idx="6">
                  <c:v>70</c:v>
                </c:pt>
                <c:pt idx="7">
                  <c:v>65</c:v>
                </c:pt>
                <c:pt idx="8">
                  <c:v>67</c:v>
                </c:pt>
                <c:pt idx="9">
                  <c:v>91</c:v>
                </c:pt>
                <c:pt idx="10">
                  <c:v>68</c:v>
                </c:pt>
                <c:pt idx="11">
                  <c:v>93</c:v>
                </c:pt>
              </c:numCache>
            </c:numRef>
          </c:val>
          <c:smooth val="0"/>
          <c:extLst>
            <c:ext xmlns:c16="http://schemas.microsoft.com/office/drawing/2014/chart" uri="{C3380CC4-5D6E-409C-BE32-E72D297353CC}">
              <c16:uniqueId val="{00000000-7427-4BA2-A99D-282E409D567E}"/>
            </c:ext>
          </c:extLst>
        </c:ser>
        <c:dLbls>
          <c:showLegendKey val="0"/>
          <c:showVal val="0"/>
          <c:showCatName val="0"/>
          <c:showSerName val="0"/>
          <c:showPercent val="0"/>
          <c:showBubbleSize val="0"/>
        </c:dLbls>
        <c:marker val="1"/>
        <c:smooth val="0"/>
        <c:axId val="345412736"/>
        <c:axId val="345415040"/>
      </c:lineChart>
      <c:catAx>
        <c:axId val="34541273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1360033595800525"/>
              <c:y val="0.864965036304768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415040"/>
        <c:crosses val="autoZero"/>
        <c:auto val="1"/>
        <c:lblAlgn val="ctr"/>
        <c:lblOffset val="100"/>
        <c:tickLblSkip val="1"/>
        <c:tickMarkSkip val="1"/>
        <c:noMultiLvlLbl val="0"/>
      </c:catAx>
      <c:valAx>
        <c:axId val="345415040"/>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件数（件）</a:t>
                </a:r>
              </a:p>
            </c:rich>
          </c:tx>
          <c:layout>
            <c:manualLayout>
              <c:xMode val="edge"/>
              <c:yMode val="edge"/>
              <c:x val="2.5600000000000001E-2"/>
              <c:y val="0.4416066057436250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412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&amp;C－２８－</c:oddFooter>
    </c:headerFooter>
    <c:pageMargins b="0.98399999999999999" l="0.78700000000000003" r="0.78700000000000003" t="0.98399999999999999"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歩行者の月別交通事故死者数・負傷者数</a:t>
            </a:r>
          </a:p>
        </c:rich>
      </c:tx>
      <c:layout>
        <c:manualLayout>
          <c:xMode val="edge"/>
          <c:yMode val="edge"/>
          <c:x val="0.26454279087690219"/>
          <c:y val="5.8394160583941604E-2"/>
        </c:manualLayout>
      </c:layout>
      <c:overlay val="0"/>
      <c:spPr>
        <a:noFill/>
        <a:ln w="25400">
          <a:noFill/>
        </a:ln>
      </c:spPr>
    </c:title>
    <c:autoTitleDeleted val="0"/>
    <c:plotArea>
      <c:layout>
        <c:manualLayout>
          <c:layoutTarget val="inner"/>
          <c:xMode val="edge"/>
          <c:yMode val="edge"/>
          <c:x val="0.18975069252077562"/>
          <c:y val="0.20437992625870754"/>
          <c:w val="0.50831024930747926"/>
          <c:h val="0.5437965895097755"/>
        </c:manualLayout>
      </c:layout>
      <c:barChart>
        <c:barDir val="col"/>
        <c:grouping val="clustered"/>
        <c:varyColors val="0"/>
        <c:ser>
          <c:idx val="1"/>
          <c:order val="0"/>
          <c:tx>
            <c:v>負傷者数</c:v>
          </c:tx>
          <c:spPr>
            <a:solidFill>
              <a:schemeClr val="bg1">
                <a:lumMod val="50000"/>
              </a:schemeClr>
            </a:solidFill>
            <a:ln w="12700">
              <a:solidFill>
                <a:srgbClr val="000000"/>
              </a:solidFill>
              <a:prstDash val="solid"/>
            </a:ln>
          </c:spPr>
          <c:invertIfNegative val="0"/>
          <c:val>
            <c:numRef>
              <c:f>'★２９ページ歩行者(類型･月別）'!$C$6:$N$6</c:f>
              <c:numCache>
                <c:formatCode>#,##0_);[Red]\(#,##0\)</c:formatCode>
                <c:ptCount val="12"/>
                <c:pt idx="0">
                  <c:v>78</c:v>
                </c:pt>
                <c:pt idx="1">
                  <c:v>57</c:v>
                </c:pt>
                <c:pt idx="2">
                  <c:v>78</c:v>
                </c:pt>
                <c:pt idx="3">
                  <c:v>74</c:v>
                </c:pt>
                <c:pt idx="4">
                  <c:v>81</c:v>
                </c:pt>
                <c:pt idx="5">
                  <c:v>78</c:v>
                </c:pt>
                <c:pt idx="6">
                  <c:v>72</c:v>
                </c:pt>
                <c:pt idx="7">
                  <c:v>63</c:v>
                </c:pt>
                <c:pt idx="8">
                  <c:v>69</c:v>
                </c:pt>
                <c:pt idx="9">
                  <c:v>91</c:v>
                </c:pt>
                <c:pt idx="10">
                  <c:v>66</c:v>
                </c:pt>
                <c:pt idx="11">
                  <c:v>92</c:v>
                </c:pt>
              </c:numCache>
            </c:numRef>
          </c:val>
          <c:extLst>
            <c:ext xmlns:c16="http://schemas.microsoft.com/office/drawing/2014/chart" uri="{C3380CC4-5D6E-409C-BE32-E72D297353CC}">
              <c16:uniqueId val="{00000000-ADBD-43B9-BA7D-65813A53A66C}"/>
            </c:ext>
          </c:extLst>
        </c:ser>
        <c:dLbls>
          <c:showLegendKey val="0"/>
          <c:showVal val="0"/>
          <c:showCatName val="0"/>
          <c:showSerName val="0"/>
          <c:showPercent val="0"/>
          <c:showBubbleSize val="0"/>
        </c:dLbls>
        <c:gapWidth val="150"/>
        <c:axId val="345556864"/>
        <c:axId val="345571712"/>
      </c:barChart>
      <c:lineChart>
        <c:grouping val="standard"/>
        <c:varyColors val="0"/>
        <c:ser>
          <c:idx val="0"/>
          <c:order val="1"/>
          <c:tx>
            <c:v>死者数</c:v>
          </c:tx>
          <c:spPr>
            <a:ln w="12700">
              <a:solidFill>
                <a:srgbClr val="002060"/>
              </a:solidFill>
              <a:prstDash val="solid"/>
            </a:ln>
          </c:spPr>
          <c:marker>
            <c:symbol val="diamond"/>
            <c:size val="5"/>
            <c:spPr>
              <a:solidFill>
                <a:srgbClr val="000080"/>
              </a:solidFill>
              <a:ln>
                <a:solidFill>
                  <a:srgbClr val="000080"/>
                </a:solidFill>
                <a:prstDash val="solid"/>
              </a:ln>
            </c:spPr>
          </c:marker>
          <c:val>
            <c:numRef>
              <c:f>'★２９ページ歩行者(類型･月別）'!$C$5:$N$5</c:f>
              <c:numCache>
                <c:formatCode>#,##0_);[Red]\(#,##0\)</c:formatCode>
                <c:ptCount val="12"/>
                <c:pt idx="0">
                  <c:v>0</c:v>
                </c:pt>
                <c:pt idx="1">
                  <c:v>1</c:v>
                </c:pt>
                <c:pt idx="2">
                  <c:v>0</c:v>
                </c:pt>
                <c:pt idx="3">
                  <c:v>1</c:v>
                </c:pt>
                <c:pt idx="4">
                  <c:v>0</c:v>
                </c:pt>
                <c:pt idx="5">
                  <c:v>2</c:v>
                </c:pt>
                <c:pt idx="6">
                  <c:v>1</c:v>
                </c:pt>
                <c:pt idx="7">
                  <c:v>2</c:v>
                </c:pt>
                <c:pt idx="8">
                  <c:v>0</c:v>
                </c:pt>
                <c:pt idx="9">
                  <c:v>1</c:v>
                </c:pt>
                <c:pt idx="10">
                  <c:v>3</c:v>
                </c:pt>
                <c:pt idx="11">
                  <c:v>1</c:v>
                </c:pt>
              </c:numCache>
            </c:numRef>
          </c:val>
          <c:smooth val="0"/>
          <c:extLst>
            <c:ext xmlns:c16="http://schemas.microsoft.com/office/drawing/2014/chart" uri="{C3380CC4-5D6E-409C-BE32-E72D297353CC}">
              <c16:uniqueId val="{00000001-ADBD-43B9-BA7D-65813A53A66C}"/>
            </c:ext>
          </c:extLst>
        </c:ser>
        <c:dLbls>
          <c:showLegendKey val="0"/>
          <c:showVal val="0"/>
          <c:showCatName val="0"/>
          <c:showSerName val="0"/>
          <c:showPercent val="0"/>
          <c:showBubbleSize val="0"/>
        </c:dLbls>
        <c:marker val="1"/>
        <c:smooth val="0"/>
        <c:axId val="345573632"/>
        <c:axId val="345587712"/>
      </c:lineChart>
      <c:catAx>
        <c:axId val="3455568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3074792243767313"/>
              <c:y val="0.864965036304768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71712"/>
        <c:crosses val="autoZero"/>
        <c:auto val="0"/>
        <c:lblAlgn val="ctr"/>
        <c:lblOffset val="100"/>
        <c:tickLblSkip val="1"/>
        <c:tickMarkSkip val="1"/>
        <c:noMultiLvlLbl val="0"/>
      </c:catAx>
      <c:valAx>
        <c:axId val="34557171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5.0784856879039705E-3"/>
              <c:y val="0.4270080655976396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56864"/>
        <c:crosses val="autoZero"/>
        <c:crossBetween val="between"/>
      </c:valAx>
      <c:catAx>
        <c:axId val="345573632"/>
        <c:scaling>
          <c:orientation val="minMax"/>
        </c:scaling>
        <c:delete val="1"/>
        <c:axPos val="b"/>
        <c:majorTickMark val="out"/>
        <c:minorTickMark val="none"/>
        <c:tickLblPos val="nextTo"/>
        <c:crossAx val="345587712"/>
        <c:crosses val="autoZero"/>
        <c:auto val="0"/>
        <c:lblAlgn val="ctr"/>
        <c:lblOffset val="100"/>
        <c:noMultiLvlLbl val="0"/>
      </c:catAx>
      <c:valAx>
        <c:axId val="345587712"/>
        <c:scaling>
          <c:orientation val="minMax"/>
        </c:scaling>
        <c:delete val="0"/>
        <c:axPos val="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73545720912309787"/>
              <c:y val="0.434307335670632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73632"/>
        <c:crosses val="max"/>
        <c:crossBetween val="between"/>
        <c:minorUnit val="1"/>
      </c:valAx>
      <c:spPr>
        <a:solidFill>
          <a:srgbClr val="FFFFFF"/>
        </a:solidFill>
        <a:ln w="12700">
          <a:solidFill>
            <a:srgbClr val="808080"/>
          </a:solidFill>
          <a:prstDash val="solid"/>
        </a:ln>
      </c:spPr>
    </c:plotArea>
    <c:legend>
      <c:legendPos val="r"/>
      <c:layout>
        <c:manualLayout>
          <c:xMode val="edge"/>
          <c:yMode val="edge"/>
          <c:x val="0.85041551246537395"/>
          <c:y val="0.40146062034216523"/>
          <c:w val="0.13850415512465375"/>
          <c:h val="0.1496354196601337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v>件数</c:v>
          </c:tx>
          <c:spPr>
            <a:ln cmpd="dbl">
              <a:solidFill>
                <a:schemeClr val="tx1"/>
              </a:solidFill>
            </a:ln>
          </c:spPr>
          <c:marker>
            <c:symbol val="none"/>
          </c:marker>
          <c:cat>
            <c:numRef>
              <c:f>'★３１ページ歩行者(時間別･状態）'!$B$7:$B$30</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'★３１ページ歩行者(時間別･状態）'!$C$7:$C$30</c:f>
              <c:numCache>
                <c:formatCode>#,##0_ </c:formatCode>
                <c:ptCount val="24"/>
                <c:pt idx="0">
                  <c:v>15</c:v>
                </c:pt>
                <c:pt idx="1">
                  <c:v>20</c:v>
                </c:pt>
                <c:pt idx="2">
                  <c:v>15</c:v>
                </c:pt>
                <c:pt idx="3">
                  <c:v>12</c:v>
                </c:pt>
                <c:pt idx="4">
                  <c:v>8</c:v>
                </c:pt>
                <c:pt idx="5">
                  <c:v>18</c:v>
                </c:pt>
                <c:pt idx="6">
                  <c:v>18</c:v>
                </c:pt>
                <c:pt idx="7">
                  <c:v>39</c:v>
                </c:pt>
                <c:pt idx="8">
                  <c:v>65</c:v>
                </c:pt>
                <c:pt idx="9">
                  <c:v>57</c:v>
                </c:pt>
                <c:pt idx="10">
                  <c:v>47</c:v>
                </c:pt>
                <c:pt idx="11">
                  <c:v>56</c:v>
                </c:pt>
                <c:pt idx="12">
                  <c:v>42</c:v>
                </c:pt>
                <c:pt idx="13">
                  <c:v>39</c:v>
                </c:pt>
                <c:pt idx="14">
                  <c:v>48</c:v>
                </c:pt>
                <c:pt idx="15">
                  <c:v>51</c:v>
                </c:pt>
                <c:pt idx="16">
                  <c:v>52</c:v>
                </c:pt>
                <c:pt idx="17">
                  <c:v>64</c:v>
                </c:pt>
                <c:pt idx="18">
                  <c:v>58</c:v>
                </c:pt>
                <c:pt idx="19">
                  <c:v>56</c:v>
                </c:pt>
                <c:pt idx="20">
                  <c:v>40</c:v>
                </c:pt>
                <c:pt idx="21">
                  <c:v>32</c:v>
                </c:pt>
                <c:pt idx="22">
                  <c:v>22</c:v>
                </c:pt>
                <c:pt idx="23">
                  <c:v>18</c:v>
                </c:pt>
              </c:numCache>
            </c:numRef>
          </c:val>
          <c:extLst>
            <c:ext xmlns:c16="http://schemas.microsoft.com/office/drawing/2014/chart" uri="{C3380CC4-5D6E-409C-BE32-E72D297353CC}">
              <c16:uniqueId val="{00000000-C111-4F06-92FE-30003D196F88}"/>
            </c:ext>
          </c:extLst>
        </c:ser>
        <c:ser>
          <c:idx val="1"/>
          <c:order val="1"/>
          <c:tx>
            <c:v>負傷者</c:v>
          </c:tx>
          <c:spPr>
            <a:ln w="19050">
              <a:solidFill>
                <a:srgbClr val="FF0000"/>
              </a:solidFill>
            </a:ln>
          </c:spPr>
          <c:marker>
            <c:symbol val="none"/>
          </c:marker>
          <c:cat>
            <c:numRef>
              <c:f>'★３１ページ歩行者(時間別･状態）'!$B$7:$B$30</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'★３１ページ歩行者(時間別･状態）'!$K$7:$K$30</c:f>
              <c:numCache>
                <c:formatCode>#,##0_ </c:formatCode>
                <c:ptCount val="24"/>
                <c:pt idx="0">
                  <c:v>14</c:v>
                </c:pt>
                <c:pt idx="1">
                  <c:v>20</c:v>
                </c:pt>
                <c:pt idx="2">
                  <c:v>17</c:v>
                </c:pt>
                <c:pt idx="3">
                  <c:v>11</c:v>
                </c:pt>
                <c:pt idx="4">
                  <c:v>7</c:v>
                </c:pt>
                <c:pt idx="5">
                  <c:v>16</c:v>
                </c:pt>
                <c:pt idx="6">
                  <c:v>18</c:v>
                </c:pt>
                <c:pt idx="7">
                  <c:v>39</c:v>
                </c:pt>
                <c:pt idx="8">
                  <c:v>65</c:v>
                </c:pt>
                <c:pt idx="9">
                  <c:v>57</c:v>
                </c:pt>
                <c:pt idx="10">
                  <c:v>47</c:v>
                </c:pt>
                <c:pt idx="11">
                  <c:v>55</c:v>
                </c:pt>
                <c:pt idx="12">
                  <c:v>44</c:v>
                </c:pt>
                <c:pt idx="13">
                  <c:v>39</c:v>
                </c:pt>
                <c:pt idx="14">
                  <c:v>51</c:v>
                </c:pt>
                <c:pt idx="15">
                  <c:v>53</c:v>
                </c:pt>
                <c:pt idx="16">
                  <c:v>52</c:v>
                </c:pt>
                <c:pt idx="17">
                  <c:v>65</c:v>
                </c:pt>
                <c:pt idx="18">
                  <c:v>58</c:v>
                </c:pt>
                <c:pt idx="19">
                  <c:v>57</c:v>
                </c:pt>
                <c:pt idx="20">
                  <c:v>41</c:v>
                </c:pt>
                <c:pt idx="21">
                  <c:v>32</c:v>
                </c:pt>
                <c:pt idx="22">
                  <c:v>22</c:v>
                </c:pt>
                <c:pt idx="23">
                  <c:v>19</c:v>
                </c:pt>
              </c:numCache>
            </c:numRef>
          </c:val>
          <c:extLst>
            <c:ext xmlns:c16="http://schemas.microsoft.com/office/drawing/2014/chart" uri="{C3380CC4-5D6E-409C-BE32-E72D297353CC}">
              <c16:uniqueId val="{00000001-C111-4F06-92FE-30003D196F88}"/>
            </c:ext>
          </c:extLst>
        </c:ser>
        <c:dLbls>
          <c:showLegendKey val="0"/>
          <c:showVal val="0"/>
          <c:showCatName val="0"/>
          <c:showSerName val="0"/>
          <c:showPercent val="0"/>
          <c:showBubbleSize val="0"/>
        </c:dLbls>
        <c:axId val="345760896"/>
        <c:axId val="345762432"/>
      </c:radarChart>
      <c:catAx>
        <c:axId val="345760896"/>
        <c:scaling>
          <c:orientation val="minMax"/>
        </c:scaling>
        <c:delete val="0"/>
        <c:axPos val="b"/>
        <c:majorGridlines/>
        <c:numFmt formatCode="General" sourceLinked="1"/>
        <c:majorTickMark val="out"/>
        <c:minorTickMark val="none"/>
        <c:tickLblPos val="nextTo"/>
        <c:crossAx val="345762432"/>
        <c:crosses val="autoZero"/>
        <c:auto val="0"/>
        <c:lblAlgn val="ctr"/>
        <c:lblOffset val="100"/>
        <c:noMultiLvlLbl val="0"/>
      </c:catAx>
      <c:valAx>
        <c:axId val="345762432"/>
        <c:scaling>
          <c:orientation val="minMax"/>
        </c:scaling>
        <c:delete val="0"/>
        <c:axPos val="l"/>
        <c:majorGridlines/>
        <c:numFmt formatCode="#,##0_ " sourceLinked="1"/>
        <c:majorTickMark val="cross"/>
        <c:minorTickMark val="none"/>
        <c:tickLblPos val="nextTo"/>
        <c:txPr>
          <a:bodyPr/>
          <a:lstStyle/>
          <a:p>
            <a:pPr>
              <a:defRPr sz="800" baseline="0"/>
            </a:pPr>
            <a:endParaRPr lang="ja-JP"/>
          </a:p>
        </c:txPr>
        <c:crossAx val="345760896"/>
        <c:crosses val="autoZero"/>
        <c:crossBetween val="between"/>
      </c:valAx>
    </c:plotArea>
    <c:legend>
      <c:legendPos val="r"/>
      <c:layout>
        <c:manualLayout>
          <c:xMode val="edge"/>
          <c:yMode val="edge"/>
          <c:x val="0.76973739537247199"/>
          <c:y val="0.77959523933066033"/>
          <c:w val="0.19535358163201355"/>
          <c:h val="0.16962084131375471"/>
        </c:manualLayout>
      </c:layout>
      <c:overlay val="0"/>
    </c:legend>
    <c:plotVisOnly val="1"/>
    <c:dispBlanksAs val="gap"/>
    <c:showDLblsOverMax val="0"/>
  </c:chart>
  <c:spPr>
    <a:ln>
      <a:noFill/>
    </a:ln>
  </c:spPr>
  <c:printSettings>
    <c:headerFooter/>
    <c:pageMargins b="0.75" l="0.7" r="0.7" t="0.75" header="0.3" footer="0.3"/>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自転車乗用中の月別事故死者数・負傷者数</a:t>
            </a:r>
          </a:p>
        </c:rich>
      </c:tx>
      <c:layout>
        <c:manualLayout>
          <c:xMode val="edge"/>
          <c:yMode val="edge"/>
          <c:x val="0.33084054219249992"/>
          <c:y val="4.6990342423413281E-2"/>
        </c:manualLayout>
      </c:layout>
      <c:overlay val="0"/>
      <c:spPr>
        <a:noFill/>
        <a:ln w="25400">
          <a:noFill/>
        </a:ln>
      </c:spPr>
    </c:title>
    <c:autoTitleDeleted val="0"/>
    <c:plotArea>
      <c:layout>
        <c:manualLayout>
          <c:layoutTarget val="inner"/>
          <c:xMode val="edge"/>
          <c:yMode val="edge"/>
          <c:x val="0.20610261388559306"/>
          <c:y val="0.1833520256462407"/>
          <c:w val="0.62244849530794955"/>
          <c:h val="0.5052863410523869"/>
        </c:manualLayout>
      </c:layout>
      <c:barChart>
        <c:barDir val="col"/>
        <c:grouping val="clustered"/>
        <c:varyColors val="0"/>
        <c:ser>
          <c:idx val="0"/>
          <c:order val="1"/>
          <c:spPr>
            <a:solidFill>
              <a:schemeClr val="bg1">
                <a:lumMod val="50000"/>
              </a:schemeClr>
            </a:solidFill>
            <a:ln w="12700">
              <a:solidFill>
                <a:srgbClr val="000000"/>
              </a:solidFill>
            </a:ln>
          </c:spPr>
          <c:invertIfNegative val="0"/>
          <c:val>
            <c:numRef>
              <c:f>'★３２ページ自転車（推移）'!$C$19:$N$19</c:f>
              <c:numCache>
                <c:formatCode>#,##0_);[Red]\(#,##0\)</c:formatCode>
                <c:ptCount val="12"/>
                <c:pt idx="0">
                  <c:v>246</c:v>
                </c:pt>
                <c:pt idx="1">
                  <c:v>235</c:v>
                </c:pt>
                <c:pt idx="2">
                  <c:v>327</c:v>
                </c:pt>
                <c:pt idx="3">
                  <c:v>317</c:v>
                </c:pt>
                <c:pt idx="4">
                  <c:v>317</c:v>
                </c:pt>
                <c:pt idx="5">
                  <c:v>296</c:v>
                </c:pt>
                <c:pt idx="6">
                  <c:v>282</c:v>
                </c:pt>
                <c:pt idx="7">
                  <c:v>302</c:v>
                </c:pt>
                <c:pt idx="8">
                  <c:v>291</c:v>
                </c:pt>
                <c:pt idx="9">
                  <c:v>310</c:v>
                </c:pt>
                <c:pt idx="10">
                  <c:v>321</c:v>
                </c:pt>
                <c:pt idx="11">
                  <c:v>347</c:v>
                </c:pt>
              </c:numCache>
            </c:numRef>
          </c:val>
          <c:extLst>
            <c:ext xmlns:c15="http://schemas.microsoft.com/office/drawing/2012/chart" uri="{02D57815-91ED-43cb-92C2-25804820EDAC}">
              <c15:filteredSeriesTitle>
                <c15:tx>
                  <c:strRef>
                    <c:extLst>
                      <c:ext uri="{02D57815-91ED-43cb-92C2-25804820EDAC}">
                        <c15:formulaRef>
                          <c15:sqref>'★３２ページ自転車（推移）'!#REF!</c15:sqref>
                        </c15:formulaRef>
                      </c:ext>
                    </c:extLst>
                    <c:strCache>
                      <c:ptCount val="1"/>
                      <c:pt idx="0">
                        <c:v>#REF!</c:v>
                      </c:pt>
                    </c:strCache>
                  </c:strRef>
                </c15:tx>
              </c15:filteredSeriesTitle>
            </c:ext>
            <c:ext xmlns:c16="http://schemas.microsoft.com/office/drawing/2014/chart" uri="{C3380CC4-5D6E-409C-BE32-E72D297353CC}">
              <c16:uniqueId val="{00000000-9954-4377-85B2-C88F63016D57}"/>
            </c:ext>
          </c:extLst>
        </c:ser>
        <c:dLbls>
          <c:showLegendKey val="0"/>
          <c:showVal val="0"/>
          <c:showCatName val="0"/>
          <c:showSerName val="0"/>
          <c:showPercent val="0"/>
          <c:showBubbleSize val="0"/>
        </c:dLbls>
        <c:gapWidth val="150"/>
        <c:axId val="347038464"/>
        <c:axId val="347040768"/>
      </c:barChart>
      <c:lineChart>
        <c:grouping val="standard"/>
        <c:varyColors val="0"/>
        <c:ser>
          <c:idx val="1"/>
          <c:order val="0"/>
          <c:spPr>
            <a:ln w="19050">
              <a:solidFill>
                <a:srgbClr val="002060"/>
              </a:solidFill>
            </a:ln>
          </c:spPr>
          <c:marker>
            <c:symbol val="square"/>
            <c:size val="5"/>
            <c:spPr>
              <a:solidFill>
                <a:srgbClr val="002060"/>
              </a:solidFill>
              <a:ln>
                <a:solidFill>
                  <a:srgbClr val="002060"/>
                </a:solidFill>
              </a:ln>
            </c:spPr>
          </c:marker>
          <c:val>
            <c:numRef>
              <c:f>'★３２ページ自転車（推移）'!$C$18:$N$18</c:f>
              <c:numCache>
                <c:formatCode>#,##0_);[Red]\(#,##0\)</c:formatCode>
                <c:ptCount val="12"/>
                <c:pt idx="0">
                  <c:v>0</c:v>
                </c:pt>
                <c:pt idx="1">
                  <c:v>0</c:v>
                </c:pt>
                <c:pt idx="2">
                  <c:v>1</c:v>
                </c:pt>
                <c:pt idx="3">
                  <c:v>0</c:v>
                </c:pt>
                <c:pt idx="4">
                  <c:v>0</c:v>
                </c:pt>
                <c:pt idx="5">
                  <c:v>3</c:v>
                </c:pt>
                <c:pt idx="6">
                  <c:v>0</c:v>
                </c:pt>
                <c:pt idx="7">
                  <c:v>1</c:v>
                </c:pt>
                <c:pt idx="8">
                  <c:v>2</c:v>
                </c:pt>
                <c:pt idx="9">
                  <c:v>1</c:v>
                </c:pt>
                <c:pt idx="10">
                  <c:v>0</c:v>
                </c:pt>
                <c:pt idx="11">
                  <c:v>0</c:v>
                </c:pt>
              </c:numCache>
            </c:numRef>
          </c:val>
          <c:smooth val="0"/>
          <c:extLst>
            <c:ext xmlns:c15="http://schemas.microsoft.com/office/drawing/2012/chart" uri="{02D57815-91ED-43cb-92C2-25804820EDAC}">
              <c15:filteredSeriesTitle>
                <c15:tx>
                  <c:strRef>
                    <c:extLst>
                      <c:ext uri="{02D57815-91ED-43cb-92C2-25804820EDAC}">
                        <c15:formulaRef>
                          <c15:sqref>'★３２ページ自転車（推移）'!#REF!</c15:sqref>
                        </c15:formulaRef>
                      </c:ext>
                    </c:extLst>
                    <c:strCache>
                      <c:ptCount val="1"/>
                      <c:pt idx="0">
                        <c:v>#REF!</c:v>
                      </c:pt>
                    </c:strCache>
                  </c:strRef>
                </c15:tx>
              </c15:filteredSeriesTitle>
            </c:ext>
            <c:ext xmlns:c16="http://schemas.microsoft.com/office/drawing/2014/chart" uri="{C3380CC4-5D6E-409C-BE32-E72D297353CC}">
              <c16:uniqueId val="{00000001-9954-4377-85B2-C88F63016D57}"/>
            </c:ext>
          </c:extLst>
        </c:ser>
        <c:dLbls>
          <c:showLegendKey val="0"/>
          <c:showVal val="0"/>
          <c:showCatName val="0"/>
          <c:showSerName val="0"/>
          <c:showPercent val="0"/>
          <c:showBubbleSize val="0"/>
        </c:dLbls>
        <c:marker val="1"/>
        <c:smooth val="0"/>
        <c:axId val="347059328"/>
        <c:axId val="347060864"/>
      </c:lineChart>
      <c:catAx>
        <c:axId val="3470384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9603235896882752"/>
              <c:y val="0.7726441390398155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7040768"/>
        <c:crosses val="autoZero"/>
        <c:auto val="0"/>
        <c:lblAlgn val="ctr"/>
        <c:lblOffset val="100"/>
        <c:tickLblSkip val="1"/>
        <c:tickMarkSkip val="1"/>
        <c:noMultiLvlLbl val="0"/>
      </c:catAx>
      <c:valAx>
        <c:axId val="34704076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7.0096717362384499E-3"/>
              <c:y val="0.424184559955835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7038464"/>
        <c:crosses val="autoZero"/>
        <c:crossBetween val="between"/>
      </c:valAx>
      <c:catAx>
        <c:axId val="347059328"/>
        <c:scaling>
          <c:orientation val="minMax"/>
        </c:scaling>
        <c:delete val="1"/>
        <c:axPos val="b"/>
        <c:majorTickMark val="out"/>
        <c:minorTickMark val="none"/>
        <c:tickLblPos val="nextTo"/>
        <c:crossAx val="347060864"/>
        <c:crosses val="autoZero"/>
        <c:auto val="1"/>
        <c:lblAlgn val="ctr"/>
        <c:lblOffset val="100"/>
        <c:noMultiLvlLbl val="0"/>
      </c:catAx>
      <c:valAx>
        <c:axId val="347060864"/>
        <c:scaling>
          <c:orientation val="minMax"/>
        </c:scaling>
        <c:delete val="0"/>
        <c:axPos val="r"/>
        <c:numFmt formatCode="#,##0_);[Red]\(#,##0\)" sourceLinked="1"/>
        <c:majorTickMark val="out"/>
        <c:minorTickMark val="none"/>
        <c:tickLblPos val="nextTo"/>
        <c:crossAx val="347059328"/>
        <c:crosses val="max"/>
        <c:crossBetween val="between"/>
      </c:valAx>
      <c:spPr>
        <a:solidFill>
          <a:srgbClr val="FFFFFF"/>
        </a:solidFill>
        <a:ln w="12700">
          <a:solidFill>
            <a:srgbClr val="808080"/>
          </a:solidFill>
          <a:prstDash val="solid"/>
        </a:ln>
      </c:spPr>
    </c:plotArea>
    <c:legend>
      <c:legendPos val="r"/>
      <c:layout>
        <c:manualLayout>
          <c:xMode val="edge"/>
          <c:yMode val="edge"/>
          <c:x val="0.33476489411426302"/>
          <c:y val="0.87123727615228908"/>
          <c:w val="0.38242131377413441"/>
          <c:h val="0.1048590328422969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100">
                <a:solidFill>
                  <a:schemeClr val="tx1"/>
                </a:solidFill>
              </a:rPr>
              <a:t>自転車の月別交通事故発生件数</a:t>
            </a:r>
          </a:p>
        </c:rich>
      </c:tx>
      <c:layout>
        <c:manualLayout>
          <c:xMode val="edge"/>
          <c:yMode val="edge"/>
          <c:x val="0.37712051468119445"/>
          <c:y val="6.92640377843506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0827908891030991"/>
          <c:y val="0.20375171114896495"/>
          <c:w val="0.66517345579395415"/>
          <c:h val="0.5854751153011365"/>
        </c:manualLayout>
      </c:layout>
      <c:lineChart>
        <c:grouping val="standard"/>
        <c:varyColors val="0"/>
        <c:ser>
          <c:idx val="1"/>
          <c:order val="0"/>
          <c:spPr>
            <a:ln w="19050" cap="sq">
              <a:solidFill>
                <a:srgbClr val="002060"/>
              </a:solidFill>
              <a:miter lim="800000"/>
            </a:ln>
            <a:effectLst/>
          </c:spPr>
          <c:marker>
            <c:symbol val="square"/>
            <c:size val="5"/>
            <c:spPr>
              <a:solidFill>
                <a:srgbClr val="002060"/>
              </a:solidFill>
              <a:ln w="9525">
                <a:solidFill>
                  <a:srgbClr val="002060">
                    <a:alpha val="96000"/>
                  </a:srgbClr>
                </a:solidFill>
              </a:ln>
              <a:effectLst/>
            </c:spPr>
          </c:marker>
          <c:val>
            <c:numRef>
              <c:f>'★３２ページ自転車（推移）'!$C$17:$N$17</c:f>
              <c:numCache>
                <c:formatCode>#,##0_);[Red]\(#,##0\)</c:formatCode>
                <c:ptCount val="12"/>
                <c:pt idx="0">
                  <c:v>237</c:v>
                </c:pt>
                <c:pt idx="1">
                  <c:v>224</c:v>
                </c:pt>
                <c:pt idx="2">
                  <c:v>317</c:v>
                </c:pt>
                <c:pt idx="3">
                  <c:v>310</c:v>
                </c:pt>
                <c:pt idx="4">
                  <c:v>305</c:v>
                </c:pt>
                <c:pt idx="5">
                  <c:v>286</c:v>
                </c:pt>
                <c:pt idx="6">
                  <c:v>270</c:v>
                </c:pt>
                <c:pt idx="7">
                  <c:v>290</c:v>
                </c:pt>
                <c:pt idx="8">
                  <c:v>282</c:v>
                </c:pt>
                <c:pt idx="9">
                  <c:v>299</c:v>
                </c:pt>
                <c:pt idx="10">
                  <c:v>303</c:v>
                </c:pt>
                <c:pt idx="11">
                  <c:v>330</c:v>
                </c:pt>
              </c:numCache>
            </c:numRef>
          </c:val>
          <c:smooth val="0"/>
          <c:extLst>
            <c:ext xmlns:c16="http://schemas.microsoft.com/office/drawing/2014/chart" uri="{C3380CC4-5D6E-409C-BE32-E72D297353CC}">
              <c16:uniqueId val="{00000000-5F5B-40AF-82F8-1467C5094309}"/>
            </c:ext>
          </c:extLst>
        </c:ser>
        <c:dLbls>
          <c:showLegendKey val="0"/>
          <c:showVal val="0"/>
          <c:showCatName val="0"/>
          <c:showSerName val="0"/>
          <c:showPercent val="0"/>
          <c:showBubbleSize val="0"/>
        </c:dLbls>
        <c:marker val="1"/>
        <c:smooth val="0"/>
        <c:axId val="347130496"/>
        <c:axId val="347136768"/>
      </c:lineChart>
      <c:catAx>
        <c:axId val="347130496"/>
        <c:scaling>
          <c:orientation val="minMax"/>
        </c:scaling>
        <c:delete val="0"/>
        <c:axPos val="b"/>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j-ea"/>
                <a:ea typeface="+mj-ea"/>
                <a:cs typeface="+mn-cs"/>
              </a:defRPr>
            </a:pPr>
            <a:endParaRPr lang="ja-JP"/>
          </a:p>
        </c:txPr>
        <c:crossAx val="347136768"/>
        <c:crosses val="autoZero"/>
        <c:auto val="1"/>
        <c:lblAlgn val="ctr"/>
        <c:lblOffset val="100"/>
        <c:noMultiLvlLbl val="0"/>
      </c:catAx>
      <c:valAx>
        <c:axId val="347136768"/>
        <c:scaling>
          <c:orientation val="minMax"/>
        </c:scaling>
        <c:delete val="0"/>
        <c:axPos val="l"/>
        <c:majorGridlines>
          <c:spPr>
            <a:ln w="9525" cap="flat" cmpd="sng" algn="ctr">
              <a:solidFill>
                <a:schemeClr val="tx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j-ea"/>
                <a:ea typeface="+mj-ea"/>
                <a:cs typeface="+mn-cs"/>
              </a:defRPr>
            </a:pPr>
            <a:endParaRPr lang="ja-JP"/>
          </a:p>
        </c:txPr>
        <c:crossAx val="347130496"/>
        <c:crosses val="autoZero"/>
        <c:crossBetween val="between"/>
      </c:valAx>
      <c:spPr>
        <a:noFill/>
        <a:ln>
          <a:solidFill>
            <a:srgbClr val="000000"/>
          </a:solid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52810890679771E-2"/>
          <c:y val="0.14385662587361228"/>
          <c:w val="0.68174667324153881"/>
          <c:h val="0.76806693498697776"/>
        </c:manualLayout>
      </c:layout>
      <c:lineChart>
        <c:grouping val="standard"/>
        <c:varyColors val="0"/>
        <c:ser>
          <c:idx val="1"/>
          <c:order val="1"/>
          <c:tx>
            <c:strRef>
              <c:f>★３３ページ自転車対自転車!$A$4</c:f>
              <c:strCache>
                <c:ptCount val="1"/>
                <c:pt idx="0">
                  <c:v>自転車対自転車</c:v>
                </c:pt>
              </c:strCache>
            </c:strRef>
          </c:tx>
          <c:spPr>
            <a:ln w="28575" cap="rnd">
              <a:solidFill>
                <a:srgbClr val="FF0000"/>
              </a:solidFill>
              <a:round/>
            </a:ln>
            <a:effectLst/>
          </c:spPr>
          <c:marker>
            <c:symbol val="none"/>
          </c:marker>
          <c:cat>
            <c:strRef>
              <c:f>★３３ページ自転車対自転車!$A$7:$A$24</c:f>
              <c:strCache>
                <c:ptCount val="18"/>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R元</c:v>
                </c:pt>
                <c:pt idx="15">
                  <c:v>R２</c:v>
                </c:pt>
                <c:pt idx="16">
                  <c:v>R３</c:v>
                </c:pt>
                <c:pt idx="17">
                  <c:v>R4</c:v>
                </c:pt>
              </c:strCache>
            </c:strRef>
          </c:cat>
          <c:val>
            <c:numRef>
              <c:f>★３３ページ自転車対自転車!$C$7:$C$24</c:f>
              <c:numCache>
                <c:formatCode>#,##0_ </c:formatCode>
                <c:ptCount val="18"/>
                <c:pt idx="0">
                  <c:v>128</c:v>
                </c:pt>
                <c:pt idx="1">
                  <c:v>151</c:v>
                </c:pt>
                <c:pt idx="2">
                  <c:v>179</c:v>
                </c:pt>
                <c:pt idx="3">
                  <c:v>215</c:v>
                </c:pt>
                <c:pt idx="4">
                  <c:v>235</c:v>
                </c:pt>
                <c:pt idx="5">
                  <c:v>249</c:v>
                </c:pt>
                <c:pt idx="6">
                  <c:v>264</c:v>
                </c:pt>
                <c:pt idx="7">
                  <c:v>248</c:v>
                </c:pt>
                <c:pt idx="8">
                  <c:v>254</c:v>
                </c:pt>
                <c:pt idx="9">
                  <c:v>261</c:v>
                </c:pt>
                <c:pt idx="10">
                  <c:v>315</c:v>
                </c:pt>
                <c:pt idx="11">
                  <c:v>319</c:v>
                </c:pt>
                <c:pt idx="12">
                  <c:v>279</c:v>
                </c:pt>
                <c:pt idx="13">
                  <c:v>365</c:v>
                </c:pt>
                <c:pt idx="14">
                  <c:v>331</c:v>
                </c:pt>
                <c:pt idx="15">
                  <c:v>276</c:v>
                </c:pt>
                <c:pt idx="16">
                  <c:v>296</c:v>
                </c:pt>
                <c:pt idx="17">
                  <c:v>302</c:v>
                </c:pt>
              </c:numCache>
            </c:numRef>
          </c:val>
          <c:smooth val="0"/>
          <c:extLst>
            <c:ext xmlns:c16="http://schemas.microsoft.com/office/drawing/2014/chart" uri="{C3380CC4-5D6E-409C-BE32-E72D297353CC}">
              <c16:uniqueId val="{00000000-0931-4F30-880B-79EC7AA6B5D9}"/>
            </c:ext>
          </c:extLst>
        </c:ser>
        <c:ser>
          <c:idx val="2"/>
          <c:order val="2"/>
          <c:tx>
            <c:strRef>
              <c:f>★３３ページ自転車対自転車!$H$4</c:f>
              <c:strCache>
                <c:ptCount val="1"/>
                <c:pt idx="0">
                  <c:v>自転車対歩行者</c:v>
                </c:pt>
              </c:strCache>
            </c:strRef>
          </c:tx>
          <c:spPr>
            <a:ln w="28575" cap="rnd">
              <a:solidFill>
                <a:schemeClr val="tx2"/>
              </a:solidFill>
              <a:round/>
            </a:ln>
            <a:effectLst/>
          </c:spPr>
          <c:marker>
            <c:symbol val="none"/>
          </c:marker>
          <c:cat>
            <c:strRef>
              <c:f>★３３ページ自転車対自転車!$A$7:$A$24</c:f>
              <c:strCache>
                <c:ptCount val="18"/>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R元</c:v>
                </c:pt>
                <c:pt idx="15">
                  <c:v>R２</c:v>
                </c:pt>
                <c:pt idx="16">
                  <c:v>R３</c:v>
                </c:pt>
                <c:pt idx="17">
                  <c:v>R4</c:v>
                </c:pt>
              </c:strCache>
            </c:strRef>
          </c:cat>
          <c:val>
            <c:numRef>
              <c:f>★３３ページ自転車対自転車!$J$7:$J$24</c:f>
              <c:numCache>
                <c:formatCode>#,##0_ </c:formatCode>
                <c:ptCount val="18"/>
                <c:pt idx="0">
                  <c:v>59</c:v>
                </c:pt>
                <c:pt idx="1">
                  <c:v>81</c:v>
                </c:pt>
                <c:pt idx="2">
                  <c:v>101</c:v>
                </c:pt>
                <c:pt idx="3">
                  <c:v>102</c:v>
                </c:pt>
                <c:pt idx="4">
                  <c:v>136</c:v>
                </c:pt>
                <c:pt idx="5">
                  <c:v>121</c:v>
                </c:pt>
                <c:pt idx="6">
                  <c:v>134</c:v>
                </c:pt>
                <c:pt idx="7">
                  <c:v>147</c:v>
                </c:pt>
                <c:pt idx="8">
                  <c:v>125</c:v>
                </c:pt>
                <c:pt idx="9">
                  <c:v>155</c:v>
                </c:pt>
                <c:pt idx="10">
                  <c:v>159</c:v>
                </c:pt>
                <c:pt idx="11">
                  <c:v>151</c:v>
                </c:pt>
                <c:pt idx="12">
                  <c:v>169</c:v>
                </c:pt>
                <c:pt idx="13">
                  <c:v>212</c:v>
                </c:pt>
                <c:pt idx="14">
                  <c:v>203</c:v>
                </c:pt>
                <c:pt idx="15">
                  <c:v>180</c:v>
                </c:pt>
                <c:pt idx="16">
                  <c:v>165</c:v>
                </c:pt>
                <c:pt idx="17">
                  <c:v>188</c:v>
                </c:pt>
              </c:numCache>
            </c:numRef>
          </c:val>
          <c:smooth val="0"/>
          <c:extLst>
            <c:ext xmlns:c16="http://schemas.microsoft.com/office/drawing/2014/chart" uri="{C3380CC4-5D6E-409C-BE32-E72D297353CC}">
              <c16:uniqueId val="{00000001-0931-4F30-880B-79EC7AA6B5D9}"/>
            </c:ext>
          </c:extLst>
        </c:ser>
        <c:dLbls>
          <c:showLegendKey val="0"/>
          <c:showVal val="0"/>
          <c:showCatName val="0"/>
          <c:showSerName val="0"/>
          <c:showPercent val="0"/>
          <c:showBubbleSize val="0"/>
        </c:dLbls>
        <c:smooth val="0"/>
        <c:axId val="415263160"/>
        <c:axId val="415261848"/>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strRef>
                    <c:extLst>
                      <c:ext uri="{02D57815-91ED-43cb-92C2-25804820EDAC}">
                        <c15:formulaRef>
                          <c15:sqref>★３３ページ自転車対自転車!$A$7:$A$24</c15:sqref>
                        </c15:formulaRef>
                      </c:ext>
                    </c:extLst>
                    <c:strCache>
                      <c:ptCount val="18"/>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R元</c:v>
                      </c:pt>
                      <c:pt idx="15">
                        <c:v>R２</c:v>
                      </c:pt>
                      <c:pt idx="16">
                        <c:v>R３</c:v>
                      </c:pt>
                      <c:pt idx="17">
                        <c:v>R4</c:v>
                      </c:pt>
                    </c:strCache>
                  </c:strRef>
                </c:cat>
                <c:val>
                  <c:numRef>
                    <c:extLst>
                      <c:ext uri="{02D57815-91ED-43cb-92C2-25804820EDAC}">
                        <c15:formulaRef>
                          <c15:sqref>★３３ページ自転車対自転車!$B$7:$B$23</c15:sqref>
                        </c15:formulaRef>
                      </c:ext>
                    </c:extLst>
                    <c:numCache>
                      <c:formatCode>General</c:formatCode>
                      <c:ptCount val="17"/>
                    </c:numCache>
                  </c:numRef>
                </c:val>
                <c:smooth val="0"/>
                <c:extLst>
                  <c:ext xmlns:c16="http://schemas.microsoft.com/office/drawing/2014/chart" uri="{C3380CC4-5D6E-409C-BE32-E72D297353CC}">
                    <c16:uniqueId val="{00000002-0931-4F30-880B-79EC7AA6B5D9}"/>
                  </c:ext>
                </c:extLst>
              </c15:ser>
            </c15:filteredLineSeries>
          </c:ext>
        </c:extLst>
      </c:lineChart>
      <c:catAx>
        <c:axId val="4152631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15261848"/>
        <c:crosses val="autoZero"/>
        <c:auto val="1"/>
        <c:lblAlgn val="ctr"/>
        <c:lblOffset val="100"/>
        <c:noMultiLvlLbl val="0"/>
      </c:catAx>
      <c:valAx>
        <c:axId val="415261848"/>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15263160"/>
        <c:crosses val="autoZero"/>
        <c:crossBetween val="between"/>
      </c:valAx>
      <c:spPr>
        <a:noFill/>
        <a:ln>
          <a:solidFill>
            <a:schemeClr val="tx1"/>
          </a:solidFill>
        </a:ln>
        <a:effectLst/>
      </c:spPr>
    </c:plotArea>
    <c:legend>
      <c:legendPos val="b"/>
      <c:layout>
        <c:manualLayout>
          <c:xMode val="edge"/>
          <c:yMode val="edge"/>
          <c:x val="0.76307944902258151"/>
          <c:y val="0.22348632766632984"/>
          <c:w val="0.22441797773101399"/>
          <c:h val="0.268494526977090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v>件数</c:v>
          </c:tx>
          <c:spPr>
            <a:ln cmpd="dbl">
              <a:solidFill>
                <a:schemeClr val="tx1"/>
              </a:solidFill>
            </a:ln>
          </c:spPr>
          <c:marker>
            <c:symbol val="none"/>
          </c:marker>
          <c:cat>
            <c:numRef>
              <c:f>'★３６ぺージ自転車(時間別･類型）'!$B$7:$B$30</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'★３６ぺージ自転車(時間別･類型）'!$C$7:$C$30</c:f>
              <c:numCache>
                <c:formatCode>#,##0_);[Red]\(#,##0\)</c:formatCode>
                <c:ptCount val="24"/>
                <c:pt idx="0">
                  <c:v>36</c:v>
                </c:pt>
                <c:pt idx="1">
                  <c:v>25</c:v>
                </c:pt>
                <c:pt idx="2">
                  <c:v>14</c:v>
                </c:pt>
                <c:pt idx="3">
                  <c:v>19</c:v>
                </c:pt>
                <c:pt idx="4">
                  <c:v>7</c:v>
                </c:pt>
                <c:pt idx="5">
                  <c:v>21</c:v>
                </c:pt>
                <c:pt idx="6">
                  <c:v>55</c:v>
                </c:pt>
                <c:pt idx="7">
                  <c:v>171</c:v>
                </c:pt>
                <c:pt idx="8">
                  <c:v>335</c:v>
                </c:pt>
                <c:pt idx="9">
                  <c:v>304</c:v>
                </c:pt>
                <c:pt idx="10">
                  <c:v>243</c:v>
                </c:pt>
                <c:pt idx="11">
                  <c:v>251</c:v>
                </c:pt>
                <c:pt idx="12">
                  <c:v>211</c:v>
                </c:pt>
                <c:pt idx="13">
                  <c:v>203</c:v>
                </c:pt>
                <c:pt idx="14">
                  <c:v>191</c:v>
                </c:pt>
                <c:pt idx="15">
                  <c:v>209</c:v>
                </c:pt>
                <c:pt idx="16">
                  <c:v>218</c:v>
                </c:pt>
                <c:pt idx="17">
                  <c:v>263</c:v>
                </c:pt>
                <c:pt idx="18">
                  <c:v>239</c:v>
                </c:pt>
                <c:pt idx="19">
                  <c:v>155</c:v>
                </c:pt>
                <c:pt idx="20">
                  <c:v>103</c:v>
                </c:pt>
                <c:pt idx="21">
                  <c:v>76</c:v>
                </c:pt>
                <c:pt idx="22">
                  <c:v>61</c:v>
                </c:pt>
                <c:pt idx="23">
                  <c:v>43</c:v>
                </c:pt>
              </c:numCache>
            </c:numRef>
          </c:val>
          <c:extLst>
            <c:ext xmlns:c16="http://schemas.microsoft.com/office/drawing/2014/chart" uri="{C3380CC4-5D6E-409C-BE32-E72D297353CC}">
              <c16:uniqueId val="{00000000-F46B-4CF7-AFFA-3364FFEF8BEC}"/>
            </c:ext>
          </c:extLst>
        </c:ser>
        <c:ser>
          <c:idx val="1"/>
          <c:order val="1"/>
          <c:tx>
            <c:v>負傷者数</c:v>
          </c:tx>
          <c:spPr>
            <a:ln w="19050">
              <a:solidFill>
                <a:srgbClr val="FF0000"/>
              </a:solidFill>
            </a:ln>
          </c:spPr>
          <c:marker>
            <c:symbol val="none"/>
          </c:marker>
          <c:cat>
            <c:numRef>
              <c:f>'★３６ぺージ自転車(時間別･類型）'!$B$7:$B$30</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'★３６ぺージ自転車(時間別･類型）'!$K$7:$K$30</c:f>
              <c:numCache>
                <c:formatCode>#,##0_);[Red]\(#,##0\)</c:formatCode>
                <c:ptCount val="24"/>
                <c:pt idx="0">
                  <c:v>37</c:v>
                </c:pt>
                <c:pt idx="1">
                  <c:v>26</c:v>
                </c:pt>
                <c:pt idx="2">
                  <c:v>15</c:v>
                </c:pt>
                <c:pt idx="3">
                  <c:v>20</c:v>
                </c:pt>
                <c:pt idx="4">
                  <c:v>8</c:v>
                </c:pt>
                <c:pt idx="5">
                  <c:v>20</c:v>
                </c:pt>
                <c:pt idx="6">
                  <c:v>56</c:v>
                </c:pt>
                <c:pt idx="7">
                  <c:v>178</c:v>
                </c:pt>
                <c:pt idx="8">
                  <c:v>357</c:v>
                </c:pt>
                <c:pt idx="9">
                  <c:v>320</c:v>
                </c:pt>
                <c:pt idx="10">
                  <c:v>251</c:v>
                </c:pt>
                <c:pt idx="11">
                  <c:v>255</c:v>
                </c:pt>
                <c:pt idx="12">
                  <c:v>216</c:v>
                </c:pt>
                <c:pt idx="13">
                  <c:v>209</c:v>
                </c:pt>
                <c:pt idx="14">
                  <c:v>199</c:v>
                </c:pt>
                <c:pt idx="15">
                  <c:v>219</c:v>
                </c:pt>
                <c:pt idx="16">
                  <c:v>224</c:v>
                </c:pt>
                <c:pt idx="17">
                  <c:v>279</c:v>
                </c:pt>
                <c:pt idx="18">
                  <c:v>242</c:v>
                </c:pt>
                <c:pt idx="19">
                  <c:v>157</c:v>
                </c:pt>
                <c:pt idx="20">
                  <c:v>109</c:v>
                </c:pt>
                <c:pt idx="21">
                  <c:v>81</c:v>
                </c:pt>
                <c:pt idx="22">
                  <c:v>69</c:v>
                </c:pt>
                <c:pt idx="23">
                  <c:v>44</c:v>
                </c:pt>
              </c:numCache>
            </c:numRef>
          </c:val>
          <c:extLst>
            <c:ext xmlns:c16="http://schemas.microsoft.com/office/drawing/2014/chart" uri="{C3380CC4-5D6E-409C-BE32-E72D297353CC}">
              <c16:uniqueId val="{00000001-F46B-4CF7-AFFA-3364FFEF8BEC}"/>
            </c:ext>
          </c:extLst>
        </c:ser>
        <c:dLbls>
          <c:showLegendKey val="0"/>
          <c:showVal val="0"/>
          <c:showCatName val="0"/>
          <c:showSerName val="0"/>
          <c:showPercent val="0"/>
          <c:showBubbleSize val="0"/>
        </c:dLbls>
        <c:axId val="344702976"/>
        <c:axId val="344704512"/>
      </c:radarChart>
      <c:catAx>
        <c:axId val="344702976"/>
        <c:scaling>
          <c:orientation val="minMax"/>
        </c:scaling>
        <c:delete val="0"/>
        <c:axPos val="b"/>
        <c:majorGridlines/>
        <c:numFmt formatCode="General" sourceLinked="1"/>
        <c:majorTickMark val="out"/>
        <c:minorTickMark val="none"/>
        <c:tickLblPos val="nextTo"/>
        <c:crossAx val="344704512"/>
        <c:crosses val="autoZero"/>
        <c:auto val="0"/>
        <c:lblAlgn val="ctr"/>
        <c:lblOffset val="100"/>
        <c:noMultiLvlLbl val="0"/>
      </c:catAx>
      <c:valAx>
        <c:axId val="344704512"/>
        <c:scaling>
          <c:orientation val="minMax"/>
        </c:scaling>
        <c:delete val="0"/>
        <c:axPos val="l"/>
        <c:majorGridlines/>
        <c:numFmt formatCode="#,##0_);[Red]\(#,##0\)" sourceLinked="1"/>
        <c:majorTickMark val="cross"/>
        <c:minorTickMark val="none"/>
        <c:tickLblPos val="nextTo"/>
        <c:txPr>
          <a:bodyPr/>
          <a:lstStyle/>
          <a:p>
            <a:pPr>
              <a:defRPr sz="800" baseline="0"/>
            </a:pPr>
            <a:endParaRPr lang="ja-JP"/>
          </a:p>
        </c:txPr>
        <c:crossAx val="344702976"/>
        <c:crosses val="autoZero"/>
        <c:crossBetween val="between"/>
      </c:valAx>
    </c:plotArea>
    <c:legend>
      <c:legendPos val="r"/>
      <c:layout>
        <c:manualLayout>
          <c:xMode val="edge"/>
          <c:yMode val="edge"/>
          <c:x val="0.74328498411382793"/>
          <c:y val="0.7478889750180191"/>
          <c:w val="0.21081539807524063"/>
          <c:h val="0.18631634587343249"/>
        </c:manualLayout>
      </c:layout>
      <c:overlay val="0"/>
    </c:legend>
    <c:plotVisOnly val="1"/>
    <c:dispBlanksAs val="gap"/>
    <c:showDLblsOverMax val="0"/>
  </c:chart>
  <c:spPr>
    <a:ln>
      <a:noFill/>
    </a:ln>
  </c:spPr>
  <c:printSettings>
    <c:headerFooter/>
    <c:pageMargins b="0.75" l="0.7" r="0.7" t="0.75" header="0.3" footer="0.3"/>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自動二輪車の月別交通事故発生件数</a:t>
            </a:r>
          </a:p>
        </c:rich>
      </c:tx>
      <c:layout>
        <c:manualLayout>
          <c:xMode val="edge"/>
          <c:yMode val="edge"/>
          <c:x val="0.33418293058195314"/>
          <c:y val="8.1603895898554851E-2"/>
        </c:manualLayout>
      </c:layout>
      <c:overlay val="0"/>
      <c:spPr>
        <a:noFill/>
        <a:ln w="25400">
          <a:noFill/>
        </a:ln>
      </c:spPr>
    </c:title>
    <c:autoTitleDeleted val="0"/>
    <c:plotArea>
      <c:layout>
        <c:manualLayout>
          <c:layoutTarget val="inner"/>
          <c:xMode val="edge"/>
          <c:yMode val="edge"/>
          <c:x val="0.16612092473141832"/>
          <c:y val="0.26479799838104351"/>
          <c:w val="0.65043830210878817"/>
          <c:h val="0.48130950941312567"/>
        </c:manualLayout>
      </c:layout>
      <c:lineChart>
        <c:grouping val="standard"/>
        <c:varyColors val="0"/>
        <c:ser>
          <c:idx val="0"/>
          <c:order val="0"/>
          <c:tx>
            <c:v>件数</c:v>
          </c:tx>
          <c:spPr>
            <a:ln w="12700">
              <a:solidFill>
                <a:srgbClr val="000080"/>
              </a:solidFill>
              <a:prstDash val="solid"/>
            </a:ln>
          </c:spPr>
          <c:marker>
            <c:symbol val="diamond"/>
            <c:size val="5"/>
            <c:spPr>
              <a:solidFill>
                <a:srgbClr val="000080"/>
              </a:solidFill>
              <a:ln>
                <a:solidFill>
                  <a:srgbClr val="000080"/>
                </a:solidFill>
                <a:prstDash val="solid"/>
              </a:ln>
            </c:spPr>
          </c:marker>
          <c:val>
            <c:numRef>
              <c:f>'★37ページ自動二輪(推移）'!$C$18:$N$18</c:f>
              <c:numCache>
                <c:formatCode>#,##0_ ;[Red]\-#,##0\ </c:formatCode>
                <c:ptCount val="12"/>
                <c:pt idx="0">
                  <c:v>78</c:v>
                </c:pt>
                <c:pt idx="1">
                  <c:v>70</c:v>
                </c:pt>
                <c:pt idx="2">
                  <c:v>90</c:v>
                </c:pt>
                <c:pt idx="3">
                  <c:v>58</c:v>
                </c:pt>
                <c:pt idx="4">
                  <c:v>88</c:v>
                </c:pt>
                <c:pt idx="5">
                  <c:v>62</c:v>
                </c:pt>
                <c:pt idx="6">
                  <c:v>72</c:v>
                </c:pt>
                <c:pt idx="7">
                  <c:v>66</c:v>
                </c:pt>
                <c:pt idx="8">
                  <c:v>66</c:v>
                </c:pt>
                <c:pt idx="9">
                  <c:v>84</c:v>
                </c:pt>
                <c:pt idx="10">
                  <c:v>103</c:v>
                </c:pt>
                <c:pt idx="11">
                  <c:v>101</c:v>
                </c:pt>
              </c:numCache>
            </c:numRef>
          </c:val>
          <c:smooth val="0"/>
          <c:extLst>
            <c:ext xmlns:c16="http://schemas.microsoft.com/office/drawing/2014/chart" uri="{C3380CC4-5D6E-409C-BE32-E72D297353CC}">
              <c16:uniqueId val="{00000000-881D-407D-94AE-4367DBC1E115}"/>
            </c:ext>
          </c:extLst>
        </c:ser>
        <c:dLbls>
          <c:showLegendKey val="0"/>
          <c:showVal val="0"/>
          <c:showCatName val="0"/>
          <c:showSerName val="0"/>
          <c:showPercent val="0"/>
          <c:showBubbleSize val="0"/>
        </c:dLbls>
        <c:marker val="1"/>
        <c:smooth val="0"/>
        <c:axId val="501267680"/>
        <c:axId val="1"/>
      </c:lineChart>
      <c:catAx>
        <c:axId val="50126768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月</a:t>
                </a:r>
              </a:p>
            </c:rich>
          </c:tx>
          <c:layout>
            <c:manualLayout>
              <c:xMode val="edge"/>
              <c:yMode val="edge"/>
              <c:x val="0.49031029052402936"/>
              <c:y val="0.8457966248194879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850" b="0" i="0" u="none" strike="noStrike" baseline="0">
                    <a:solidFill>
                      <a:srgbClr val="000000"/>
                    </a:solidFill>
                    <a:latin typeface="ＭＳ Ｐゴシック"/>
                    <a:ea typeface="ＭＳ Ｐゴシック"/>
                    <a:cs typeface="ＭＳ Ｐゴシック"/>
                  </a:defRPr>
                </a:pPr>
                <a:r>
                  <a:rPr lang="ja-JP" altLang="en-US" sz="1100" baseline="0"/>
                  <a:t>件数</a:t>
                </a:r>
                <a:r>
                  <a:rPr lang="ja-JP" altLang="en-US" sz="1100"/>
                  <a:t>（件）</a:t>
                </a:r>
              </a:p>
            </c:rich>
          </c:tx>
          <c:layout>
            <c:manualLayout>
              <c:xMode val="edge"/>
              <c:yMode val="edge"/>
              <c:x val="1.0378785410444383E-2"/>
              <c:y val="0.43613825380261201"/>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5012676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自動二輪車の月別交通事故死者数・負傷者数</a:t>
            </a:r>
          </a:p>
        </c:rich>
      </c:tx>
      <c:layout>
        <c:manualLayout>
          <c:xMode val="edge"/>
          <c:yMode val="edge"/>
          <c:x val="0.30628268151563925"/>
          <c:y val="6.997623328579991E-2"/>
        </c:manualLayout>
      </c:layout>
      <c:overlay val="0"/>
      <c:spPr>
        <a:noFill/>
        <a:ln w="25400">
          <a:noFill/>
        </a:ln>
      </c:spPr>
    </c:title>
    <c:autoTitleDeleted val="0"/>
    <c:plotArea>
      <c:layout>
        <c:manualLayout>
          <c:layoutTarget val="inner"/>
          <c:xMode val="edge"/>
          <c:yMode val="edge"/>
          <c:x val="0.20157074288365889"/>
          <c:y val="0.21277202191831282"/>
          <c:w val="0.63874349269877173"/>
          <c:h val="0.44352258599254041"/>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val>
            <c:numRef>
              <c:f>'★37ページ自動二輪(推移）'!$C$20:$N$20</c:f>
              <c:numCache>
                <c:formatCode>#,##0_ ;[Red]\-#,##0\ </c:formatCode>
                <c:ptCount val="12"/>
                <c:pt idx="0">
                  <c:v>86</c:v>
                </c:pt>
                <c:pt idx="1">
                  <c:v>77</c:v>
                </c:pt>
                <c:pt idx="2">
                  <c:v>95</c:v>
                </c:pt>
                <c:pt idx="3">
                  <c:v>61</c:v>
                </c:pt>
                <c:pt idx="4">
                  <c:v>94</c:v>
                </c:pt>
                <c:pt idx="5">
                  <c:v>65</c:v>
                </c:pt>
                <c:pt idx="6">
                  <c:v>74</c:v>
                </c:pt>
                <c:pt idx="7">
                  <c:v>70</c:v>
                </c:pt>
                <c:pt idx="8">
                  <c:v>75</c:v>
                </c:pt>
                <c:pt idx="9">
                  <c:v>91</c:v>
                </c:pt>
                <c:pt idx="10">
                  <c:v>109</c:v>
                </c:pt>
                <c:pt idx="11">
                  <c:v>111</c:v>
                </c:pt>
              </c:numCache>
            </c:numRef>
          </c:val>
          <c:extLst>
            <c:ext xmlns:c16="http://schemas.microsoft.com/office/drawing/2014/chart" uri="{C3380CC4-5D6E-409C-BE32-E72D297353CC}">
              <c16:uniqueId val="{00000000-7B3C-4FFD-AF3D-824D00E38952}"/>
            </c:ext>
          </c:extLst>
        </c:ser>
        <c:dLbls>
          <c:showLegendKey val="0"/>
          <c:showVal val="0"/>
          <c:showCatName val="0"/>
          <c:showSerName val="0"/>
          <c:showPercent val="0"/>
          <c:showBubbleSize val="0"/>
        </c:dLbls>
        <c:gapWidth val="150"/>
        <c:axId val="501268008"/>
        <c:axId val="1"/>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'★37ページ自動二輪(推移）'!$C$19:$N$19</c:f>
              <c:numCache>
                <c:formatCode>#,##0_ ;[Red]\-#,##0\ </c:formatCode>
                <c:ptCount val="12"/>
                <c:pt idx="0">
                  <c:v>0</c:v>
                </c:pt>
                <c:pt idx="1">
                  <c:v>0</c:v>
                </c:pt>
                <c:pt idx="2">
                  <c:v>2</c:v>
                </c:pt>
                <c:pt idx="3">
                  <c:v>1</c:v>
                </c:pt>
                <c:pt idx="4">
                  <c:v>0</c:v>
                </c:pt>
                <c:pt idx="5">
                  <c:v>2</c:v>
                </c:pt>
                <c:pt idx="6">
                  <c:v>1</c:v>
                </c:pt>
                <c:pt idx="7">
                  <c:v>1</c:v>
                </c:pt>
                <c:pt idx="8">
                  <c:v>0</c:v>
                </c:pt>
                <c:pt idx="9">
                  <c:v>1</c:v>
                </c:pt>
                <c:pt idx="10">
                  <c:v>2</c:v>
                </c:pt>
                <c:pt idx="11">
                  <c:v>0</c:v>
                </c:pt>
              </c:numCache>
            </c:numRef>
          </c:val>
          <c:smooth val="0"/>
          <c:extLst>
            <c:ext xmlns:c16="http://schemas.microsoft.com/office/drawing/2014/chart" uri="{C3380CC4-5D6E-409C-BE32-E72D297353CC}">
              <c16:uniqueId val="{00000001-7B3C-4FFD-AF3D-824D00E38952}"/>
            </c:ext>
          </c:extLst>
        </c:ser>
        <c:dLbls>
          <c:showLegendKey val="0"/>
          <c:showVal val="0"/>
          <c:showCatName val="0"/>
          <c:showSerName val="0"/>
          <c:showPercent val="0"/>
          <c:showBubbleSize val="0"/>
        </c:dLbls>
        <c:marker val="1"/>
        <c:smooth val="0"/>
        <c:axId val="3"/>
        <c:axId val="4"/>
      </c:lineChart>
      <c:catAx>
        <c:axId val="50126800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0363741825089547"/>
              <c:y val="0.7317717568768471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00"/>
                  <a:t>負傷者数（人）</a:t>
                </a:r>
              </a:p>
            </c:rich>
          </c:tx>
          <c:layout>
            <c:manualLayout>
              <c:xMode val="edge"/>
              <c:yMode val="edge"/>
              <c:x val="1.3575934223691652E-2"/>
              <c:y val="0.35703102072870813"/>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50126800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horz"/>
              <a:lstStyle/>
              <a:p>
                <a:pPr algn="ctr">
                  <a:defRPr sz="850" b="0" i="0" u="none" strike="noStrike" baseline="0">
                    <a:solidFill>
                      <a:srgbClr val="000000"/>
                    </a:solidFill>
                    <a:latin typeface="ＭＳ Ｐゴシック"/>
                    <a:ea typeface="ＭＳ Ｐゴシック"/>
                    <a:cs typeface="ＭＳ Ｐゴシック"/>
                  </a:defRPr>
                </a:pPr>
                <a:r>
                  <a:rPr lang="ja-JP" altLang="en-US" sz="1100" baseline="0"/>
                  <a:t>死者数（人）</a:t>
                </a:r>
              </a:p>
            </c:rich>
          </c:tx>
          <c:layout>
            <c:manualLayout>
              <c:xMode val="edge"/>
              <c:yMode val="edge"/>
              <c:x val="0.87565450036977421"/>
              <c:y val="0.35071238142476285"/>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solidFill>
          <a:srgbClr val="FFFFFF"/>
        </a:solidFill>
        <a:ln w="12700">
          <a:solidFill>
            <a:srgbClr val="808080"/>
          </a:solidFill>
          <a:prstDash val="solid"/>
        </a:ln>
      </c:spPr>
    </c:plotArea>
    <c:legend>
      <c:legendPos val="b"/>
      <c:layout>
        <c:manualLayout>
          <c:xMode val="edge"/>
          <c:yMode val="edge"/>
          <c:x val="0.40052362929771901"/>
          <c:y val="0.85782214231095133"/>
          <c:w val="0.2408377198706515"/>
          <c:h val="0.1090057246781159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原動機付自転車の月別交通事故発生件数</a:t>
            </a:r>
          </a:p>
        </c:rich>
      </c:tx>
      <c:layout>
        <c:manualLayout>
          <c:xMode val="edge"/>
          <c:yMode val="edge"/>
          <c:x val="0.31748482359950403"/>
          <c:y val="4.1152212088596839E-2"/>
        </c:manualLayout>
      </c:layout>
      <c:overlay val="0"/>
      <c:spPr>
        <a:noFill/>
        <a:ln w="25400">
          <a:noFill/>
        </a:ln>
      </c:spPr>
    </c:title>
    <c:autoTitleDeleted val="0"/>
    <c:plotArea>
      <c:layout>
        <c:manualLayout>
          <c:layoutTarget val="inner"/>
          <c:xMode val="edge"/>
          <c:yMode val="edge"/>
          <c:x val="0.16871178278957086"/>
          <c:y val="0.22222311528708238"/>
          <c:w val="0.70245451379657675"/>
          <c:h val="0.51852060233652564"/>
        </c:manualLayout>
      </c:layout>
      <c:lineChart>
        <c:grouping val="standard"/>
        <c:varyColors val="0"/>
        <c:ser>
          <c:idx val="0"/>
          <c:order val="0"/>
          <c:tx>
            <c:v>件数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'★４１原付(推移）'!$C$17:$N$17</c:f>
              <c:numCache>
                <c:formatCode>#,##0_ ;[Red]\-#,##0\ </c:formatCode>
                <c:ptCount val="12"/>
                <c:pt idx="0">
                  <c:v>45</c:v>
                </c:pt>
                <c:pt idx="1">
                  <c:v>27</c:v>
                </c:pt>
                <c:pt idx="2">
                  <c:v>56</c:v>
                </c:pt>
                <c:pt idx="3">
                  <c:v>25</c:v>
                </c:pt>
                <c:pt idx="4">
                  <c:v>48</c:v>
                </c:pt>
                <c:pt idx="5">
                  <c:v>48</c:v>
                </c:pt>
                <c:pt idx="6">
                  <c:v>49</c:v>
                </c:pt>
                <c:pt idx="7">
                  <c:v>49</c:v>
                </c:pt>
                <c:pt idx="8">
                  <c:v>40</c:v>
                </c:pt>
                <c:pt idx="9">
                  <c:v>53</c:v>
                </c:pt>
                <c:pt idx="10">
                  <c:v>48</c:v>
                </c:pt>
                <c:pt idx="11">
                  <c:v>63</c:v>
                </c:pt>
              </c:numCache>
            </c:numRef>
          </c:val>
          <c:smooth val="0"/>
          <c:extLst>
            <c:ext xmlns:c16="http://schemas.microsoft.com/office/drawing/2014/chart" uri="{C3380CC4-5D6E-409C-BE32-E72D297353CC}">
              <c16:uniqueId val="{00000000-4352-4AF7-BA3F-B9688149630A}"/>
            </c:ext>
          </c:extLst>
        </c:ser>
        <c:dLbls>
          <c:showLegendKey val="0"/>
          <c:showVal val="0"/>
          <c:showCatName val="0"/>
          <c:showSerName val="0"/>
          <c:showPercent val="0"/>
          <c:showBubbleSize val="0"/>
        </c:dLbls>
        <c:marker val="1"/>
        <c:smooth val="0"/>
        <c:axId val="501266368"/>
        <c:axId val="1"/>
      </c:lineChart>
      <c:catAx>
        <c:axId val="501266368"/>
        <c:scaling>
          <c:orientation val="minMax"/>
        </c:scaling>
        <c:delete val="0"/>
        <c:axPos val="b"/>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0766903370207561"/>
              <c:y val="0.8559704677203119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件数（件）</a:t>
                </a:r>
              </a:p>
            </c:rich>
          </c:tx>
          <c:layout>
            <c:manualLayout>
              <c:xMode val="edge"/>
              <c:yMode val="edge"/>
              <c:x val="2.4539877300613498E-2"/>
              <c:y val="0.44033119960724332"/>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5012663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原動機付自転車の月別交通事故死者数・負傷者数</a:t>
            </a:r>
          </a:p>
        </c:rich>
      </c:tx>
      <c:layout>
        <c:manualLayout>
          <c:xMode val="edge"/>
          <c:yMode val="edge"/>
          <c:x val="0.25152436590587468"/>
          <c:y val="4.390230146851478E-2"/>
        </c:manualLayout>
      </c:layout>
      <c:overlay val="0"/>
      <c:spPr>
        <a:noFill/>
        <a:ln w="25400">
          <a:noFill/>
        </a:ln>
      </c:spPr>
    </c:title>
    <c:autoTitleDeleted val="0"/>
    <c:plotArea>
      <c:layout>
        <c:manualLayout>
          <c:layoutTarget val="inner"/>
          <c:xMode val="edge"/>
          <c:yMode val="edge"/>
          <c:x val="0.21646341463414634"/>
          <c:y val="0.19106111736032996"/>
          <c:w val="0.62042682926829273"/>
          <c:h val="0.46185954028473714"/>
        </c:manualLayout>
      </c:layout>
      <c:barChart>
        <c:barDir val="col"/>
        <c:grouping val="clustered"/>
        <c:varyColors val="0"/>
        <c:ser>
          <c:idx val="1"/>
          <c:order val="0"/>
          <c:tx>
            <c:v>負傷者数</c:v>
          </c:tx>
          <c:spPr>
            <a:solidFill>
              <a:schemeClr val="bg1">
                <a:lumMod val="50000"/>
              </a:schemeClr>
            </a:solidFill>
            <a:ln w="12700">
              <a:solidFill>
                <a:srgbClr val="000000"/>
              </a:solidFill>
              <a:prstDash val="solid"/>
            </a:ln>
          </c:spPr>
          <c:invertIfNegative val="0"/>
          <c:val>
            <c:numRef>
              <c:f>'★４１原付(推移）'!$C$19:$N$19</c:f>
              <c:numCache>
                <c:formatCode>#,##0_ ;[Red]\-#,##0\ </c:formatCode>
                <c:ptCount val="12"/>
                <c:pt idx="0">
                  <c:v>51</c:v>
                </c:pt>
                <c:pt idx="1">
                  <c:v>29</c:v>
                </c:pt>
                <c:pt idx="2">
                  <c:v>60</c:v>
                </c:pt>
                <c:pt idx="3">
                  <c:v>31</c:v>
                </c:pt>
                <c:pt idx="4">
                  <c:v>51</c:v>
                </c:pt>
                <c:pt idx="5">
                  <c:v>57</c:v>
                </c:pt>
                <c:pt idx="6">
                  <c:v>50</c:v>
                </c:pt>
                <c:pt idx="7">
                  <c:v>50</c:v>
                </c:pt>
                <c:pt idx="8">
                  <c:v>42</c:v>
                </c:pt>
                <c:pt idx="9">
                  <c:v>56</c:v>
                </c:pt>
                <c:pt idx="10">
                  <c:v>56</c:v>
                </c:pt>
                <c:pt idx="11">
                  <c:v>68</c:v>
                </c:pt>
              </c:numCache>
            </c:numRef>
          </c:val>
          <c:extLst>
            <c:ext xmlns:c16="http://schemas.microsoft.com/office/drawing/2014/chart" uri="{C3380CC4-5D6E-409C-BE32-E72D297353CC}">
              <c16:uniqueId val="{00000000-203B-4A15-9D94-DB9EBB4C0AB9}"/>
            </c:ext>
          </c:extLst>
        </c:ser>
        <c:dLbls>
          <c:showLegendKey val="0"/>
          <c:showVal val="0"/>
          <c:showCatName val="0"/>
          <c:showSerName val="0"/>
          <c:showPercent val="0"/>
          <c:showBubbleSize val="0"/>
        </c:dLbls>
        <c:gapWidth val="150"/>
        <c:axId val="501260464"/>
        <c:axId val="1"/>
      </c:barChart>
      <c:lineChart>
        <c:grouping val="standard"/>
        <c:varyColors val="0"/>
        <c:ser>
          <c:idx val="0"/>
          <c:order val="1"/>
          <c:tx>
            <c:v>死者数</c:v>
          </c:tx>
          <c:spPr>
            <a:ln w="12700">
              <a:solidFill>
                <a:srgbClr val="002060"/>
              </a:solidFill>
              <a:prstDash val="solid"/>
            </a:ln>
          </c:spPr>
          <c:marker>
            <c:symbol val="diamond"/>
            <c:size val="5"/>
            <c:spPr>
              <a:solidFill>
                <a:srgbClr val="000080"/>
              </a:solidFill>
              <a:ln>
                <a:solidFill>
                  <a:srgbClr val="000080"/>
                </a:solidFill>
                <a:prstDash val="solid"/>
              </a:ln>
            </c:spPr>
          </c:marker>
          <c:val>
            <c:numRef>
              <c:f>'★４１原付(推移）'!$C$18:$N$18</c:f>
              <c:numCache>
                <c:formatCode>#,##0_ ;[Red]\-#,##0\ </c:formatCode>
                <c:ptCount val="12"/>
                <c:pt idx="0">
                  <c:v>0</c:v>
                </c:pt>
                <c:pt idx="1">
                  <c:v>0</c:v>
                </c:pt>
                <c:pt idx="2">
                  <c:v>0</c:v>
                </c:pt>
                <c:pt idx="3">
                  <c:v>0</c:v>
                </c:pt>
                <c:pt idx="4">
                  <c:v>2</c:v>
                </c:pt>
                <c:pt idx="5">
                  <c:v>1</c:v>
                </c:pt>
                <c:pt idx="6">
                  <c:v>0</c:v>
                </c:pt>
                <c:pt idx="7">
                  <c:v>0</c:v>
                </c:pt>
                <c:pt idx="8">
                  <c:v>0</c:v>
                </c:pt>
                <c:pt idx="9">
                  <c:v>0</c:v>
                </c:pt>
                <c:pt idx="10">
                  <c:v>1</c:v>
                </c:pt>
                <c:pt idx="11">
                  <c:v>0</c:v>
                </c:pt>
              </c:numCache>
            </c:numRef>
          </c:val>
          <c:smooth val="0"/>
          <c:extLst>
            <c:ext xmlns:c16="http://schemas.microsoft.com/office/drawing/2014/chart" uri="{C3380CC4-5D6E-409C-BE32-E72D297353CC}">
              <c16:uniqueId val="{00000001-203B-4A15-9D94-DB9EBB4C0AB9}"/>
            </c:ext>
          </c:extLst>
        </c:ser>
        <c:dLbls>
          <c:showLegendKey val="0"/>
          <c:showVal val="0"/>
          <c:showCatName val="0"/>
          <c:showSerName val="0"/>
          <c:showPercent val="0"/>
          <c:showBubbleSize val="0"/>
        </c:dLbls>
        <c:marker val="1"/>
        <c:smooth val="0"/>
        <c:axId val="3"/>
        <c:axId val="4"/>
      </c:lineChart>
      <c:catAx>
        <c:axId val="5012604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1219516915224306"/>
              <c:y val="0.7282102340513221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3.5037555789397294E-3"/>
              <c:y val="0.33170907355588813"/>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0126046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2"/>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87195116739439826"/>
              <c:y val="0.33658619118891131"/>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1"/>
      </c:valAx>
      <c:spPr>
        <a:solidFill>
          <a:srgbClr val="FFFFFF"/>
        </a:solidFill>
        <a:ln w="12700">
          <a:solidFill>
            <a:srgbClr val="808080"/>
          </a:solidFill>
          <a:prstDash val="solid"/>
        </a:ln>
      </c:spPr>
    </c:plotArea>
    <c:legend>
      <c:legendPos val="b"/>
      <c:layout>
        <c:manualLayout>
          <c:xMode val="edge"/>
          <c:yMode val="edge"/>
          <c:x val="0.37195124802948015"/>
          <c:y val="0.85366044120517992"/>
          <c:w val="0.28048784224552575"/>
          <c:h val="0.11219583089303919"/>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72913282696248"/>
          <c:y val="9.2407945028091645E-2"/>
          <c:w val="0.62997591902191008"/>
          <c:h val="0.85055104186247277"/>
        </c:manualLayout>
      </c:layout>
      <c:radarChart>
        <c:radarStyle val="marker"/>
        <c:varyColors val="0"/>
        <c:ser>
          <c:idx val="0"/>
          <c:order val="0"/>
          <c:tx>
            <c:strRef>
              <c:f>'★４５ページ（飲酒運転）'!$D$25</c:f>
              <c:strCache>
                <c:ptCount val="1"/>
                <c:pt idx="0">
                  <c:v>件数</c:v>
                </c:pt>
              </c:strCache>
            </c:strRef>
          </c:tx>
          <c:spPr>
            <a:ln w="28575" cmpd="dbl">
              <a:solidFill>
                <a:schemeClr val="tx1"/>
              </a:solidFill>
              <a:prstDash val="solid"/>
            </a:ln>
          </c:spPr>
          <c:marker>
            <c:symbol val="none"/>
          </c:marker>
          <c:cat>
            <c:numRef>
              <c:f>'★４５ページ（飲酒運転）'!$C$27:$C$50</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'★４５ページ（飲酒運転）'!$D$27:$D$50</c:f>
              <c:numCache>
                <c:formatCode>#,##0_ </c:formatCode>
                <c:ptCount val="24"/>
                <c:pt idx="0">
                  <c:v>2</c:v>
                </c:pt>
                <c:pt idx="1">
                  <c:v>5</c:v>
                </c:pt>
                <c:pt idx="2">
                  <c:v>7</c:v>
                </c:pt>
                <c:pt idx="3">
                  <c:v>0</c:v>
                </c:pt>
                <c:pt idx="4">
                  <c:v>3</c:v>
                </c:pt>
                <c:pt idx="5">
                  <c:v>2</c:v>
                </c:pt>
                <c:pt idx="6">
                  <c:v>0</c:v>
                </c:pt>
                <c:pt idx="7">
                  <c:v>2</c:v>
                </c:pt>
                <c:pt idx="8">
                  <c:v>2</c:v>
                </c:pt>
                <c:pt idx="9">
                  <c:v>1</c:v>
                </c:pt>
                <c:pt idx="10">
                  <c:v>0</c:v>
                </c:pt>
                <c:pt idx="11">
                  <c:v>0</c:v>
                </c:pt>
                <c:pt idx="12">
                  <c:v>1</c:v>
                </c:pt>
                <c:pt idx="13">
                  <c:v>0</c:v>
                </c:pt>
                <c:pt idx="14">
                  <c:v>0</c:v>
                </c:pt>
                <c:pt idx="15">
                  <c:v>0</c:v>
                </c:pt>
                <c:pt idx="16">
                  <c:v>0</c:v>
                </c:pt>
                <c:pt idx="17">
                  <c:v>0</c:v>
                </c:pt>
                <c:pt idx="18">
                  <c:v>1</c:v>
                </c:pt>
                <c:pt idx="19">
                  <c:v>1</c:v>
                </c:pt>
                <c:pt idx="20">
                  <c:v>0</c:v>
                </c:pt>
                <c:pt idx="21">
                  <c:v>3</c:v>
                </c:pt>
                <c:pt idx="22">
                  <c:v>3</c:v>
                </c:pt>
                <c:pt idx="23">
                  <c:v>5</c:v>
                </c:pt>
              </c:numCache>
            </c:numRef>
          </c:val>
          <c:extLst>
            <c:ext xmlns:c16="http://schemas.microsoft.com/office/drawing/2014/chart" uri="{C3380CC4-5D6E-409C-BE32-E72D297353CC}">
              <c16:uniqueId val="{00000000-8302-447D-B23C-EDAF75EAEF1F}"/>
            </c:ext>
          </c:extLst>
        </c:ser>
        <c:ser>
          <c:idx val="1"/>
          <c:order val="1"/>
          <c:tx>
            <c:strRef>
              <c:f>'★４５ページ（飲酒運転）'!$H$25:$I$25</c:f>
              <c:strCache>
                <c:ptCount val="1"/>
                <c:pt idx="0">
                  <c:v>負傷者数</c:v>
                </c:pt>
              </c:strCache>
            </c:strRef>
          </c:tx>
          <c:spPr>
            <a:ln w="19050">
              <a:solidFill>
                <a:srgbClr val="FF0000"/>
              </a:solidFill>
            </a:ln>
          </c:spPr>
          <c:marker>
            <c:symbol val="none"/>
          </c:marker>
          <c:cat>
            <c:numRef>
              <c:f>'★４５ページ（飲酒運転）'!$C$27:$C$50</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'★４５ページ（飲酒運転）'!$H$27:$H$50</c:f>
              <c:numCache>
                <c:formatCode>#,##0_ </c:formatCode>
                <c:ptCount val="24"/>
                <c:pt idx="0">
                  <c:v>2</c:v>
                </c:pt>
                <c:pt idx="1">
                  <c:v>4</c:v>
                </c:pt>
                <c:pt idx="2">
                  <c:v>15</c:v>
                </c:pt>
                <c:pt idx="3">
                  <c:v>0</c:v>
                </c:pt>
                <c:pt idx="4">
                  <c:v>3</c:v>
                </c:pt>
                <c:pt idx="5">
                  <c:v>4</c:v>
                </c:pt>
                <c:pt idx="6">
                  <c:v>0</c:v>
                </c:pt>
                <c:pt idx="7">
                  <c:v>2</c:v>
                </c:pt>
                <c:pt idx="8">
                  <c:v>4</c:v>
                </c:pt>
                <c:pt idx="9">
                  <c:v>2</c:v>
                </c:pt>
                <c:pt idx="10">
                  <c:v>0</c:v>
                </c:pt>
                <c:pt idx="11">
                  <c:v>0</c:v>
                </c:pt>
                <c:pt idx="12">
                  <c:v>1</c:v>
                </c:pt>
                <c:pt idx="13">
                  <c:v>0</c:v>
                </c:pt>
                <c:pt idx="14">
                  <c:v>0</c:v>
                </c:pt>
                <c:pt idx="15">
                  <c:v>0</c:v>
                </c:pt>
                <c:pt idx="16">
                  <c:v>0</c:v>
                </c:pt>
                <c:pt idx="17">
                  <c:v>0</c:v>
                </c:pt>
                <c:pt idx="18">
                  <c:v>1</c:v>
                </c:pt>
                <c:pt idx="19">
                  <c:v>2</c:v>
                </c:pt>
                <c:pt idx="20">
                  <c:v>0</c:v>
                </c:pt>
                <c:pt idx="21">
                  <c:v>4</c:v>
                </c:pt>
                <c:pt idx="22">
                  <c:v>4</c:v>
                </c:pt>
                <c:pt idx="23">
                  <c:v>6</c:v>
                </c:pt>
              </c:numCache>
            </c:numRef>
          </c:val>
          <c:extLst>
            <c:ext xmlns:c16="http://schemas.microsoft.com/office/drawing/2014/chart" uri="{C3380CC4-5D6E-409C-BE32-E72D297353CC}">
              <c16:uniqueId val="{00000001-8302-447D-B23C-EDAF75EAEF1F}"/>
            </c:ext>
          </c:extLst>
        </c:ser>
        <c:dLbls>
          <c:showLegendKey val="0"/>
          <c:showVal val="0"/>
          <c:showCatName val="0"/>
          <c:showSerName val="0"/>
          <c:showPercent val="0"/>
          <c:showBubbleSize val="0"/>
        </c:dLbls>
        <c:axId val="501269648"/>
        <c:axId val="1"/>
      </c:radarChart>
      <c:catAx>
        <c:axId val="501269648"/>
        <c:scaling>
          <c:orientation val="minMax"/>
        </c:scaling>
        <c:delete val="0"/>
        <c:axPos val="b"/>
        <c:majorGridlines/>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majorGridlines/>
        <c:numFmt formatCode="#,##0_ " sourceLinked="1"/>
        <c:majorTickMark val="cross"/>
        <c:minorTickMark val="none"/>
        <c:tickLblPos val="nextTo"/>
        <c:txPr>
          <a:bodyPr/>
          <a:lstStyle/>
          <a:p>
            <a:pPr>
              <a:defRPr sz="800" baseline="0"/>
            </a:pPr>
            <a:endParaRPr lang="ja-JP"/>
          </a:p>
        </c:txPr>
        <c:crossAx val="501269648"/>
        <c:crosses val="autoZero"/>
        <c:crossBetween val="between"/>
      </c:valAx>
    </c:plotArea>
    <c:legend>
      <c:legendPos val="r"/>
      <c:layout>
        <c:manualLayout>
          <c:xMode val="edge"/>
          <c:yMode val="edge"/>
          <c:x val="0.67849381955747157"/>
          <c:y val="0.85594770149752497"/>
          <c:w val="0.31924882629107981"/>
          <c:h val="0.14394376014201549"/>
        </c:manualLayout>
      </c:layout>
      <c:overlay val="0"/>
      <c:txPr>
        <a:bodyPr/>
        <a:lstStyle/>
        <a:p>
          <a:pPr>
            <a:defRPr sz="900" baseline="0"/>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4</xdr:col>
      <xdr:colOff>19050</xdr:colOff>
      <xdr:row>5</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38100" y="781050"/>
          <a:ext cx="119062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32</xdr:row>
      <xdr:rowOff>9525</xdr:rowOff>
    </xdr:from>
    <xdr:to>
      <xdr:col>5</xdr:col>
      <xdr:colOff>0</xdr:colOff>
      <xdr:row>33</xdr:row>
      <xdr:rowOff>161925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9050" y="7886700"/>
          <a:ext cx="21526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9525</xdr:rowOff>
    </xdr:from>
    <xdr:to>
      <xdr:col>1</xdr:col>
      <xdr:colOff>523875</xdr:colOff>
      <xdr:row>7</xdr:row>
      <xdr:rowOff>152400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428625" y="876300"/>
          <a:ext cx="514350" cy="590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9525</xdr:rowOff>
    </xdr:from>
    <xdr:to>
      <xdr:col>3</xdr:col>
      <xdr:colOff>0</xdr:colOff>
      <xdr:row>2</xdr:row>
      <xdr:rowOff>152400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38100" y="180975"/>
          <a:ext cx="133350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18</xdr:row>
      <xdr:rowOff>142875</xdr:rowOff>
    </xdr:from>
    <xdr:to>
      <xdr:col>10</xdr:col>
      <xdr:colOff>752475</xdr:colOff>
      <xdr:row>44</xdr:row>
      <xdr:rowOff>161925</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304801</xdr:colOff>
      <xdr:row>19</xdr:row>
      <xdr:rowOff>47624</xdr:rowOff>
    </xdr:from>
    <xdr:to>
      <xdr:col>10</xdr:col>
      <xdr:colOff>685801</xdr:colOff>
      <xdr:row>20</xdr:row>
      <xdr:rowOff>161925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477001" y="3305174"/>
          <a:ext cx="381000" cy="2857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a:t>死者数</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0.01278</cdr:x>
      <cdr:y>0.01681</cdr:y>
    </cdr:from>
    <cdr:to>
      <cdr:x>0.21779</cdr:x>
      <cdr:y>0.08429</cdr:y>
    </cdr:to>
    <cdr:sp macro="" textlink="">
      <cdr:nvSpPr>
        <cdr:cNvPr id="2" name="テキスト ボックス 3"/>
        <cdr:cNvSpPr txBox="1"/>
      </cdr:nvSpPr>
      <cdr:spPr>
        <a:xfrm xmlns:a="http://schemas.openxmlformats.org/drawingml/2006/main">
          <a:off x="81924" y="79440"/>
          <a:ext cx="1314181" cy="31880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900"/>
            <a:t>件数・負傷者数</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19050</xdr:colOff>
      <xdr:row>3</xdr:row>
      <xdr:rowOff>0</xdr:rowOff>
    </xdr:from>
    <xdr:to>
      <xdr:col>1</xdr:col>
      <xdr:colOff>0</xdr:colOff>
      <xdr:row>6</xdr:row>
      <xdr:rowOff>19050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9050" y="609600"/>
          <a:ext cx="72390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5</xdr:row>
      <xdr:rowOff>19050</xdr:rowOff>
    </xdr:from>
    <xdr:to>
      <xdr:col>4</xdr:col>
      <xdr:colOff>0</xdr:colOff>
      <xdr:row>6</xdr:row>
      <xdr:rowOff>161925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8100" y="1028700"/>
          <a:ext cx="10953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3</xdr:row>
      <xdr:rowOff>28575</xdr:rowOff>
    </xdr:from>
    <xdr:to>
      <xdr:col>1</xdr:col>
      <xdr:colOff>685800</xdr:colOff>
      <xdr:row>5</xdr:row>
      <xdr:rowOff>0</xdr:rowOff>
    </xdr:to>
    <xdr:sp macro="" textlink="">
      <xdr:nvSpPr>
        <xdr:cNvPr id="2" name="Line 5">
          <a:extLst>
            <a:ext uri="{FF2B5EF4-FFF2-40B4-BE49-F238E27FC236}">
              <a16:creationId xmlns:a16="http://schemas.microsoft.com/office/drawing/2014/main" id="{00000000-0008-0000-0500-000002000000}"/>
            </a:ext>
          </a:extLst>
        </xdr:cNvPr>
        <xdr:cNvSpPr>
          <a:spLocks noChangeShapeType="1"/>
        </xdr:cNvSpPr>
      </xdr:nvSpPr>
      <xdr:spPr bwMode="auto">
        <a:xfrm>
          <a:off x="19050" y="628650"/>
          <a:ext cx="76200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10</xdr:row>
      <xdr:rowOff>238125</xdr:rowOff>
    </xdr:from>
    <xdr:to>
      <xdr:col>2</xdr:col>
      <xdr:colOff>0</xdr:colOff>
      <xdr:row>12</xdr:row>
      <xdr:rowOff>238125</xdr:rowOff>
    </xdr:to>
    <xdr:sp macro="" textlink="">
      <xdr:nvSpPr>
        <xdr:cNvPr id="3" name="Line 6">
          <a:extLst>
            <a:ext uri="{FF2B5EF4-FFF2-40B4-BE49-F238E27FC236}">
              <a16:creationId xmlns:a16="http://schemas.microsoft.com/office/drawing/2014/main" id="{00000000-0008-0000-0500-000003000000}"/>
            </a:ext>
          </a:extLst>
        </xdr:cNvPr>
        <xdr:cNvSpPr>
          <a:spLocks noChangeShapeType="1"/>
        </xdr:cNvSpPr>
      </xdr:nvSpPr>
      <xdr:spPr bwMode="auto">
        <a:xfrm>
          <a:off x="28575" y="2819400"/>
          <a:ext cx="76200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22</xdr:row>
      <xdr:rowOff>9525</xdr:rowOff>
    </xdr:from>
    <xdr:to>
      <xdr:col>14</xdr:col>
      <xdr:colOff>447675</xdr:colOff>
      <xdr:row>44</xdr:row>
      <xdr:rowOff>161925</xdr:rowOff>
    </xdr:to>
    <xdr:graphicFrame macro="">
      <xdr:nvGraphicFramePr>
        <xdr:cNvPr id="4" name="Chart 11">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13</xdr:row>
      <xdr:rowOff>66675</xdr:rowOff>
    </xdr:from>
    <xdr:to>
      <xdr:col>7</xdr:col>
      <xdr:colOff>552450</xdr:colOff>
      <xdr:row>24</xdr:row>
      <xdr:rowOff>19050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25</xdr:row>
      <xdr:rowOff>38100</xdr:rowOff>
    </xdr:from>
    <xdr:to>
      <xdr:col>7</xdr:col>
      <xdr:colOff>561975</xdr:colOff>
      <xdr:row>37</xdr:row>
      <xdr:rowOff>9525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38</xdr:row>
      <xdr:rowOff>28575</xdr:rowOff>
    </xdr:from>
    <xdr:to>
      <xdr:col>7</xdr:col>
      <xdr:colOff>542925</xdr:colOff>
      <xdr:row>49</xdr:row>
      <xdr:rowOff>95250</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180976</xdr:colOff>
      <xdr:row>16</xdr:row>
      <xdr:rowOff>85725</xdr:rowOff>
    </xdr:from>
    <xdr:to>
      <xdr:col>0</xdr:col>
      <xdr:colOff>790576</xdr:colOff>
      <xdr:row>17</xdr:row>
      <xdr:rowOff>161926</xdr:rowOff>
    </xdr:to>
    <xdr:sp macro="" textlink="">
      <xdr:nvSpPr>
        <xdr:cNvPr id="5" name="Text Box 4">
          <a:extLst>
            <a:ext uri="{FF2B5EF4-FFF2-40B4-BE49-F238E27FC236}">
              <a16:creationId xmlns:a16="http://schemas.microsoft.com/office/drawing/2014/main" id="{00000000-0008-0000-0600-000005000000}"/>
            </a:ext>
          </a:extLst>
        </xdr:cNvPr>
        <xdr:cNvSpPr txBox="1">
          <a:spLocks noChangeArrowheads="1"/>
        </xdr:cNvSpPr>
      </xdr:nvSpPr>
      <xdr:spPr bwMode="auto">
        <a:xfrm>
          <a:off x="180976" y="3200400"/>
          <a:ext cx="609600" cy="25717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令和</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ゴシック"/>
              <a:ea typeface="ＭＳ Ｐゴシック"/>
            </a:rPr>
            <a:t>年</a:t>
          </a:r>
        </a:p>
      </xdr:txBody>
    </xdr:sp>
    <xdr:clientData/>
  </xdr:twoCellAnchor>
  <xdr:twoCellAnchor editAs="oneCell">
    <xdr:from>
      <xdr:col>0</xdr:col>
      <xdr:colOff>190500</xdr:colOff>
      <xdr:row>19</xdr:row>
      <xdr:rowOff>142875</xdr:rowOff>
    </xdr:from>
    <xdr:to>
      <xdr:col>0</xdr:col>
      <xdr:colOff>800100</xdr:colOff>
      <xdr:row>20</xdr:row>
      <xdr:rowOff>171451</xdr:rowOff>
    </xdr:to>
    <xdr:sp macro="" textlink="">
      <xdr:nvSpPr>
        <xdr:cNvPr id="6" name="Text Box 5">
          <a:extLst>
            <a:ext uri="{FF2B5EF4-FFF2-40B4-BE49-F238E27FC236}">
              <a16:creationId xmlns:a16="http://schemas.microsoft.com/office/drawing/2014/main" id="{00000000-0008-0000-0600-000006000000}"/>
            </a:ext>
          </a:extLst>
        </xdr:cNvPr>
        <xdr:cNvSpPr txBox="1">
          <a:spLocks noChangeArrowheads="1"/>
        </xdr:cNvSpPr>
      </xdr:nvSpPr>
      <xdr:spPr bwMode="auto">
        <a:xfrm>
          <a:off x="190500" y="3800475"/>
          <a:ext cx="609600" cy="20955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令和</a:t>
          </a:r>
          <a:r>
            <a:rPr lang="en-US" altLang="ja-JP" sz="800" b="0" i="0" u="none" strike="noStrike" baseline="0">
              <a:solidFill>
                <a:srgbClr val="000000"/>
              </a:solidFill>
              <a:latin typeface="ＭＳ Ｐゴシック"/>
              <a:ea typeface="ＭＳ Ｐゴシック"/>
            </a:rPr>
            <a:t>4</a:t>
          </a:r>
          <a:r>
            <a:rPr lang="ja-JP" altLang="en-US" sz="800" b="0" i="0" u="none" strike="noStrike" baseline="0">
              <a:solidFill>
                <a:srgbClr val="000000"/>
              </a:solidFill>
              <a:latin typeface="ＭＳ Ｐゴシック"/>
              <a:ea typeface="ＭＳ Ｐゴシック"/>
            </a:rPr>
            <a:t>年</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76932</xdr:colOff>
      <xdr:row>20</xdr:row>
      <xdr:rowOff>13189</xdr:rowOff>
    </xdr:from>
    <xdr:to>
      <xdr:col>1</xdr:col>
      <xdr:colOff>571499</xdr:colOff>
      <xdr:row>20</xdr:row>
      <xdr:rowOff>145806</xdr:rowOff>
    </xdr:to>
    <xdr:sp macro="" textlink="">
      <xdr:nvSpPr>
        <xdr:cNvPr id="7" name="テキスト ボックス 1">
          <a:extLst>
            <a:ext uri="{FF2B5EF4-FFF2-40B4-BE49-F238E27FC236}">
              <a16:creationId xmlns:a16="http://schemas.microsoft.com/office/drawing/2014/main" id="{00000000-0008-0000-0600-000007000000}"/>
            </a:ext>
          </a:extLst>
        </xdr:cNvPr>
        <xdr:cNvSpPr txBox="1"/>
      </xdr:nvSpPr>
      <xdr:spPr>
        <a:xfrm>
          <a:off x="972282" y="3851764"/>
          <a:ext cx="494567" cy="132617"/>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oneCellAnchor>
    <xdr:from>
      <xdr:col>2</xdr:col>
      <xdr:colOff>276225</xdr:colOff>
      <xdr:row>16</xdr:row>
      <xdr:rowOff>153031</xdr:rowOff>
    </xdr:from>
    <xdr:ext cx="522460" cy="133370"/>
    <xdr:sp macro="" textlink="">
      <xdr:nvSpPr>
        <xdr:cNvPr id="8" name="テキスト ボックス 1">
          <a:extLst>
            <a:ext uri="{FF2B5EF4-FFF2-40B4-BE49-F238E27FC236}">
              <a16:creationId xmlns:a16="http://schemas.microsoft.com/office/drawing/2014/main" id="{00000000-0008-0000-0600-000008000000}"/>
            </a:ext>
          </a:extLst>
        </xdr:cNvPr>
        <xdr:cNvSpPr txBox="1"/>
      </xdr:nvSpPr>
      <xdr:spPr>
        <a:xfrm>
          <a:off x="1962150" y="3267706"/>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oneCellAnchor>
    <xdr:from>
      <xdr:col>2</xdr:col>
      <xdr:colOff>295275</xdr:colOff>
      <xdr:row>20</xdr:row>
      <xdr:rowOff>5129</xdr:rowOff>
    </xdr:from>
    <xdr:ext cx="522460" cy="133370"/>
    <xdr:sp macro="" textlink="">
      <xdr:nvSpPr>
        <xdr:cNvPr id="9" name="テキスト ボックス 1">
          <a:extLst>
            <a:ext uri="{FF2B5EF4-FFF2-40B4-BE49-F238E27FC236}">
              <a16:creationId xmlns:a16="http://schemas.microsoft.com/office/drawing/2014/main" id="{00000000-0008-0000-0600-000009000000}"/>
            </a:ext>
          </a:extLst>
        </xdr:cNvPr>
        <xdr:cNvSpPr txBox="1"/>
      </xdr:nvSpPr>
      <xdr:spPr>
        <a:xfrm>
          <a:off x="1981200" y="3910379"/>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twoCellAnchor>
    <xdr:from>
      <xdr:col>3</xdr:col>
      <xdr:colOff>157529</xdr:colOff>
      <xdr:row>15</xdr:row>
      <xdr:rowOff>133921</xdr:rowOff>
    </xdr:from>
    <xdr:to>
      <xdr:col>3</xdr:col>
      <xdr:colOff>567850</xdr:colOff>
      <xdr:row>16</xdr:row>
      <xdr:rowOff>79170</xdr:rowOff>
    </xdr:to>
    <xdr:sp macro="" textlink="">
      <xdr:nvSpPr>
        <xdr:cNvPr id="10" name="テキスト ボックス 1">
          <a:extLst>
            <a:ext uri="{FF2B5EF4-FFF2-40B4-BE49-F238E27FC236}">
              <a16:creationId xmlns:a16="http://schemas.microsoft.com/office/drawing/2014/main" id="{00000000-0008-0000-0600-00000A000000}"/>
            </a:ext>
          </a:extLst>
        </xdr:cNvPr>
        <xdr:cNvSpPr txBox="1"/>
      </xdr:nvSpPr>
      <xdr:spPr>
        <a:xfrm>
          <a:off x="2681654" y="3134296"/>
          <a:ext cx="410321"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76200</xdr:colOff>
      <xdr:row>19</xdr:row>
      <xdr:rowOff>13188</xdr:rowOff>
    </xdr:from>
    <xdr:to>
      <xdr:col>3</xdr:col>
      <xdr:colOff>486521</xdr:colOff>
      <xdr:row>19</xdr:row>
      <xdr:rowOff>129887</xdr:rowOff>
    </xdr:to>
    <xdr:sp macro="" textlink="">
      <xdr:nvSpPr>
        <xdr:cNvPr id="11" name="テキスト ボックス 1">
          <a:extLst>
            <a:ext uri="{FF2B5EF4-FFF2-40B4-BE49-F238E27FC236}">
              <a16:creationId xmlns:a16="http://schemas.microsoft.com/office/drawing/2014/main" id="{00000000-0008-0000-0600-00000B000000}"/>
            </a:ext>
          </a:extLst>
        </xdr:cNvPr>
        <xdr:cNvSpPr txBox="1"/>
      </xdr:nvSpPr>
      <xdr:spPr>
        <a:xfrm>
          <a:off x="2600325" y="3737463"/>
          <a:ext cx="410321" cy="116699"/>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618392</xdr:colOff>
      <xdr:row>15</xdr:row>
      <xdr:rowOff>143608</xdr:rowOff>
    </xdr:from>
    <xdr:to>
      <xdr:col>4</xdr:col>
      <xdr:colOff>200771</xdr:colOff>
      <xdr:row>16</xdr:row>
      <xdr:rowOff>88857</xdr:rowOff>
    </xdr:to>
    <xdr:sp macro="" textlink="">
      <xdr:nvSpPr>
        <xdr:cNvPr id="12" name="テキスト ボックス 1">
          <a:extLst>
            <a:ext uri="{FF2B5EF4-FFF2-40B4-BE49-F238E27FC236}">
              <a16:creationId xmlns:a16="http://schemas.microsoft.com/office/drawing/2014/main" id="{00000000-0008-0000-0600-00000C000000}"/>
            </a:ext>
          </a:extLst>
        </xdr:cNvPr>
        <xdr:cNvSpPr txBox="1"/>
      </xdr:nvSpPr>
      <xdr:spPr>
        <a:xfrm>
          <a:off x="3142517" y="3077308"/>
          <a:ext cx="411054"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twoCellAnchor>
    <xdr:from>
      <xdr:col>3</xdr:col>
      <xdr:colOff>658689</xdr:colOff>
      <xdr:row>19</xdr:row>
      <xdr:rowOff>1466</xdr:rowOff>
    </xdr:from>
    <xdr:to>
      <xdr:col>4</xdr:col>
      <xdr:colOff>241068</xdr:colOff>
      <xdr:row>19</xdr:row>
      <xdr:rowOff>121096</xdr:rowOff>
    </xdr:to>
    <xdr:sp macro="" textlink="">
      <xdr:nvSpPr>
        <xdr:cNvPr id="13" name="テキスト ボックス 1">
          <a:extLst>
            <a:ext uri="{FF2B5EF4-FFF2-40B4-BE49-F238E27FC236}">
              <a16:creationId xmlns:a16="http://schemas.microsoft.com/office/drawing/2014/main" id="{00000000-0008-0000-0600-00000D000000}"/>
            </a:ext>
          </a:extLst>
        </xdr:cNvPr>
        <xdr:cNvSpPr txBox="1"/>
      </xdr:nvSpPr>
      <xdr:spPr>
        <a:xfrm>
          <a:off x="3182814" y="3725741"/>
          <a:ext cx="411054" cy="11963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oneCellAnchor>
    <xdr:from>
      <xdr:col>4</xdr:col>
      <xdr:colOff>436684</xdr:colOff>
      <xdr:row>16</xdr:row>
      <xdr:rowOff>157092</xdr:rowOff>
    </xdr:from>
    <xdr:ext cx="309432" cy="133370"/>
    <xdr:sp macro="" textlink="">
      <xdr:nvSpPr>
        <xdr:cNvPr id="14" name="テキスト ボックス 1">
          <a:extLst>
            <a:ext uri="{FF2B5EF4-FFF2-40B4-BE49-F238E27FC236}">
              <a16:creationId xmlns:a16="http://schemas.microsoft.com/office/drawing/2014/main" id="{00000000-0008-0000-0600-00000E000000}"/>
            </a:ext>
          </a:extLst>
        </xdr:cNvPr>
        <xdr:cNvSpPr txBox="1"/>
      </xdr:nvSpPr>
      <xdr:spPr>
        <a:xfrm>
          <a:off x="3789484" y="3271767"/>
          <a:ext cx="30943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4</xdr:col>
      <xdr:colOff>608134</xdr:colOff>
      <xdr:row>20</xdr:row>
      <xdr:rowOff>5497</xdr:rowOff>
    </xdr:from>
    <xdr:ext cx="309432" cy="133370"/>
    <xdr:sp macro="" textlink="">
      <xdr:nvSpPr>
        <xdr:cNvPr id="15" name="テキスト ボックス 1">
          <a:extLst>
            <a:ext uri="{FF2B5EF4-FFF2-40B4-BE49-F238E27FC236}">
              <a16:creationId xmlns:a16="http://schemas.microsoft.com/office/drawing/2014/main" id="{00000000-0008-0000-0600-00000F000000}"/>
            </a:ext>
          </a:extLst>
        </xdr:cNvPr>
        <xdr:cNvSpPr txBox="1"/>
      </xdr:nvSpPr>
      <xdr:spPr>
        <a:xfrm>
          <a:off x="3960934" y="3910747"/>
          <a:ext cx="30943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twoCellAnchor>
    <xdr:from>
      <xdr:col>1</xdr:col>
      <xdr:colOff>38101</xdr:colOff>
      <xdr:row>29</xdr:row>
      <xdr:rowOff>9525</xdr:rowOff>
    </xdr:from>
    <xdr:to>
      <xdr:col>1</xdr:col>
      <xdr:colOff>552451</xdr:colOff>
      <xdr:row>29</xdr:row>
      <xdr:rowOff>133350</xdr:rowOff>
    </xdr:to>
    <xdr:sp macro="" textlink="">
      <xdr:nvSpPr>
        <xdr:cNvPr id="16" name="テキスト ボックス 1">
          <a:extLst>
            <a:ext uri="{FF2B5EF4-FFF2-40B4-BE49-F238E27FC236}">
              <a16:creationId xmlns:a16="http://schemas.microsoft.com/office/drawing/2014/main" id="{00000000-0008-0000-0600-000010000000}"/>
            </a:ext>
          </a:extLst>
        </xdr:cNvPr>
        <xdr:cNvSpPr txBox="1"/>
      </xdr:nvSpPr>
      <xdr:spPr>
        <a:xfrm>
          <a:off x="933451" y="5543550"/>
          <a:ext cx="514350" cy="123825"/>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twoCellAnchor>
    <xdr:from>
      <xdr:col>0</xdr:col>
      <xdr:colOff>822081</xdr:colOff>
      <xdr:row>32</xdr:row>
      <xdr:rowOff>156797</xdr:rowOff>
    </xdr:from>
    <xdr:to>
      <xdr:col>1</xdr:col>
      <xdr:colOff>419100</xdr:colOff>
      <xdr:row>33</xdr:row>
      <xdr:rowOff>96716</xdr:rowOff>
    </xdr:to>
    <xdr:sp macro="" textlink="">
      <xdr:nvSpPr>
        <xdr:cNvPr id="17" name="テキスト ボックス 1">
          <a:extLst>
            <a:ext uri="{FF2B5EF4-FFF2-40B4-BE49-F238E27FC236}">
              <a16:creationId xmlns:a16="http://schemas.microsoft.com/office/drawing/2014/main" id="{00000000-0008-0000-0600-000011000000}"/>
            </a:ext>
          </a:extLst>
        </xdr:cNvPr>
        <xdr:cNvSpPr txBox="1"/>
      </xdr:nvSpPr>
      <xdr:spPr>
        <a:xfrm>
          <a:off x="822081" y="6233747"/>
          <a:ext cx="492369" cy="120894"/>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oneCellAnchor>
    <xdr:from>
      <xdr:col>2</xdr:col>
      <xdr:colOff>617660</xdr:colOff>
      <xdr:row>29</xdr:row>
      <xdr:rowOff>9525</xdr:rowOff>
    </xdr:from>
    <xdr:ext cx="522460" cy="133370"/>
    <xdr:sp macro="" textlink="">
      <xdr:nvSpPr>
        <xdr:cNvPr id="18" name="テキスト ボックス 1">
          <a:extLst>
            <a:ext uri="{FF2B5EF4-FFF2-40B4-BE49-F238E27FC236}">
              <a16:creationId xmlns:a16="http://schemas.microsoft.com/office/drawing/2014/main" id="{00000000-0008-0000-0600-000012000000}"/>
            </a:ext>
          </a:extLst>
        </xdr:cNvPr>
        <xdr:cNvSpPr txBox="1"/>
      </xdr:nvSpPr>
      <xdr:spPr>
        <a:xfrm>
          <a:off x="2303585" y="5476875"/>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oneCellAnchor>
    <xdr:from>
      <xdr:col>2</xdr:col>
      <xdr:colOff>66676</xdr:colOff>
      <xdr:row>32</xdr:row>
      <xdr:rowOff>145806</xdr:rowOff>
    </xdr:from>
    <xdr:ext cx="522460" cy="133370"/>
    <xdr:sp macro="" textlink="">
      <xdr:nvSpPr>
        <xdr:cNvPr id="19" name="テキスト ボックス 1">
          <a:extLst>
            <a:ext uri="{FF2B5EF4-FFF2-40B4-BE49-F238E27FC236}">
              <a16:creationId xmlns:a16="http://schemas.microsoft.com/office/drawing/2014/main" id="{00000000-0008-0000-0600-000013000000}"/>
            </a:ext>
          </a:extLst>
        </xdr:cNvPr>
        <xdr:cNvSpPr txBox="1"/>
      </xdr:nvSpPr>
      <xdr:spPr>
        <a:xfrm>
          <a:off x="1752601" y="6222756"/>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twoCellAnchor>
    <xdr:from>
      <xdr:col>3</xdr:col>
      <xdr:colOff>656492</xdr:colOff>
      <xdr:row>27</xdr:row>
      <xdr:rowOff>158995</xdr:rowOff>
    </xdr:from>
    <xdr:to>
      <xdr:col>4</xdr:col>
      <xdr:colOff>238871</xdr:colOff>
      <xdr:row>28</xdr:row>
      <xdr:rowOff>107175</xdr:rowOff>
    </xdr:to>
    <xdr:sp macro="" textlink="">
      <xdr:nvSpPr>
        <xdr:cNvPr id="20" name="テキスト ボックス 1">
          <a:extLst>
            <a:ext uri="{FF2B5EF4-FFF2-40B4-BE49-F238E27FC236}">
              <a16:creationId xmlns:a16="http://schemas.microsoft.com/office/drawing/2014/main" id="{00000000-0008-0000-0600-000014000000}"/>
            </a:ext>
          </a:extLst>
        </xdr:cNvPr>
        <xdr:cNvSpPr txBox="1"/>
      </xdr:nvSpPr>
      <xdr:spPr>
        <a:xfrm>
          <a:off x="3180617" y="5331070"/>
          <a:ext cx="411054" cy="129155"/>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2</xdr:col>
      <xdr:colOff>801565</xdr:colOff>
      <xdr:row>31</xdr:row>
      <xdr:rowOff>104776</xdr:rowOff>
    </xdr:from>
    <xdr:to>
      <xdr:col>3</xdr:col>
      <xdr:colOff>373686</xdr:colOff>
      <xdr:row>32</xdr:row>
      <xdr:rowOff>50025</xdr:rowOff>
    </xdr:to>
    <xdr:sp macro="" textlink="">
      <xdr:nvSpPr>
        <xdr:cNvPr id="21" name="テキスト ボックス 1">
          <a:extLst>
            <a:ext uri="{FF2B5EF4-FFF2-40B4-BE49-F238E27FC236}">
              <a16:creationId xmlns:a16="http://schemas.microsoft.com/office/drawing/2014/main" id="{00000000-0008-0000-0600-000015000000}"/>
            </a:ext>
          </a:extLst>
        </xdr:cNvPr>
        <xdr:cNvSpPr txBox="1"/>
      </xdr:nvSpPr>
      <xdr:spPr>
        <a:xfrm>
          <a:off x="2487490" y="6000751"/>
          <a:ext cx="410321"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487972</xdr:colOff>
      <xdr:row>31</xdr:row>
      <xdr:rowOff>114300</xdr:rowOff>
    </xdr:from>
    <xdr:to>
      <xdr:col>4</xdr:col>
      <xdr:colOff>70351</xdr:colOff>
      <xdr:row>32</xdr:row>
      <xdr:rowOff>59549</xdr:rowOff>
    </xdr:to>
    <xdr:sp macro="" textlink="">
      <xdr:nvSpPr>
        <xdr:cNvPr id="22" name="テキスト ボックス 1">
          <a:extLst>
            <a:ext uri="{FF2B5EF4-FFF2-40B4-BE49-F238E27FC236}">
              <a16:creationId xmlns:a16="http://schemas.microsoft.com/office/drawing/2014/main" id="{00000000-0008-0000-0600-000016000000}"/>
            </a:ext>
          </a:extLst>
        </xdr:cNvPr>
        <xdr:cNvSpPr txBox="1"/>
      </xdr:nvSpPr>
      <xdr:spPr>
        <a:xfrm>
          <a:off x="3012097" y="6010275"/>
          <a:ext cx="411054"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oneCellAnchor>
    <xdr:from>
      <xdr:col>5</xdr:col>
      <xdr:colOff>21248</xdr:colOff>
      <xdr:row>29</xdr:row>
      <xdr:rowOff>0</xdr:rowOff>
    </xdr:from>
    <xdr:ext cx="299762" cy="133370"/>
    <xdr:sp macro="" textlink="">
      <xdr:nvSpPr>
        <xdr:cNvPr id="23" name="テキスト ボックス 1">
          <a:extLst>
            <a:ext uri="{FF2B5EF4-FFF2-40B4-BE49-F238E27FC236}">
              <a16:creationId xmlns:a16="http://schemas.microsoft.com/office/drawing/2014/main" id="{00000000-0008-0000-0600-000017000000}"/>
            </a:ext>
          </a:extLst>
        </xdr:cNvPr>
        <xdr:cNvSpPr txBox="1"/>
      </xdr:nvSpPr>
      <xdr:spPr>
        <a:xfrm>
          <a:off x="4193198" y="5534025"/>
          <a:ext cx="29976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4</xdr:col>
      <xdr:colOff>260106</xdr:colOff>
      <xdr:row>32</xdr:row>
      <xdr:rowOff>115033</xdr:rowOff>
    </xdr:from>
    <xdr:ext cx="299762" cy="133370"/>
    <xdr:sp macro="" textlink="">
      <xdr:nvSpPr>
        <xdr:cNvPr id="24" name="テキスト ボックス 1">
          <a:extLst>
            <a:ext uri="{FF2B5EF4-FFF2-40B4-BE49-F238E27FC236}">
              <a16:creationId xmlns:a16="http://schemas.microsoft.com/office/drawing/2014/main" id="{00000000-0008-0000-0600-000018000000}"/>
            </a:ext>
          </a:extLst>
        </xdr:cNvPr>
        <xdr:cNvSpPr txBox="1"/>
      </xdr:nvSpPr>
      <xdr:spPr>
        <a:xfrm>
          <a:off x="3612906" y="6191983"/>
          <a:ext cx="29976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4</xdr:col>
      <xdr:colOff>276225</xdr:colOff>
      <xdr:row>41</xdr:row>
      <xdr:rowOff>168701</xdr:rowOff>
    </xdr:from>
    <xdr:ext cx="332000" cy="133370"/>
    <xdr:sp macro="" textlink="">
      <xdr:nvSpPr>
        <xdr:cNvPr id="25" name="テキスト ボックス 1">
          <a:extLst>
            <a:ext uri="{FF2B5EF4-FFF2-40B4-BE49-F238E27FC236}">
              <a16:creationId xmlns:a16="http://schemas.microsoft.com/office/drawing/2014/main" id="{00000000-0008-0000-0600-000019000000}"/>
            </a:ext>
          </a:extLst>
        </xdr:cNvPr>
        <xdr:cNvSpPr txBox="1"/>
      </xdr:nvSpPr>
      <xdr:spPr>
        <a:xfrm>
          <a:off x="3629025" y="7807751"/>
          <a:ext cx="332000" cy="13337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4</xdr:col>
      <xdr:colOff>201490</xdr:colOff>
      <xdr:row>45</xdr:row>
      <xdr:rowOff>56418</xdr:rowOff>
    </xdr:from>
    <xdr:ext cx="299762" cy="133370"/>
    <xdr:sp macro="" textlink="">
      <xdr:nvSpPr>
        <xdr:cNvPr id="26" name="テキスト ボックス 1">
          <a:extLst>
            <a:ext uri="{FF2B5EF4-FFF2-40B4-BE49-F238E27FC236}">
              <a16:creationId xmlns:a16="http://schemas.microsoft.com/office/drawing/2014/main" id="{00000000-0008-0000-0600-00001A000000}"/>
            </a:ext>
          </a:extLst>
        </xdr:cNvPr>
        <xdr:cNvSpPr txBox="1"/>
      </xdr:nvSpPr>
      <xdr:spPr>
        <a:xfrm>
          <a:off x="3554290" y="8419368"/>
          <a:ext cx="29976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twoCellAnchor>
    <xdr:from>
      <xdr:col>1</xdr:col>
      <xdr:colOff>150201</xdr:colOff>
      <xdr:row>41</xdr:row>
      <xdr:rowOff>180242</xdr:rowOff>
    </xdr:from>
    <xdr:to>
      <xdr:col>1</xdr:col>
      <xdr:colOff>626452</xdr:colOff>
      <xdr:row>42</xdr:row>
      <xdr:rowOff>117963</xdr:rowOff>
    </xdr:to>
    <xdr:sp macro="" textlink="">
      <xdr:nvSpPr>
        <xdr:cNvPr id="27" name="テキスト ボックス 1">
          <a:extLst>
            <a:ext uri="{FF2B5EF4-FFF2-40B4-BE49-F238E27FC236}">
              <a16:creationId xmlns:a16="http://schemas.microsoft.com/office/drawing/2014/main" id="{00000000-0008-0000-0600-00001B000000}"/>
            </a:ext>
          </a:extLst>
        </xdr:cNvPr>
        <xdr:cNvSpPr txBox="1"/>
      </xdr:nvSpPr>
      <xdr:spPr>
        <a:xfrm>
          <a:off x="1045551" y="7819292"/>
          <a:ext cx="476251" cy="118696"/>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twoCellAnchor>
    <xdr:from>
      <xdr:col>1</xdr:col>
      <xdr:colOff>224204</xdr:colOff>
      <xdr:row>45</xdr:row>
      <xdr:rowOff>79132</xdr:rowOff>
    </xdr:from>
    <xdr:to>
      <xdr:col>1</xdr:col>
      <xdr:colOff>707781</xdr:colOff>
      <xdr:row>46</xdr:row>
      <xdr:rowOff>21981</xdr:rowOff>
    </xdr:to>
    <xdr:sp macro="" textlink="">
      <xdr:nvSpPr>
        <xdr:cNvPr id="28" name="テキスト ボックス 1">
          <a:extLst>
            <a:ext uri="{FF2B5EF4-FFF2-40B4-BE49-F238E27FC236}">
              <a16:creationId xmlns:a16="http://schemas.microsoft.com/office/drawing/2014/main" id="{00000000-0008-0000-0600-00001C000000}"/>
            </a:ext>
          </a:extLst>
        </xdr:cNvPr>
        <xdr:cNvSpPr txBox="1"/>
      </xdr:nvSpPr>
      <xdr:spPr>
        <a:xfrm>
          <a:off x="1119554" y="8442082"/>
          <a:ext cx="483577" cy="123824"/>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oneCellAnchor>
    <xdr:from>
      <xdr:col>2</xdr:col>
      <xdr:colOff>307731</xdr:colOff>
      <xdr:row>41</xdr:row>
      <xdr:rowOff>166321</xdr:rowOff>
    </xdr:from>
    <xdr:ext cx="522460" cy="133370"/>
    <xdr:sp macro="" textlink="">
      <xdr:nvSpPr>
        <xdr:cNvPr id="29" name="テキスト ボックス 1">
          <a:extLst>
            <a:ext uri="{FF2B5EF4-FFF2-40B4-BE49-F238E27FC236}">
              <a16:creationId xmlns:a16="http://schemas.microsoft.com/office/drawing/2014/main" id="{00000000-0008-0000-0600-00001D000000}"/>
            </a:ext>
          </a:extLst>
        </xdr:cNvPr>
        <xdr:cNvSpPr txBox="1"/>
      </xdr:nvSpPr>
      <xdr:spPr>
        <a:xfrm>
          <a:off x="1993656" y="7805371"/>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oneCellAnchor>
    <xdr:from>
      <xdr:col>2</xdr:col>
      <xdr:colOff>331176</xdr:colOff>
      <xdr:row>45</xdr:row>
      <xdr:rowOff>66111</xdr:rowOff>
    </xdr:from>
    <xdr:ext cx="564174" cy="133370"/>
    <xdr:sp macro="" textlink="">
      <xdr:nvSpPr>
        <xdr:cNvPr id="30" name="テキスト ボックス 1">
          <a:extLst>
            <a:ext uri="{FF2B5EF4-FFF2-40B4-BE49-F238E27FC236}">
              <a16:creationId xmlns:a16="http://schemas.microsoft.com/office/drawing/2014/main" id="{00000000-0008-0000-0600-00001E000000}"/>
            </a:ext>
          </a:extLst>
        </xdr:cNvPr>
        <xdr:cNvSpPr txBox="1"/>
      </xdr:nvSpPr>
      <xdr:spPr>
        <a:xfrm>
          <a:off x="2017101" y="8429061"/>
          <a:ext cx="564174" cy="13337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twoCellAnchor>
    <xdr:from>
      <xdr:col>2</xdr:col>
      <xdr:colOff>713642</xdr:colOff>
      <xdr:row>44</xdr:row>
      <xdr:rowOff>45427</xdr:rowOff>
    </xdr:from>
    <xdr:to>
      <xdr:col>3</xdr:col>
      <xdr:colOff>285763</xdr:colOff>
      <xdr:row>44</xdr:row>
      <xdr:rowOff>165057</xdr:rowOff>
    </xdr:to>
    <xdr:sp macro="" textlink="">
      <xdr:nvSpPr>
        <xdr:cNvPr id="31" name="テキスト ボックス 1">
          <a:extLst>
            <a:ext uri="{FF2B5EF4-FFF2-40B4-BE49-F238E27FC236}">
              <a16:creationId xmlns:a16="http://schemas.microsoft.com/office/drawing/2014/main" id="{00000000-0008-0000-0600-00001F000000}"/>
            </a:ext>
          </a:extLst>
        </xdr:cNvPr>
        <xdr:cNvSpPr txBox="1"/>
      </xdr:nvSpPr>
      <xdr:spPr>
        <a:xfrm>
          <a:off x="2399567" y="8294077"/>
          <a:ext cx="410321" cy="11963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2</xdr:col>
      <xdr:colOff>778852</xdr:colOff>
      <xdr:row>40</xdr:row>
      <xdr:rowOff>144341</xdr:rowOff>
    </xdr:from>
    <xdr:to>
      <xdr:col>3</xdr:col>
      <xdr:colOff>350973</xdr:colOff>
      <xdr:row>41</xdr:row>
      <xdr:rowOff>92521</xdr:rowOff>
    </xdr:to>
    <xdr:sp macro="" textlink="">
      <xdr:nvSpPr>
        <xdr:cNvPr id="32" name="テキスト ボックス 1">
          <a:extLst>
            <a:ext uri="{FF2B5EF4-FFF2-40B4-BE49-F238E27FC236}">
              <a16:creationId xmlns:a16="http://schemas.microsoft.com/office/drawing/2014/main" id="{00000000-0008-0000-0600-000020000000}"/>
            </a:ext>
          </a:extLst>
        </xdr:cNvPr>
        <xdr:cNvSpPr txBox="1"/>
      </xdr:nvSpPr>
      <xdr:spPr>
        <a:xfrm>
          <a:off x="2464777" y="7669091"/>
          <a:ext cx="410321" cy="129155"/>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444011</xdr:colOff>
      <xdr:row>40</xdr:row>
      <xdr:rowOff>144341</xdr:rowOff>
    </xdr:from>
    <xdr:to>
      <xdr:col>4</xdr:col>
      <xdr:colOff>26390</xdr:colOff>
      <xdr:row>41</xdr:row>
      <xdr:rowOff>92521</xdr:rowOff>
    </xdr:to>
    <xdr:sp macro="" textlink="">
      <xdr:nvSpPr>
        <xdr:cNvPr id="33" name="テキスト ボックス 1">
          <a:extLst>
            <a:ext uri="{FF2B5EF4-FFF2-40B4-BE49-F238E27FC236}">
              <a16:creationId xmlns:a16="http://schemas.microsoft.com/office/drawing/2014/main" id="{00000000-0008-0000-0600-000021000000}"/>
            </a:ext>
          </a:extLst>
        </xdr:cNvPr>
        <xdr:cNvSpPr txBox="1"/>
      </xdr:nvSpPr>
      <xdr:spPr>
        <a:xfrm>
          <a:off x="2968136" y="7602416"/>
          <a:ext cx="411054" cy="129155"/>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twoCellAnchor>
    <xdr:from>
      <xdr:col>3</xdr:col>
      <xdr:colOff>428624</xdr:colOff>
      <xdr:row>44</xdr:row>
      <xdr:rowOff>45428</xdr:rowOff>
    </xdr:from>
    <xdr:to>
      <xdr:col>4</xdr:col>
      <xdr:colOff>11003</xdr:colOff>
      <xdr:row>44</xdr:row>
      <xdr:rowOff>165058</xdr:rowOff>
    </xdr:to>
    <xdr:sp macro="" textlink="">
      <xdr:nvSpPr>
        <xdr:cNvPr id="34" name="テキスト ボックス 1">
          <a:extLst>
            <a:ext uri="{FF2B5EF4-FFF2-40B4-BE49-F238E27FC236}">
              <a16:creationId xmlns:a16="http://schemas.microsoft.com/office/drawing/2014/main" id="{00000000-0008-0000-0600-000022000000}"/>
            </a:ext>
          </a:extLst>
        </xdr:cNvPr>
        <xdr:cNvSpPr txBox="1"/>
      </xdr:nvSpPr>
      <xdr:spPr>
        <a:xfrm>
          <a:off x="2952749" y="8294078"/>
          <a:ext cx="411054" cy="11963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0.15207</cdr:x>
      <cdr:y>0.31705</cdr:y>
    </cdr:from>
    <cdr:to>
      <cdr:x>0.21755</cdr:x>
      <cdr:y>0.3909</cdr:y>
    </cdr:to>
    <cdr:sp macro="" textlink="">
      <cdr:nvSpPr>
        <cdr:cNvPr id="2" name="テキスト ボックス 1"/>
        <cdr:cNvSpPr txBox="1"/>
      </cdr:nvSpPr>
      <cdr:spPr>
        <a:xfrm xmlns:a="http://schemas.openxmlformats.org/drawingml/2006/main">
          <a:off x="952980" y="572625"/>
          <a:ext cx="410369" cy="13337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lIns="0" tIns="0" rIns="0" bIns="0" rtlCol="0" anchor="ctr" anchorCtr="0">
          <a:spAutoFit/>
        </a:bodyPr>
        <a:lstStyle xmlns:a="http://schemas.openxmlformats.org/drawingml/2006/main"/>
        <a:p xmlns:a="http://schemas.openxmlformats.org/drawingml/2006/main">
          <a:r>
            <a:rPr lang="ja-JP" altLang="en-US" sz="800"/>
            <a:t>一般国道</a:t>
          </a:r>
        </a:p>
      </cdr:txBody>
    </cdr:sp>
  </cdr:relSizeAnchor>
</c:userShapes>
</file>

<file path=xl/drawings/drawing10.xml><?xml version="1.0" encoding="utf-8"?>
<c:userShapes xmlns:c="http://schemas.openxmlformats.org/drawingml/2006/chart">
  <cdr:relSizeAnchor xmlns:cdr="http://schemas.openxmlformats.org/drawingml/2006/chartDrawing">
    <cdr:from>
      <cdr:x>0.00758</cdr:x>
      <cdr:y>0.31082</cdr:y>
    </cdr:from>
    <cdr:to>
      <cdr:x>0.13044</cdr:x>
      <cdr:y>0.43404</cdr:y>
    </cdr:to>
    <cdr:sp macro="" textlink="">
      <cdr:nvSpPr>
        <cdr:cNvPr id="52225" name="Text Box 1025"/>
        <cdr:cNvSpPr txBox="1">
          <a:spLocks xmlns:a="http://schemas.openxmlformats.org/drawingml/2006/main" noChangeArrowheads="1"/>
        </cdr:cNvSpPr>
      </cdr:nvSpPr>
      <cdr:spPr bwMode="auto">
        <a:xfrm xmlns:a="http://schemas.openxmlformats.org/drawingml/2006/main">
          <a:off x="50800" y="660933"/>
          <a:ext cx="790932" cy="2569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令和</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0.01821</cdr:x>
      <cdr:y>0.61972</cdr:y>
    </cdr:from>
    <cdr:to>
      <cdr:x>0.10926</cdr:x>
      <cdr:y>0.70892</cdr:y>
    </cdr:to>
    <cdr:sp macro="" textlink="">
      <cdr:nvSpPr>
        <cdr:cNvPr id="52226" name="Text Box 1026"/>
        <cdr:cNvSpPr txBox="1">
          <a:spLocks xmlns:a="http://schemas.openxmlformats.org/drawingml/2006/main" noChangeArrowheads="1"/>
        </cdr:cNvSpPr>
      </cdr:nvSpPr>
      <cdr:spPr bwMode="auto">
        <a:xfrm xmlns:a="http://schemas.openxmlformats.org/drawingml/2006/main">
          <a:off x="114301" y="1257301"/>
          <a:ext cx="571499" cy="1809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令和</a:t>
          </a:r>
          <a:r>
            <a:rPr lang="en-US" altLang="ja-JP" sz="800" b="0" i="0" u="none" strike="noStrike" baseline="0">
              <a:solidFill>
                <a:srgbClr val="000000"/>
              </a:solidFill>
              <a:latin typeface="ＭＳ Ｐゴシック"/>
              <a:ea typeface="ＭＳ Ｐゴシック"/>
            </a:rPr>
            <a:t>4</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0.58928</cdr:x>
      <cdr:y>0.22814</cdr:y>
    </cdr:from>
    <cdr:to>
      <cdr:x>0.65477</cdr:x>
      <cdr:y>0.28704</cdr:y>
    </cdr:to>
    <cdr:sp macro="" textlink="">
      <cdr:nvSpPr>
        <cdr:cNvPr id="4" name="テキスト ボックス 1">
          <a:extLst xmlns:a="http://schemas.openxmlformats.org/drawingml/2006/main">
            <a:ext uri="{FF2B5EF4-FFF2-40B4-BE49-F238E27FC236}">
              <a16:creationId xmlns:a16="http://schemas.microsoft.com/office/drawing/2014/main" id="{00000000-0008-0000-0600-00000C000000}"/>
            </a:ext>
          </a:extLst>
        </cdr:cNvPr>
        <cdr:cNvSpPr txBox="1"/>
      </cdr:nvSpPr>
      <cdr:spPr>
        <a:xfrm xmlns:a="http://schemas.openxmlformats.org/drawingml/2006/main">
          <a:off x="3698868" y="488942"/>
          <a:ext cx="411079" cy="126230"/>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t>大阪市道</a:t>
          </a:r>
        </a:p>
      </cdr:txBody>
    </cdr:sp>
  </cdr:relSizeAnchor>
</c:userShapes>
</file>

<file path=xl/drawings/drawing11.xml><?xml version="1.0" encoding="utf-8"?>
<c:userShapes xmlns:c="http://schemas.openxmlformats.org/drawingml/2006/chart">
  <cdr:relSizeAnchor xmlns:cdr="http://schemas.openxmlformats.org/drawingml/2006/chartDrawing">
    <cdr:from>
      <cdr:x>0.00754</cdr:x>
      <cdr:y>0.31068</cdr:y>
    </cdr:from>
    <cdr:to>
      <cdr:x>0.12968</cdr:x>
      <cdr:y>0.44047</cdr:y>
    </cdr:to>
    <cdr:sp macro="" textlink="">
      <cdr:nvSpPr>
        <cdr:cNvPr id="53249" name="Text Box 1"/>
        <cdr:cNvSpPr txBox="1">
          <a:spLocks xmlns:a="http://schemas.openxmlformats.org/drawingml/2006/main" noChangeArrowheads="1"/>
        </cdr:cNvSpPr>
      </cdr:nvSpPr>
      <cdr:spPr bwMode="auto">
        <a:xfrm xmlns:a="http://schemas.openxmlformats.org/drawingml/2006/main">
          <a:off x="47544" y="597768"/>
          <a:ext cx="770160" cy="2497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令和</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0.02161</cdr:x>
      <cdr:y>0.61169</cdr:y>
    </cdr:from>
    <cdr:to>
      <cdr:x>0.11567</cdr:x>
      <cdr:y>0.71723</cdr:y>
    </cdr:to>
    <cdr:sp macro="" textlink="">
      <cdr:nvSpPr>
        <cdr:cNvPr id="53250" name="Text Box 2"/>
        <cdr:cNvSpPr txBox="1">
          <a:spLocks xmlns:a="http://schemas.openxmlformats.org/drawingml/2006/main" noChangeArrowheads="1"/>
        </cdr:cNvSpPr>
      </cdr:nvSpPr>
      <cdr:spPr bwMode="auto">
        <a:xfrm xmlns:a="http://schemas.openxmlformats.org/drawingml/2006/main">
          <a:off x="136267" y="1176930"/>
          <a:ext cx="593100" cy="2030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令和</a:t>
          </a:r>
          <a:r>
            <a:rPr lang="en-US" altLang="ja-JP" sz="800" b="0" i="0" u="none" strike="noStrike" baseline="0">
              <a:solidFill>
                <a:srgbClr val="000000"/>
              </a:solidFill>
              <a:latin typeface="ＭＳ Ｐゴシック"/>
              <a:ea typeface="ＭＳ Ｐゴシック"/>
            </a:rPr>
            <a:t>4</a:t>
          </a:r>
          <a:r>
            <a:rPr lang="ja-JP" altLang="en-US" sz="800" b="0" i="0" u="none" strike="noStrike" baseline="0">
              <a:solidFill>
                <a:srgbClr val="000000"/>
              </a:solidFill>
              <a:latin typeface="ＭＳ Ｐゴシック"/>
              <a:ea typeface="ＭＳ Ｐゴシック"/>
            </a:rPr>
            <a:t>年</a:t>
          </a:r>
          <a:endParaRPr lang="ja-JP" altLang="en-US" sz="1100" b="0" i="0" u="none" strike="noStrike" baseline="0">
            <a:solidFill>
              <a:srgbClr val="000000"/>
            </a:solidFill>
            <a:latin typeface="ＭＳ Ｐゴシック"/>
            <a:ea typeface="ＭＳ Ｐゴシック"/>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36</xdr:col>
      <xdr:colOff>148166</xdr:colOff>
      <xdr:row>23</xdr:row>
      <xdr:rowOff>42332</xdr:rowOff>
    </xdr:from>
    <xdr:to>
      <xdr:col>37</xdr:col>
      <xdr:colOff>148167</xdr:colOff>
      <xdr:row>64</xdr:row>
      <xdr:rowOff>10582</xdr:rowOff>
    </xdr:to>
    <xdr:sp macro="" textlink="">
      <xdr:nvSpPr>
        <xdr:cNvPr id="2" name="角丸四角形 1">
          <a:extLst>
            <a:ext uri="{FF2B5EF4-FFF2-40B4-BE49-F238E27FC236}">
              <a16:creationId xmlns:a16="http://schemas.microsoft.com/office/drawing/2014/main" id="{00000000-0008-0000-0800-000002000000}"/>
            </a:ext>
          </a:extLst>
        </xdr:cNvPr>
        <xdr:cNvSpPr>
          <a:spLocks noChangeAspect="1"/>
        </xdr:cNvSpPr>
      </xdr:nvSpPr>
      <xdr:spPr>
        <a:xfrm>
          <a:off x="6320366" y="4538132"/>
          <a:ext cx="171451" cy="73882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15509</xdr:colOff>
      <xdr:row>53</xdr:row>
      <xdr:rowOff>49581</xdr:rowOff>
    </xdr:from>
    <xdr:to>
      <xdr:col>69</xdr:col>
      <xdr:colOff>38991</xdr:colOff>
      <xdr:row>54</xdr:row>
      <xdr:rowOff>46036</xdr:rowOff>
    </xdr:to>
    <xdr:sp macro="" textlink="">
      <xdr:nvSpPr>
        <xdr:cNvPr id="3" name="角丸四角形 2">
          <a:extLst>
            <a:ext uri="{FF2B5EF4-FFF2-40B4-BE49-F238E27FC236}">
              <a16:creationId xmlns:a16="http://schemas.microsoft.com/office/drawing/2014/main" id="{00000000-0008-0000-0800-000003000000}"/>
            </a:ext>
          </a:extLst>
        </xdr:cNvPr>
        <xdr:cNvSpPr>
          <a:spLocks noChangeAspect="1"/>
        </xdr:cNvSpPr>
      </xdr:nvSpPr>
      <xdr:spPr>
        <a:xfrm rot="7030523" flipH="1">
          <a:off x="8168135" y="6451155"/>
          <a:ext cx="177430" cy="7224382"/>
        </a:xfrm>
        <a:prstGeom prst="roundRect">
          <a:avLst>
            <a:gd name="adj" fmla="val 50000"/>
          </a:avLst>
        </a:prstGeom>
        <a:ln>
          <a:noFill/>
        </a:ln>
        <a:scene3d>
          <a:camera prst="orthographicFront">
            <a:rot lat="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74083</xdr:colOff>
      <xdr:row>31</xdr:row>
      <xdr:rowOff>10585</xdr:rowOff>
    </xdr:from>
    <xdr:to>
      <xdr:col>58</xdr:col>
      <xdr:colOff>21167</xdr:colOff>
      <xdr:row>31</xdr:row>
      <xdr:rowOff>148167</xdr:rowOff>
    </xdr:to>
    <xdr:sp macro="" textlink="">
      <xdr:nvSpPr>
        <xdr:cNvPr id="4" name="角丸四角形 3">
          <a:extLst>
            <a:ext uri="{FF2B5EF4-FFF2-40B4-BE49-F238E27FC236}">
              <a16:creationId xmlns:a16="http://schemas.microsoft.com/office/drawing/2014/main" id="{00000000-0008-0000-0800-000004000000}"/>
            </a:ext>
          </a:extLst>
        </xdr:cNvPr>
        <xdr:cNvSpPr>
          <a:spLocks noChangeAspect="1"/>
        </xdr:cNvSpPr>
      </xdr:nvSpPr>
      <xdr:spPr>
        <a:xfrm>
          <a:off x="588433" y="5954185"/>
          <a:ext cx="9376834" cy="13758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21167</xdr:colOff>
      <xdr:row>6</xdr:row>
      <xdr:rowOff>10584</xdr:rowOff>
    </xdr:from>
    <xdr:to>
      <xdr:col>48</xdr:col>
      <xdr:colOff>10583</xdr:colOff>
      <xdr:row>64</xdr:row>
      <xdr:rowOff>63500</xdr:rowOff>
    </xdr:to>
    <xdr:sp macro="" textlink="">
      <xdr:nvSpPr>
        <xdr:cNvPr id="5" name="角丸四角形 4">
          <a:extLst>
            <a:ext uri="{FF2B5EF4-FFF2-40B4-BE49-F238E27FC236}">
              <a16:creationId xmlns:a16="http://schemas.microsoft.com/office/drawing/2014/main" id="{00000000-0008-0000-0800-000005000000}"/>
            </a:ext>
          </a:extLst>
        </xdr:cNvPr>
        <xdr:cNvSpPr>
          <a:spLocks noChangeAspect="1"/>
        </xdr:cNvSpPr>
      </xdr:nvSpPr>
      <xdr:spPr>
        <a:xfrm>
          <a:off x="8079317" y="1429809"/>
          <a:ext cx="160866" cy="1054946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58</xdr:col>
      <xdr:colOff>0</xdr:colOff>
      <xdr:row>5</xdr:row>
      <xdr:rowOff>116416</xdr:rowOff>
    </xdr:from>
    <xdr:to>
      <xdr:col>58</xdr:col>
      <xdr:colOff>169333</xdr:colOff>
      <xdr:row>56</xdr:row>
      <xdr:rowOff>21167</xdr:rowOff>
    </xdr:to>
    <xdr:sp macro="" textlink="">
      <xdr:nvSpPr>
        <xdr:cNvPr id="6" name="角丸四角形 5">
          <a:extLst>
            <a:ext uri="{FF2B5EF4-FFF2-40B4-BE49-F238E27FC236}">
              <a16:creationId xmlns:a16="http://schemas.microsoft.com/office/drawing/2014/main" id="{00000000-0008-0000-0800-000006000000}"/>
            </a:ext>
          </a:extLst>
        </xdr:cNvPr>
        <xdr:cNvSpPr>
          <a:spLocks noChangeAspect="1"/>
        </xdr:cNvSpPr>
      </xdr:nvSpPr>
      <xdr:spPr>
        <a:xfrm>
          <a:off x="9944100" y="1354666"/>
          <a:ext cx="169333" cy="9134476"/>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148166</xdr:colOff>
      <xdr:row>23</xdr:row>
      <xdr:rowOff>21167</xdr:rowOff>
    </xdr:from>
    <xdr:to>
      <xdr:col>30</xdr:col>
      <xdr:colOff>148167</xdr:colOff>
      <xdr:row>40</xdr:row>
      <xdr:rowOff>127000</xdr:rowOff>
    </xdr:to>
    <xdr:sp macro="" textlink="">
      <xdr:nvSpPr>
        <xdr:cNvPr id="7" name="角丸四角形 6">
          <a:extLst>
            <a:ext uri="{FF2B5EF4-FFF2-40B4-BE49-F238E27FC236}">
              <a16:creationId xmlns:a16="http://schemas.microsoft.com/office/drawing/2014/main" id="{00000000-0008-0000-0800-000007000000}"/>
            </a:ext>
          </a:extLst>
        </xdr:cNvPr>
        <xdr:cNvSpPr>
          <a:spLocks noChangeAspect="1"/>
        </xdr:cNvSpPr>
      </xdr:nvSpPr>
      <xdr:spPr>
        <a:xfrm>
          <a:off x="5120216" y="4516967"/>
          <a:ext cx="171451" cy="318240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137584</xdr:colOff>
      <xdr:row>40</xdr:row>
      <xdr:rowOff>74083</xdr:rowOff>
    </xdr:from>
    <xdr:to>
      <xdr:col>29</xdr:col>
      <xdr:colOff>137583</xdr:colOff>
      <xdr:row>63</xdr:row>
      <xdr:rowOff>148166</xdr:rowOff>
    </xdr:to>
    <xdr:sp macro="" textlink="">
      <xdr:nvSpPr>
        <xdr:cNvPr id="8" name="角丸四角形 7">
          <a:extLst>
            <a:ext uri="{FF2B5EF4-FFF2-40B4-BE49-F238E27FC236}">
              <a16:creationId xmlns:a16="http://schemas.microsoft.com/office/drawing/2014/main" id="{00000000-0008-0000-0800-000008000000}"/>
            </a:ext>
          </a:extLst>
        </xdr:cNvPr>
        <xdr:cNvSpPr>
          <a:spLocks noChangeAspect="1"/>
        </xdr:cNvSpPr>
      </xdr:nvSpPr>
      <xdr:spPr>
        <a:xfrm>
          <a:off x="4938184" y="7646458"/>
          <a:ext cx="171449" cy="423650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158749</xdr:colOff>
      <xdr:row>6</xdr:row>
      <xdr:rowOff>21167</xdr:rowOff>
    </xdr:from>
    <xdr:to>
      <xdr:col>30</xdr:col>
      <xdr:colOff>148167</xdr:colOff>
      <xdr:row>22</xdr:row>
      <xdr:rowOff>137583</xdr:rowOff>
    </xdr:to>
    <xdr:sp macro="" textlink="">
      <xdr:nvSpPr>
        <xdr:cNvPr id="9" name="角丸四角形 8">
          <a:extLst>
            <a:ext uri="{FF2B5EF4-FFF2-40B4-BE49-F238E27FC236}">
              <a16:creationId xmlns:a16="http://schemas.microsoft.com/office/drawing/2014/main" id="{00000000-0008-0000-0800-000009000000}"/>
            </a:ext>
          </a:extLst>
        </xdr:cNvPr>
        <xdr:cNvSpPr>
          <a:spLocks noChangeAspect="1"/>
        </xdr:cNvSpPr>
      </xdr:nvSpPr>
      <xdr:spPr>
        <a:xfrm>
          <a:off x="5130799" y="1440392"/>
          <a:ext cx="160868" cy="301201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105883</xdr:colOff>
      <xdr:row>23</xdr:row>
      <xdr:rowOff>104776</xdr:rowOff>
    </xdr:from>
    <xdr:to>
      <xdr:col>29</xdr:col>
      <xdr:colOff>89958</xdr:colOff>
      <xdr:row>30</xdr:row>
      <xdr:rowOff>68036</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a:spLocks noChangeAspect="1"/>
        </xdr:cNvSpPr>
      </xdr:nvSpPr>
      <xdr:spPr>
        <a:xfrm>
          <a:off x="4735033" y="4600576"/>
          <a:ext cx="326975" cy="12300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lIns="90000" tIns="0" bIns="0" rtlCol="0" anchor="ctr" anchorCtr="0"/>
        <a:lstStyle/>
        <a:p>
          <a:pPr algn="ctr"/>
          <a:r>
            <a:rPr kumimoji="1" lang="ja-JP" altLang="en-US" sz="1400" b="1">
              <a:latin typeface="Meiryo UI" panose="020B0604030504040204" pitchFamily="50" charset="-128"/>
              <a:ea typeface="Meiryo UI" panose="020B0604030504040204" pitchFamily="50" charset="-128"/>
            </a:rPr>
            <a:t>２５号線</a:t>
          </a:r>
        </a:p>
      </xdr:txBody>
    </xdr:sp>
    <xdr:clientData/>
  </xdr:twoCellAnchor>
  <xdr:twoCellAnchor>
    <xdr:from>
      <xdr:col>27</xdr:col>
      <xdr:colOff>106782</xdr:colOff>
      <xdr:row>7</xdr:row>
      <xdr:rowOff>148167</xdr:rowOff>
    </xdr:from>
    <xdr:to>
      <xdr:col>29</xdr:col>
      <xdr:colOff>78316</xdr:colOff>
      <xdr:row>16</xdr:row>
      <xdr:rowOff>40822</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a:spLocks noChangeAspect="1"/>
        </xdr:cNvSpPr>
      </xdr:nvSpPr>
      <xdr:spPr>
        <a:xfrm>
          <a:off x="4735932" y="1748367"/>
          <a:ext cx="314434" cy="1521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４２３号線</a:t>
          </a:r>
        </a:p>
      </xdr:txBody>
    </xdr:sp>
    <xdr:clientData/>
  </xdr:twoCellAnchor>
  <xdr:twoCellAnchor>
    <xdr:from>
      <xdr:col>30</xdr:col>
      <xdr:colOff>158750</xdr:colOff>
      <xdr:row>35</xdr:row>
      <xdr:rowOff>84666</xdr:rowOff>
    </xdr:from>
    <xdr:to>
      <xdr:col>45</xdr:col>
      <xdr:colOff>137583</xdr:colOff>
      <xdr:row>36</xdr:row>
      <xdr:rowOff>74083</xdr:rowOff>
    </xdr:to>
    <xdr:sp macro="" textlink="">
      <xdr:nvSpPr>
        <xdr:cNvPr id="12" name="角丸四角形 11">
          <a:extLst>
            <a:ext uri="{FF2B5EF4-FFF2-40B4-BE49-F238E27FC236}">
              <a16:creationId xmlns:a16="http://schemas.microsoft.com/office/drawing/2014/main" id="{00000000-0008-0000-0800-00000C000000}"/>
            </a:ext>
          </a:extLst>
        </xdr:cNvPr>
        <xdr:cNvSpPr>
          <a:spLocks noChangeAspect="1"/>
        </xdr:cNvSpPr>
      </xdr:nvSpPr>
      <xdr:spPr>
        <a:xfrm>
          <a:off x="5302250" y="6752166"/>
          <a:ext cx="2550583" cy="17039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0</xdr:colOff>
      <xdr:row>39</xdr:row>
      <xdr:rowOff>0</xdr:rowOff>
    </xdr:from>
    <xdr:to>
      <xdr:col>43</xdr:col>
      <xdr:colOff>84667</xdr:colOff>
      <xdr:row>40</xdr:row>
      <xdr:rowOff>1</xdr:rowOff>
    </xdr:to>
    <xdr:sp macro="" textlink="">
      <xdr:nvSpPr>
        <xdr:cNvPr id="13" name="角丸四角形 12">
          <a:extLst>
            <a:ext uri="{FF2B5EF4-FFF2-40B4-BE49-F238E27FC236}">
              <a16:creationId xmlns:a16="http://schemas.microsoft.com/office/drawing/2014/main" id="{00000000-0008-0000-0800-00000D000000}"/>
            </a:ext>
          </a:extLst>
        </xdr:cNvPr>
        <xdr:cNvSpPr>
          <a:spLocks noChangeAspect="1"/>
        </xdr:cNvSpPr>
      </xdr:nvSpPr>
      <xdr:spPr>
        <a:xfrm>
          <a:off x="5314950" y="7391400"/>
          <a:ext cx="2142067" cy="18097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21167</xdr:colOff>
      <xdr:row>35</xdr:row>
      <xdr:rowOff>105832</xdr:rowOff>
    </xdr:from>
    <xdr:to>
      <xdr:col>44</xdr:col>
      <xdr:colOff>21167</xdr:colOff>
      <xdr:row>40</xdr:row>
      <xdr:rowOff>0</xdr:rowOff>
    </xdr:to>
    <xdr:sp macro="" textlink="">
      <xdr:nvSpPr>
        <xdr:cNvPr id="14" name="角丸四角形 13">
          <a:extLst>
            <a:ext uri="{FF2B5EF4-FFF2-40B4-BE49-F238E27FC236}">
              <a16:creationId xmlns:a16="http://schemas.microsoft.com/office/drawing/2014/main" id="{00000000-0008-0000-0800-00000E000000}"/>
            </a:ext>
          </a:extLst>
        </xdr:cNvPr>
        <xdr:cNvSpPr>
          <a:spLocks noChangeAspect="1"/>
        </xdr:cNvSpPr>
      </xdr:nvSpPr>
      <xdr:spPr>
        <a:xfrm>
          <a:off x="7393517" y="6773332"/>
          <a:ext cx="171450" cy="79904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45</xdr:col>
      <xdr:colOff>31750</xdr:colOff>
      <xdr:row>31</xdr:row>
      <xdr:rowOff>116417</xdr:rowOff>
    </xdr:from>
    <xdr:to>
      <xdr:col>45</xdr:col>
      <xdr:colOff>158750</xdr:colOff>
      <xdr:row>36</xdr:row>
      <xdr:rowOff>63502</xdr:rowOff>
    </xdr:to>
    <xdr:sp macro="" textlink="">
      <xdr:nvSpPr>
        <xdr:cNvPr id="15" name="角丸四角形 14">
          <a:extLst>
            <a:ext uri="{FF2B5EF4-FFF2-40B4-BE49-F238E27FC236}">
              <a16:creationId xmlns:a16="http://schemas.microsoft.com/office/drawing/2014/main" id="{00000000-0008-0000-0800-00000F000000}"/>
            </a:ext>
          </a:extLst>
        </xdr:cNvPr>
        <xdr:cNvSpPr>
          <a:spLocks noChangeAspect="1"/>
        </xdr:cNvSpPr>
      </xdr:nvSpPr>
      <xdr:spPr>
        <a:xfrm>
          <a:off x="7747000" y="6060017"/>
          <a:ext cx="127000" cy="85196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50</xdr:col>
      <xdr:colOff>52916</xdr:colOff>
      <xdr:row>28</xdr:row>
      <xdr:rowOff>133350</xdr:rowOff>
    </xdr:from>
    <xdr:to>
      <xdr:col>56</xdr:col>
      <xdr:colOff>81642</xdr:colOff>
      <xdr:row>30</xdr:row>
      <xdr:rowOff>123825</xdr:rowOff>
    </xdr:to>
    <xdr:sp macro="" textlink="">
      <xdr:nvSpPr>
        <xdr:cNvPr id="16" name="テキスト ボックス 15">
          <a:extLst>
            <a:ext uri="{FF2B5EF4-FFF2-40B4-BE49-F238E27FC236}">
              <a16:creationId xmlns:a16="http://schemas.microsoft.com/office/drawing/2014/main" id="{00000000-0008-0000-0800-000010000000}"/>
            </a:ext>
          </a:extLst>
        </xdr:cNvPr>
        <xdr:cNvSpPr txBox="1">
          <a:spLocks noChangeAspect="1"/>
        </xdr:cNvSpPr>
      </xdr:nvSpPr>
      <xdr:spPr>
        <a:xfrm>
          <a:off x="8625416" y="5534025"/>
          <a:ext cx="1057426"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ja-JP" altLang="en-US" sz="1400" b="1">
              <a:latin typeface="Meiryo UI" panose="020B0604030504040204" pitchFamily="50" charset="-128"/>
              <a:ea typeface="Meiryo UI" panose="020B0604030504040204" pitchFamily="50" charset="-128"/>
            </a:rPr>
            <a:t>３０８号線</a:t>
          </a:r>
        </a:p>
      </xdr:txBody>
    </xdr:sp>
    <xdr:clientData/>
  </xdr:twoCellAnchor>
  <xdr:twoCellAnchor>
    <xdr:from>
      <xdr:col>19</xdr:col>
      <xdr:colOff>10584</xdr:colOff>
      <xdr:row>22</xdr:row>
      <xdr:rowOff>84666</xdr:rowOff>
    </xdr:from>
    <xdr:to>
      <xdr:col>43</xdr:col>
      <xdr:colOff>127001</xdr:colOff>
      <xdr:row>23</xdr:row>
      <xdr:rowOff>74083</xdr:rowOff>
    </xdr:to>
    <xdr:sp macro="" textlink="">
      <xdr:nvSpPr>
        <xdr:cNvPr id="17" name="角丸四角形 16">
          <a:extLst>
            <a:ext uri="{FF2B5EF4-FFF2-40B4-BE49-F238E27FC236}">
              <a16:creationId xmlns:a16="http://schemas.microsoft.com/office/drawing/2014/main" id="{00000000-0008-0000-0800-000011000000}"/>
            </a:ext>
          </a:extLst>
        </xdr:cNvPr>
        <xdr:cNvSpPr>
          <a:spLocks noChangeAspect="1"/>
        </xdr:cNvSpPr>
      </xdr:nvSpPr>
      <xdr:spPr>
        <a:xfrm>
          <a:off x="3268134" y="4399491"/>
          <a:ext cx="4231217" cy="17039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10584</xdr:colOff>
      <xdr:row>12</xdr:row>
      <xdr:rowOff>148166</xdr:rowOff>
    </xdr:from>
    <xdr:to>
      <xdr:col>44</xdr:col>
      <xdr:colOff>42333</xdr:colOff>
      <xdr:row>23</xdr:row>
      <xdr:rowOff>84667</xdr:rowOff>
    </xdr:to>
    <xdr:sp macro="" textlink="">
      <xdr:nvSpPr>
        <xdr:cNvPr id="18" name="角丸四角形 17">
          <a:extLst>
            <a:ext uri="{FF2B5EF4-FFF2-40B4-BE49-F238E27FC236}">
              <a16:creationId xmlns:a16="http://schemas.microsoft.com/office/drawing/2014/main" id="{00000000-0008-0000-0800-000012000000}"/>
            </a:ext>
          </a:extLst>
        </xdr:cNvPr>
        <xdr:cNvSpPr>
          <a:spLocks noChangeAspect="1"/>
        </xdr:cNvSpPr>
      </xdr:nvSpPr>
      <xdr:spPr>
        <a:xfrm>
          <a:off x="7382934" y="2653241"/>
          <a:ext cx="203199" cy="19272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38259</xdr:colOff>
      <xdr:row>10</xdr:row>
      <xdr:rowOff>2597</xdr:rowOff>
    </xdr:from>
    <xdr:to>
      <xdr:col>50</xdr:col>
      <xdr:colOff>125243</xdr:colOff>
      <xdr:row>10</xdr:row>
      <xdr:rowOff>144343</xdr:rowOff>
    </xdr:to>
    <xdr:sp macro="" textlink="">
      <xdr:nvSpPr>
        <xdr:cNvPr id="19" name="角丸四角形 18">
          <a:extLst>
            <a:ext uri="{FF2B5EF4-FFF2-40B4-BE49-F238E27FC236}">
              <a16:creationId xmlns:a16="http://schemas.microsoft.com/office/drawing/2014/main" id="{00000000-0008-0000-0800-000013000000}"/>
            </a:ext>
          </a:extLst>
        </xdr:cNvPr>
        <xdr:cNvSpPr>
          <a:spLocks noChangeAspect="1"/>
        </xdr:cNvSpPr>
      </xdr:nvSpPr>
      <xdr:spPr>
        <a:xfrm rot="2886273">
          <a:off x="7897578" y="1487303"/>
          <a:ext cx="141746" cy="1458584"/>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158749</xdr:colOff>
      <xdr:row>16</xdr:row>
      <xdr:rowOff>74082</xdr:rowOff>
    </xdr:from>
    <xdr:to>
      <xdr:col>24</xdr:col>
      <xdr:colOff>0</xdr:colOff>
      <xdr:row>47</xdr:row>
      <xdr:rowOff>105834</xdr:rowOff>
    </xdr:to>
    <xdr:sp macro="" textlink="">
      <xdr:nvSpPr>
        <xdr:cNvPr id="20" name="角丸四角形 19">
          <a:extLst>
            <a:ext uri="{FF2B5EF4-FFF2-40B4-BE49-F238E27FC236}">
              <a16:creationId xmlns:a16="http://schemas.microsoft.com/office/drawing/2014/main" id="{00000000-0008-0000-0800-000014000000}"/>
            </a:ext>
          </a:extLst>
        </xdr:cNvPr>
        <xdr:cNvSpPr>
          <a:spLocks noChangeAspect="1"/>
        </xdr:cNvSpPr>
      </xdr:nvSpPr>
      <xdr:spPr>
        <a:xfrm>
          <a:off x="3930649" y="3303057"/>
          <a:ext cx="184151" cy="5641977"/>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76506</xdr:colOff>
      <xdr:row>11</xdr:row>
      <xdr:rowOff>58467</xdr:rowOff>
    </xdr:from>
    <xdr:to>
      <xdr:col>16</xdr:col>
      <xdr:colOff>102404</xdr:colOff>
      <xdr:row>24</xdr:row>
      <xdr:rowOff>115960</xdr:rowOff>
    </xdr:to>
    <xdr:sp macro="" textlink="">
      <xdr:nvSpPr>
        <xdr:cNvPr id="21" name="角丸四角形 20">
          <a:extLst>
            <a:ext uri="{FF2B5EF4-FFF2-40B4-BE49-F238E27FC236}">
              <a16:creationId xmlns:a16="http://schemas.microsoft.com/office/drawing/2014/main" id="{00000000-0008-0000-0800-000015000000}"/>
            </a:ext>
          </a:extLst>
        </xdr:cNvPr>
        <xdr:cNvSpPr>
          <a:spLocks noChangeAspect="1"/>
        </xdr:cNvSpPr>
      </xdr:nvSpPr>
      <xdr:spPr>
        <a:xfrm rot="19470331">
          <a:off x="2648256" y="2382567"/>
          <a:ext cx="197348" cy="241016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10584</xdr:colOff>
      <xdr:row>7</xdr:row>
      <xdr:rowOff>116418</xdr:rowOff>
    </xdr:from>
    <xdr:to>
      <xdr:col>21</xdr:col>
      <xdr:colOff>29033</xdr:colOff>
      <xdr:row>18</xdr:row>
      <xdr:rowOff>1858</xdr:rowOff>
    </xdr:to>
    <xdr:sp macro="" textlink="">
      <xdr:nvSpPr>
        <xdr:cNvPr id="22" name="角丸四角形 21">
          <a:extLst>
            <a:ext uri="{FF2B5EF4-FFF2-40B4-BE49-F238E27FC236}">
              <a16:creationId xmlns:a16="http://schemas.microsoft.com/office/drawing/2014/main" id="{00000000-0008-0000-0800-000016000000}"/>
            </a:ext>
          </a:extLst>
        </xdr:cNvPr>
        <xdr:cNvSpPr>
          <a:spLocks noChangeAspect="1"/>
        </xdr:cNvSpPr>
      </xdr:nvSpPr>
      <xdr:spPr>
        <a:xfrm rot="19470331">
          <a:off x="3439584" y="1716618"/>
          <a:ext cx="189899" cy="187616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52918</xdr:colOff>
      <xdr:row>46</xdr:row>
      <xdr:rowOff>161925</xdr:rowOff>
    </xdr:from>
    <xdr:to>
      <xdr:col>44</xdr:col>
      <xdr:colOff>123825</xdr:colOff>
      <xdr:row>48</xdr:row>
      <xdr:rowOff>158750</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a:spLocks noChangeAspect="1"/>
        </xdr:cNvSpPr>
      </xdr:nvSpPr>
      <xdr:spPr>
        <a:xfrm>
          <a:off x="6910918" y="8820150"/>
          <a:ext cx="756707" cy="35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ja-JP" altLang="en-US" sz="1400" b="1">
              <a:latin typeface="Meiryo UI" panose="020B0604030504040204" pitchFamily="50" charset="-128"/>
              <a:ea typeface="Meiryo UI" panose="020B0604030504040204" pitchFamily="50" charset="-128"/>
            </a:rPr>
            <a:t>２５号線</a:t>
          </a:r>
        </a:p>
      </xdr:txBody>
    </xdr:sp>
    <xdr:clientData/>
  </xdr:twoCellAnchor>
  <xdr:twoCellAnchor>
    <xdr:from>
      <xdr:col>19</xdr:col>
      <xdr:colOff>63500</xdr:colOff>
      <xdr:row>23</xdr:row>
      <xdr:rowOff>84667</xdr:rowOff>
    </xdr:from>
    <xdr:to>
      <xdr:col>20</xdr:col>
      <xdr:colOff>84666</xdr:colOff>
      <xdr:row>63</xdr:row>
      <xdr:rowOff>158749</xdr:rowOff>
    </xdr:to>
    <xdr:sp macro="" textlink="">
      <xdr:nvSpPr>
        <xdr:cNvPr id="24" name="角丸四角形 23">
          <a:extLst>
            <a:ext uri="{FF2B5EF4-FFF2-40B4-BE49-F238E27FC236}">
              <a16:creationId xmlns:a16="http://schemas.microsoft.com/office/drawing/2014/main" id="{00000000-0008-0000-0800-000018000000}"/>
            </a:ext>
          </a:extLst>
        </xdr:cNvPr>
        <xdr:cNvSpPr>
          <a:spLocks noChangeAspect="1"/>
        </xdr:cNvSpPr>
      </xdr:nvSpPr>
      <xdr:spPr>
        <a:xfrm>
          <a:off x="3321050" y="4580467"/>
          <a:ext cx="192616" cy="731308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157238</xdr:colOff>
      <xdr:row>63</xdr:row>
      <xdr:rowOff>175529</xdr:rowOff>
    </xdr:from>
    <xdr:to>
      <xdr:col>20</xdr:col>
      <xdr:colOff>131557</xdr:colOff>
      <xdr:row>82</xdr:row>
      <xdr:rowOff>149679</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a:spLocks noChangeAspect="1"/>
        </xdr:cNvSpPr>
      </xdr:nvSpPr>
      <xdr:spPr>
        <a:xfrm>
          <a:off x="3341309" y="11673565"/>
          <a:ext cx="328105" cy="3335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大阪臨海線（新なにわ筋）</a:t>
          </a:r>
        </a:p>
      </xdr:txBody>
    </xdr:sp>
    <xdr:clientData/>
  </xdr:twoCellAnchor>
  <xdr:twoCellAnchor>
    <xdr:from>
      <xdr:col>23</xdr:col>
      <xdr:colOff>175381</xdr:colOff>
      <xdr:row>31</xdr:row>
      <xdr:rowOff>149679</xdr:rowOff>
    </xdr:from>
    <xdr:to>
      <xdr:col>25</xdr:col>
      <xdr:colOff>167958</xdr:colOff>
      <xdr:row>42</xdr:row>
      <xdr:rowOff>108857</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a:spLocks noChangeAspect="1"/>
        </xdr:cNvSpPr>
      </xdr:nvSpPr>
      <xdr:spPr>
        <a:xfrm>
          <a:off x="4118731" y="6093279"/>
          <a:ext cx="335477" cy="1949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pPr algn="ctr"/>
          <a:r>
            <a:rPr kumimoji="1" lang="en-US" altLang="ja-JP" sz="1300" b="1">
              <a:latin typeface="Meiryo UI" panose="020B0604030504040204" pitchFamily="50" charset="-128"/>
              <a:ea typeface="Meiryo UI" panose="020B0604030504040204" pitchFamily="50" charset="-128"/>
            </a:rPr>
            <a:t>(</a:t>
          </a:r>
          <a:r>
            <a:rPr kumimoji="1" lang="ja-JP" altLang="en-US" sz="1300" b="1">
              <a:latin typeface="Meiryo UI" panose="020B0604030504040204" pitchFamily="50" charset="-128"/>
              <a:ea typeface="Meiryo UI" panose="020B0604030504040204" pitchFamily="50" charset="-128"/>
            </a:rPr>
            <a:t>なにわ筋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28</xdr:col>
      <xdr:colOff>57151</xdr:colOff>
      <xdr:row>64</xdr:row>
      <xdr:rowOff>1059</xdr:rowOff>
    </xdr:from>
    <xdr:to>
      <xdr:col>30</xdr:col>
      <xdr:colOff>48095</xdr:colOff>
      <xdr:row>71</xdr:row>
      <xdr:rowOff>40821</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a:spLocks noChangeAspect="1"/>
        </xdr:cNvSpPr>
      </xdr:nvSpPr>
      <xdr:spPr>
        <a:xfrm>
          <a:off x="4857751" y="11916834"/>
          <a:ext cx="333844" cy="1306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２６号線</a:t>
          </a:r>
        </a:p>
      </xdr:txBody>
    </xdr:sp>
    <xdr:clientData/>
  </xdr:twoCellAnchor>
  <xdr:twoCellAnchor>
    <xdr:from>
      <xdr:col>36</xdr:col>
      <xdr:colOff>54428</xdr:colOff>
      <xdr:row>64</xdr:row>
      <xdr:rowOff>24492</xdr:rowOff>
    </xdr:from>
    <xdr:to>
      <xdr:col>38</xdr:col>
      <xdr:colOff>61457</xdr:colOff>
      <xdr:row>76</xdr:row>
      <xdr:rowOff>122463</xdr:rowOff>
    </xdr:to>
    <xdr:sp macro="" textlink="">
      <xdr:nvSpPr>
        <xdr:cNvPr id="28" name="テキスト ボックス 27">
          <a:extLst>
            <a:ext uri="{FF2B5EF4-FFF2-40B4-BE49-F238E27FC236}">
              <a16:creationId xmlns:a16="http://schemas.microsoft.com/office/drawing/2014/main" id="{00000000-0008-0000-0800-00001C000000}"/>
            </a:ext>
          </a:extLst>
        </xdr:cNvPr>
        <xdr:cNvSpPr txBox="1">
          <a:spLocks noChangeAspect="1"/>
        </xdr:cNvSpPr>
      </xdr:nvSpPr>
      <xdr:spPr>
        <a:xfrm>
          <a:off x="6226628" y="11940267"/>
          <a:ext cx="349929" cy="22696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大阪和泉泉南線</a:t>
          </a:r>
        </a:p>
      </xdr:txBody>
    </xdr:sp>
    <xdr:clientData/>
  </xdr:twoCellAnchor>
  <xdr:twoCellAnchor>
    <xdr:from>
      <xdr:col>40</xdr:col>
      <xdr:colOff>21167</xdr:colOff>
      <xdr:row>56</xdr:row>
      <xdr:rowOff>74083</xdr:rowOff>
    </xdr:from>
    <xdr:to>
      <xdr:col>41</xdr:col>
      <xdr:colOff>10583</xdr:colOff>
      <xdr:row>64</xdr:row>
      <xdr:rowOff>21166</xdr:rowOff>
    </xdr:to>
    <xdr:sp macro="" textlink="">
      <xdr:nvSpPr>
        <xdr:cNvPr id="29" name="角丸四角形 28">
          <a:extLst>
            <a:ext uri="{FF2B5EF4-FFF2-40B4-BE49-F238E27FC236}">
              <a16:creationId xmlns:a16="http://schemas.microsoft.com/office/drawing/2014/main" id="{00000000-0008-0000-0800-00001D000000}"/>
            </a:ext>
          </a:extLst>
        </xdr:cNvPr>
        <xdr:cNvSpPr>
          <a:spLocks noChangeAspect="1"/>
        </xdr:cNvSpPr>
      </xdr:nvSpPr>
      <xdr:spPr>
        <a:xfrm>
          <a:off x="6879167" y="10542058"/>
          <a:ext cx="160866" cy="139488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78227</xdr:colOff>
      <xdr:row>64</xdr:row>
      <xdr:rowOff>69396</xdr:rowOff>
    </xdr:from>
    <xdr:to>
      <xdr:col>41</xdr:col>
      <xdr:colOff>132929</xdr:colOff>
      <xdr:row>74</xdr:row>
      <xdr:rowOff>108858</xdr:rowOff>
    </xdr:to>
    <xdr:sp macro="" textlink="">
      <xdr:nvSpPr>
        <xdr:cNvPr id="30" name="テキスト ボックス 29">
          <a:extLst>
            <a:ext uri="{FF2B5EF4-FFF2-40B4-BE49-F238E27FC236}">
              <a16:creationId xmlns:a16="http://schemas.microsoft.com/office/drawing/2014/main" id="{00000000-0008-0000-0800-00001E000000}"/>
            </a:ext>
          </a:extLst>
        </xdr:cNvPr>
        <xdr:cNvSpPr txBox="1">
          <a:spLocks noChangeAspect="1"/>
        </xdr:cNvSpPr>
      </xdr:nvSpPr>
      <xdr:spPr>
        <a:xfrm>
          <a:off x="6764777" y="11985171"/>
          <a:ext cx="397602" cy="1849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大阪高石線</a:t>
          </a:r>
        </a:p>
      </xdr:txBody>
    </xdr:sp>
    <xdr:clientData/>
  </xdr:twoCellAnchor>
  <xdr:twoCellAnchor>
    <xdr:from>
      <xdr:col>38</xdr:col>
      <xdr:colOff>1</xdr:colOff>
      <xdr:row>40</xdr:row>
      <xdr:rowOff>19050</xdr:rowOff>
    </xdr:from>
    <xdr:to>
      <xdr:col>45</xdr:col>
      <xdr:colOff>161924</xdr:colOff>
      <xdr:row>43</xdr:row>
      <xdr:rowOff>28576</xdr:rowOff>
    </xdr:to>
    <xdr:sp macro="" textlink="">
      <xdr:nvSpPr>
        <xdr:cNvPr id="31" name="テキスト ボックス 30">
          <a:extLst>
            <a:ext uri="{FF2B5EF4-FFF2-40B4-BE49-F238E27FC236}">
              <a16:creationId xmlns:a16="http://schemas.microsoft.com/office/drawing/2014/main" id="{00000000-0008-0000-0800-00001F000000}"/>
            </a:ext>
          </a:extLst>
        </xdr:cNvPr>
        <xdr:cNvSpPr txBox="1">
          <a:spLocks noChangeAspect="1"/>
        </xdr:cNvSpPr>
      </xdr:nvSpPr>
      <xdr:spPr>
        <a:xfrm>
          <a:off x="6515101" y="7591425"/>
          <a:ext cx="1362073" cy="552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lnSpc>
              <a:spcPts val="1500"/>
            </a:lnSpc>
          </a:pPr>
          <a:r>
            <a:rPr kumimoji="1" lang="ja-JP" altLang="en-US" sz="1300" b="1">
              <a:latin typeface="Meiryo UI" panose="020B0604030504040204" pitchFamily="50" charset="-128"/>
              <a:ea typeface="Meiryo UI" panose="020B0604030504040204" pitchFamily="50" charset="-128"/>
            </a:rPr>
            <a:t>大阪枚岡奈良線（千日前通）</a:t>
          </a:r>
        </a:p>
      </xdr:txBody>
    </xdr:sp>
    <xdr:clientData/>
  </xdr:twoCellAnchor>
  <xdr:twoCellAnchor>
    <xdr:from>
      <xdr:col>36</xdr:col>
      <xdr:colOff>114300</xdr:colOff>
      <xdr:row>20</xdr:row>
      <xdr:rowOff>85725</xdr:rowOff>
    </xdr:from>
    <xdr:to>
      <xdr:col>41</xdr:col>
      <xdr:colOff>42334</xdr:colOff>
      <xdr:row>22</xdr:row>
      <xdr:rowOff>31749</xdr:rowOff>
    </xdr:to>
    <xdr:sp macro="" textlink="">
      <xdr:nvSpPr>
        <xdr:cNvPr id="32" name="テキスト ボックス 31">
          <a:extLst>
            <a:ext uri="{FF2B5EF4-FFF2-40B4-BE49-F238E27FC236}">
              <a16:creationId xmlns:a16="http://schemas.microsoft.com/office/drawing/2014/main" id="{00000000-0008-0000-0800-000020000000}"/>
            </a:ext>
          </a:extLst>
        </xdr:cNvPr>
        <xdr:cNvSpPr txBox="1">
          <a:spLocks noChangeAspect="1"/>
        </xdr:cNvSpPr>
      </xdr:nvSpPr>
      <xdr:spPr>
        <a:xfrm>
          <a:off x="6286500" y="4038600"/>
          <a:ext cx="785284" cy="307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latin typeface="Meiryo UI" panose="020B0604030504040204" pitchFamily="50" charset="-128"/>
              <a:ea typeface="Meiryo UI" panose="020B0604030504040204" pitchFamily="50" charset="-128"/>
            </a:rPr>
            <a:t>１号線</a:t>
          </a:r>
        </a:p>
      </xdr:txBody>
    </xdr:sp>
    <xdr:clientData/>
  </xdr:twoCellAnchor>
  <xdr:twoCellAnchor>
    <xdr:from>
      <xdr:col>24</xdr:col>
      <xdr:colOff>148166</xdr:colOff>
      <xdr:row>20</xdr:row>
      <xdr:rowOff>95249</xdr:rowOff>
    </xdr:from>
    <xdr:to>
      <xdr:col>29</xdr:col>
      <xdr:colOff>47625</xdr:colOff>
      <xdr:row>22</xdr:row>
      <xdr:rowOff>28574</xdr:rowOff>
    </xdr:to>
    <xdr:sp macro="" textlink="">
      <xdr:nvSpPr>
        <xdr:cNvPr id="33" name="テキスト ボックス 32">
          <a:extLst>
            <a:ext uri="{FF2B5EF4-FFF2-40B4-BE49-F238E27FC236}">
              <a16:creationId xmlns:a16="http://schemas.microsoft.com/office/drawing/2014/main" id="{00000000-0008-0000-0800-000021000000}"/>
            </a:ext>
          </a:extLst>
        </xdr:cNvPr>
        <xdr:cNvSpPr txBox="1">
          <a:spLocks noChangeAspect="1"/>
        </xdr:cNvSpPr>
      </xdr:nvSpPr>
      <xdr:spPr>
        <a:xfrm>
          <a:off x="4262966" y="4048124"/>
          <a:ext cx="756709"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latin typeface="Meiryo UI" panose="020B0604030504040204" pitchFamily="50" charset="-128"/>
              <a:ea typeface="Meiryo UI" panose="020B0604030504040204" pitchFamily="50" charset="-128"/>
            </a:rPr>
            <a:t>２号線</a:t>
          </a:r>
        </a:p>
      </xdr:txBody>
    </xdr:sp>
    <xdr:clientData/>
  </xdr:twoCellAnchor>
  <xdr:twoCellAnchor>
    <xdr:from>
      <xdr:col>58</xdr:col>
      <xdr:colOff>10584</xdr:colOff>
      <xdr:row>56</xdr:row>
      <xdr:rowOff>0</xdr:rowOff>
    </xdr:from>
    <xdr:to>
      <xdr:col>59</xdr:col>
      <xdr:colOff>10583</xdr:colOff>
      <xdr:row>64</xdr:row>
      <xdr:rowOff>0</xdr:rowOff>
    </xdr:to>
    <xdr:sp macro="" textlink="">
      <xdr:nvSpPr>
        <xdr:cNvPr id="34" name="角丸四角形 33">
          <a:extLst>
            <a:ext uri="{FF2B5EF4-FFF2-40B4-BE49-F238E27FC236}">
              <a16:creationId xmlns:a16="http://schemas.microsoft.com/office/drawing/2014/main" id="{00000000-0008-0000-0800-000022000000}"/>
            </a:ext>
          </a:extLst>
        </xdr:cNvPr>
        <xdr:cNvSpPr>
          <a:spLocks noChangeAspect="1"/>
        </xdr:cNvSpPr>
      </xdr:nvSpPr>
      <xdr:spPr>
        <a:xfrm>
          <a:off x="9954684" y="10467975"/>
          <a:ext cx="171449" cy="14478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58</xdr:col>
      <xdr:colOff>0</xdr:colOff>
      <xdr:row>18</xdr:row>
      <xdr:rowOff>63500</xdr:rowOff>
    </xdr:from>
    <xdr:to>
      <xdr:col>58</xdr:col>
      <xdr:colOff>169333</xdr:colOff>
      <xdr:row>21</xdr:row>
      <xdr:rowOff>95250</xdr:rowOff>
    </xdr:to>
    <xdr:sp macro="" textlink="">
      <xdr:nvSpPr>
        <xdr:cNvPr id="35" name="角丸四角形 34">
          <a:extLst>
            <a:ext uri="{FF2B5EF4-FFF2-40B4-BE49-F238E27FC236}">
              <a16:creationId xmlns:a16="http://schemas.microsoft.com/office/drawing/2014/main" id="{00000000-0008-0000-0800-000023000000}"/>
            </a:ext>
          </a:extLst>
        </xdr:cNvPr>
        <xdr:cNvSpPr>
          <a:spLocks noChangeAspect="1"/>
        </xdr:cNvSpPr>
      </xdr:nvSpPr>
      <xdr:spPr>
        <a:xfrm>
          <a:off x="9944100" y="3654425"/>
          <a:ext cx="169333" cy="57467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10280</xdr:colOff>
      <xdr:row>10</xdr:row>
      <xdr:rowOff>55888</xdr:rowOff>
    </xdr:from>
    <xdr:to>
      <xdr:col>20</xdr:col>
      <xdr:colOff>16371</xdr:colOff>
      <xdr:row>18</xdr:row>
      <xdr:rowOff>97762</xdr:rowOff>
    </xdr:to>
    <xdr:sp macro="" textlink="">
      <xdr:nvSpPr>
        <xdr:cNvPr id="36" name="テキスト ボックス 35">
          <a:extLst>
            <a:ext uri="{FF2B5EF4-FFF2-40B4-BE49-F238E27FC236}">
              <a16:creationId xmlns:a16="http://schemas.microsoft.com/office/drawing/2014/main" id="{00000000-0008-0000-0800-000024000000}"/>
            </a:ext>
          </a:extLst>
        </xdr:cNvPr>
        <xdr:cNvSpPr txBox="1">
          <a:spLocks noChangeAspect="1"/>
        </xdr:cNvSpPr>
      </xdr:nvSpPr>
      <xdr:spPr>
        <a:xfrm rot="19710522">
          <a:off x="3096380" y="2199013"/>
          <a:ext cx="348991" cy="148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pPr algn="ctr"/>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十三筋</a:t>
          </a:r>
          <a:r>
            <a:rPr kumimoji="1" lang="en-US" altLang="ja-JP" sz="1400" b="1">
              <a:latin typeface="Meiryo UI" panose="020B0604030504040204" pitchFamily="50" charset="-128"/>
              <a:ea typeface="Meiryo UI" panose="020B0604030504040204" pitchFamily="50" charset="-128"/>
            </a:rPr>
            <a:t>)</a:t>
          </a: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34</xdr:col>
      <xdr:colOff>128965</xdr:colOff>
      <xdr:row>39</xdr:row>
      <xdr:rowOff>43543</xdr:rowOff>
    </xdr:from>
    <xdr:to>
      <xdr:col>37</xdr:col>
      <xdr:colOff>32878</xdr:colOff>
      <xdr:row>47</xdr:row>
      <xdr:rowOff>40821</xdr:rowOff>
    </xdr:to>
    <xdr:sp macro="" textlink="">
      <xdr:nvSpPr>
        <xdr:cNvPr id="37" name="テキスト ボックス 36">
          <a:extLst>
            <a:ext uri="{FF2B5EF4-FFF2-40B4-BE49-F238E27FC236}">
              <a16:creationId xmlns:a16="http://schemas.microsoft.com/office/drawing/2014/main" id="{00000000-0008-0000-0800-000025000000}"/>
            </a:ext>
          </a:extLst>
        </xdr:cNvPr>
        <xdr:cNvSpPr txBox="1">
          <a:spLocks noChangeAspect="1"/>
        </xdr:cNvSpPr>
      </xdr:nvSpPr>
      <xdr:spPr>
        <a:xfrm>
          <a:off x="5958265" y="7434943"/>
          <a:ext cx="418263" cy="1445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300"/>
            <a:t>（</a:t>
          </a:r>
          <a:r>
            <a:rPr kumimoji="1" lang="ja-JP" altLang="en-US" sz="1300" b="1">
              <a:latin typeface="Meiryo UI" panose="020B0604030504040204" pitchFamily="50" charset="-128"/>
              <a:ea typeface="Meiryo UI" panose="020B0604030504040204" pitchFamily="50" charset="-128"/>
            </a:rPr>
            <a:t>谷町筋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34</xdr:col>
      <xdr:colOff>108759</xdr:colOff>
      <xdr:row>56</xdr:row>
      <xdr:rowOff>84665</xdr:rowOff>
    </xdr:from>
    <xdr:to>
      <xdr:col>36</xdr:col>
      <xdr:colOff>119593</xdr:colOff>
      <xdr:row>65</xdr:row>
      <xdr:rowOff>163285</xdr:rowOff>
    </xdr:to>
    <xdr:sp macro="" textlink="">
      <xdr:nvSpPr>
        <xdr:cNvPr id="38" name="テキスト ボックス 37">
          <a:extLst>
            <a:ext uri="{FF2B5EF4-FFF2-40B4-BE49-F238E27FC236}">
              <a16:creationId xmlns:a16="http://schemas.microsoft.com/office/drawing/2014/main" id="{00000000-0008-0000-0800-000026000000}"/>
            </a:ext>
          </a:extLst>
        </xdr:cNvPr>
        <xdr:cNvSpPr txBox="1">
          <a:spLocks noChangeAspect="1"/>
        </xdr:cNvSpPr>
      </xdr:nvSpPr>
      <xdr:spPr>
        <a:xfrm>
          <a:off x="5938059" y="10552640"/>
          <a:ext cx="353734" cy="1707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300"/>
            <a:t>（</a:t>
          </a:r>
          <a:r>
            <a:rPr kumimoji="1" lang="ja-JP" altLang="en-US" sz="1300" b="1">
              <a:latin typeface="Meiryo UI" panose="020B0604030504040204" pitchFamily="50" charset="-128"/>
              <a:ea typeface="Meiryo UI" panose="020B0604030504040204" pitchFamily="50" charset="-128"/>
            </a:rPr>
            <a:t>あべの筋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41</xdr:col>
      <xdr:colOff>114300</xdr:colOff>
      <xdr:row>58</xdr:row>
      <xdr:rowOff>120651</xdr:rowOff>
    </xdr:from>
    <xdr:to>
      <xdr:col>43</xdr:col>
      <xdr:colOff>95250</xdr:colOff>
      <xdr:row>67</xdr:row>
      <xdr:rowOff>149679</xdr:rowOff>
    </xdr:to>
    <xdr:sp macro="" textlink="">
      <xdr:nvSpPr>
        <xdr:cNvPr id="39" name="テキスト ボックス 38">
          <a:extLst>
            <a:ext uri="{FF2B5EF4-FFF2-40B4-BE49-F238E27FC236}">
              <a16:creationId xmlns:a16="http://schemas.microsoft.com/office/drawing/2014/main" id="{00000000-0008-0000-0800-000027000000}"/>
            </a:ext>
          </a:extLst>
        </xdr:cNvPr>
        <xdr:cNvSpPr txBox="1">
          <a:spLocks noChangeAspect="1"/>
        </xdr:cNvSpPr>
      </xdr:nvSpPr>
      <xdr:spPr>
        <a:xfrm>
          <a:off x="7143750" y="10950576"/>
          <a:ext cx="323850" cy="1657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en-US" altLang="ja-JP" sz="1300" b="1">
              <a:latin typeface="Meiryo UI" panose="020B0604030504040204" pitchFamily="50" charset="-128"/>
              <a:ea typeface="Meiryo UI" panose="020B0604030504040204" pitchFamily="50" charset="-128"/>
            </a:rPr>
            <a:t>(</a:t>
          </a:r>
          <a:r>
            <a:rPr kumimoji="1" lang="ja-JP" altLang="en-US" sz="1300" b="1">
              <a:latin typeface="Meiryo UI" panose="020B0604030504040204" pitchFamily="50" charset="-128"/>
              <a:ea typeface="Meiryo UI" panose="020B0604030504040204" pitchFamily="50" charset="-128"/>
            </a:rPr>
            <a:t>あびこ筋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10</xdr:col>
      <xdr:colOff>142875</xdr:colOff>
      <xdr:row>7</xdr:row>
      <xdr:rowOff>57150</xdr:rowOff>
    </xdr:from>
    <xdr:to>
      <xdr:col>16</xdr:col>
      <xdr:colOff>161925</xdr:colOff>
      <xdr:row>9</xdr:row>
      <xdr:rowOff>9526</xdr:rowOff>
    </xdr:to>
    <xdr:sp macro="" textlink="">
      <xdr:nvSpPr>
        <xdr:cNvPr id="40" name="テキスト ボックス 39">
          <a:extLst>
            <a:ext uri="{FF2B5EF4-FFF2-40B4-BE49-F238E27FC236}">
              <a16:creationId xmlns:a16="http://schemas.microsoft.com/office/drawing/2014/main" id="{00000000-0008-0000-0800-000028000000}"/>
            </a:ext>
          </a:extLst>
        </xdr:cNvPr>
        <xdr:cNvSpPr txBox="1">
          <a:spLocks noChangeAspect="1"/>
        </xdr:cNvSpPr>
      </xdr:nvSpPr>
      <xdr:spPr>
        <a:xfrm>
          <a:off x="1857375" y="1657350"/>
          <a:ext cx="1047750" cy="314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ja-JP" altLang="ja-JP" sz="1400" b="1">
              <a:solidFill>
                <a:schemeClr val="dk1"/>
              </a:solidFill>
              <a:latin typeface="Meiryo UI" panose="020B0604030504040204" pitchFamily="50" charset="-128"/>
              <a:ea typeface="Meiryo UI" panose="020B0604030504040204" pitchFamily="50" charset="-128"/>
              <a:cs typeface="Arial" panose="020B0604020202020204" pitchFamily="34" charset="0"/>
            </a:rPr>
            <a:t>大阪伊丹線</a:t>
          </a:r>
          <a:endParaRPr lang="ja-JP" altLang="ja-JP" sz="1400" b="1">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10</xdr:col>
      <xdr:colOff>133350</xdr:colOff>
      <xdr:row>28</xdr:row>
      <xdr:rowOff>142875</xdr:rowOff>
    </xdr:from>
    <xdr:to>
      <xdr:col>16</xdr:col>
      <xdr:colOff>161925</xdr:colOff>
      <xdr:row>30</xdr:row>
      <xdr:rowOff>152400</xdr:rowOff>
    </xdr:to>
    <xdr:sp macro="" textlink="">
      <xdr:nvSpPr>
        <xdr:cNvPr id="41" name="テキスト ボックス 40">
          <a:extLst>
            <a:ext uri="{FF2B5EF4-FFF2-40B4-BE49-F238E27FC236}">
              <a16:creationId xmlns:a16="http://schemas.microsoft.com/office/drawing/2014/main" id="{00000000-0008-0000-0800-000029000000}"/>
            </a:ext>
          </a:extLst>
        </xdr:cNvPr>
        <xdr:cNvSpPr txBox="1">
          <a:spLocks noChangeAspect="1"/>
        </xdr:cNvSpPr>
      </xdr:nvSpPr>
      <xdr:spPr>
        <a:xfrm>
          <a:off x="1847850" y="5543550"/>
          <a:ext cx="105727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lang="ja-JP" altLang="en-US" sz="1400" b="1">
              <a:latin typeface="Meiryo UI" panose="020B0604030504040204" pitchFamily="50" charset="-128"/>
              <a:ea typeface="Meiryo UI" panose="020B0604030504040204" pitchFamily="50" charset="-128"/>
            </a:rPr>
            <a:t>築港深江線</a:t>
          </a:r>
          <a:endParaRPr lang="en-US" altLang="ja-JP" sz="1400" b="1">
            <a:latin typeface="Meiryo UI" panose="020B0604030504040204" pitchFamily="50" charset="-128"/>
            <a:ea typeface="Meiryo UI" panose="020B0604030504040204" pitchFamily="50" charset="-128"/>
          </a:endParaRPr>
        </a:p>
      </xdr:txBody>
    </xdr:sp>
    <xdr:clientData/>
  </xdr:twoCellAnchor>
  <xdr:twoCellAnchor>
    <xdr:from>
      <xdr:col>46</xdr:col>
      <xdr:colOff>133350</xdr:colOff>
      <xdr:row>64</xdr:row>
      <xdr:rowOff>85723</xdr:rowOff>
    </xdr:from>
    <xdr:to>
      <xdr:col>48</xdr:col>
      <xdr:colOff>154024</xdr:colOff>
      <xdr:row>82</xdr:row>
      <xdr:rowOff>68035</xdr:rowOff>
    </xdr:to>
    <xdr:sp macro="" textlink="">
      <xdr:nvSpPr>
        <xdr:cNvPr id="42" name="テキスト ボックス 41">
          <a:extLst>
            <a:ext uri="{FF2B5EF4-FFF2-40B4-BE49-F238E27FC236}">
              <a16:creationId xmlns:a16="http://schemas.microsoft.com/office/drawing/2014/main" id="{00000000-0008-0000-0800-00002A000000}"/>
            </a:ext>
          </a:extLst>
        </xdr:cNvPr>
        <xdr:cNvSpPr txBox="1">
          <a:spLocks noChangeAspect="1"/>
        </xdr:cNvSpPr>
      </xdr:nvSpPr>
      <xdr:spPr>
        <a:xfrm>
          <a:off x="8020050" y="12001498"/>
          <a:ext cx="363574" cy="3239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r>
            <a:rPr kumimoji="1" lang="ja-JP" altLang="ja-JP" sz="1400" b="1">
              <a:solidFill>
                <a:schemeClr val="dk1"/>
              </a:solidFill>
              <a:latin typeface="Meiryo UI" panose="020B0604030504040204" pitchFamily="50" charset="-128"/>
              <a:ea typeface="Meiryo UI" panose="020B0604030504040204" pitchFamily="50" charset="-128"/>
              <a:cs typeface="+mn-cs"/>
            </a:rPr>
            <a:t>４７９号線（内環状線）</a:t>
          </a:r>
          <a:endParaRPr lang="ja-JP" altLang="ja-JP" sz="1400" b="1">
            <a:latin typeface="Meiryo UI" panose="020B0604030504040204" pitchFamily="50" charset="-128"/>
            <a:ea typeface="Meiryo UI" panose="020B0604030504040204" pitchFamily="50" charset="-128"/>
          </a:endParaRPr>
        </a:p>
      </xdr:txBody>
    </xdr:sp>
    <xdr:clientData/>
  </xdr:twoCellAnchor>
  <xdr:twoCellAnchor>
    <xdr:from>
      <xdr:col>57</xdr:col>
      <xdr:colOff>102054</xdr:colOff>
      <xdr:row>64</xdr:row>
      <xdr:rowOff>46263</xdr:rowOff>
    </xdr:from>
    <xdr:to>
      <xdr:col>59</xdr:col>
      <xdr:colOff>119390</xdr:colOff>
      <xdr:row>73</xdr:row>
      <xdr:rowOff>122464</xdr:rowOff>
    </xdr:to>
    <xdr:sp macro="" textlink="">
      <xdr:nvSpPr>
        <xdr:cNvPr id="43" name="テキスト ボックス 42">
          <a:extLst>
            <a:ext uri="{FF2B5EF4-FFF2-40B4-BE49-F238E27FC236}">
              <a16:creationId xmlns:a16="http://schemas.microsoft.com/office/drawing/2014/main" id="{00000000-0008-0000-0800-00002B000000}"/>
            </a:ext>
          </a:extLst>
        </xdr:cNvPr>
        <xdr:cNvSpPr txBox="1">
          <a:spLocks noChangeAspect="1"/>
        </xdr:cNvSpPr>
      </xdr:nvSpPr>
      <xdr:spPr>
        <a:xfrm>
          <a:off x="9874704" y="11962038"/>
          <a:ext cx="360236" cy="1704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中央環状線</a:t>
          </a:r>
        </a:p>
      </xdr:txBody>
    </xdr:sp>
    <xdr:clientData/>
  </xdr:twoCellAnchor>
  <xdr:twoCellAnchor>
    <xdr:from>
      <xdr:col>10</xdr:col>
      <xdr:colOff>19050</xdr:colOff>
      <xdr:row>32</xdr:row>
      <xdr:rowOff>21166</xdr:rowOff>
    </xdr:from>
    <xdr:to>
      <xdr:col>18</xdr:col>
      <xdr:colOff>122465</xdr:colOff>
      <xdr:row>33</xdr:row>
      <xdr:rowOff>161335</xdr:rowOff>
    </xdr:to>
    <xdr:sp macro="" textlink="">
      <xdr:nvSpPr>
        <xdr:cNvPr id="44" name="テキスト ボックス 43">
          <a:extLst>
            <a:ext uri="{FF2B5EF4-FFF2-40B4-BE49-F238E27FC236}">
              <a16:creationId xmlns:a16="http://schemas.microsoft.com/office/drawing/2014/main" id="{00000000-0008-0000-0800-00002C000000}"/>
            </a:ext>
          </a:extLst>
        </xdr:cNvPr>
        <xdr:cNvSpPr txBox="1">
          <a:spLocks noChangeAspect="1"/>
        </xdr:cNvSpPr>
      </xdr:nvSpPr>
      <xdr:spPr>
        <a:xfrm>
          <a:off x="1733550" y="6145741"/>
          <a:ext cx="1475015" cy="321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latin typeface="Meiryo UI" panose="020B0604030504040204" pitchFamily="50" charset="-128"/>
              <a:ea typeface="Meiryo UI" panose="020B0604030504040204" pitchFamily="50" charset="-128"/>
            </a:rPr>
            <a:t>（中央大通）</a:t>
          </a:r>
        </a:p>
      </xdr:txBody>
    </xdr:sp>
    <xdr:clientData/>
  </xdr:twoCellAnchor>
  <xdr:twoCellAnchor>
    <xdr:from>
      <xdr:col>36</xdr:col>
      <xdr:colOff>68036</xdr:colOff>
      <xdr:row>18</xdr:row>
      <xdr:rowOff>78619</xdr:rowOff>
    </xdr:from>
    <xdr:to>
      <xdr:col>42</xdr:col>
      <xdr:colOff>3202</xdr:colOff>
      <xdr:row>20</xdr:row>
      <xdr:rowOff>27214</xdr:rowOff>
    </xdr:to>
    <xdr:sp macro="" textlink="$BU$10">
      <xdr:nvSpPr>
        <xdr:cNvPr id="45" name="テキスト ボックス 44">
          <a:extLst>
            <a:ext uri="{FF2B5EF4-FFF2-40B4-BE49-F238E27FC236}">
              <a16:creationId xmlns:a16="http://schemas.microsoft.com/office/drawing/2014/main" id="{00000000-0008-0000-0800-00002D000000}"/>
            </a:ext>
          </a:extLst>
        </xdr:cNvPr>
        <xdr:cNvSpPr txBox="1">
          <a:spLocks noChangeAspect="1"/>
        </xdr:cNvSpPr>
      </xdr:nvSpPr>
      <xdr:spPr>
        <a:xfrm>
          <a:off x="6240236" y="3669544"/>
          <a:ext cx="963866" cy="310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FACEDF5-5071-4D50-A4B7-A034A501FAB7}"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226件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24</xdr:col>
      <xdr:colOff>27214</xdr:colOff>
      <xdr:row>18</xdr:row>
      <xdr:rowOff>100983</xdr:rowOff>
    </xdr:from>
    <xdr:to>
      <xdr:col>30</xdr:col>
      <xdr:colOff>40821</xdr:colOff>
      <xdr:row>20</xdr:row>
      <xdr:rowOff>73141</xdr:rowOff>
    </xdr:to>
    <xdr:sp macro="" textlink="$BU$11">
      <xdr:nvSpPr>
        <xdr:cNvPr id="46" name="テキスト ボックス 45">
          <a:extLst>
            <a:ext uri="{FF2B5EF4-FFF2-40B4-BE49-F238E27FC236}">
              <a16:creationId xmlns:a16="http://schemas.microsoft.com/office/drawing/2014/main" id="{00000000-0008-0000-0800-00002E000000}"/>
            </a:ext>
          </a:extLst>
        </xdr:cNvPr>
        <xdr:cNvSpPr txBox="1">
          <a:spLocks noChangeAspect="1"/>
        </xdr:cNvSpPr>
      </xdr:nvSpPr>
      <xdr:spPr>
        <a:xfrm>
          <a:off x="4272643" y="3638840"/>
          <a:ext cx="1074964" cy="325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F32DD567-7875-4ADF-96BF-BAEA6A9A9F0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124件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12</xdr:col>
      <xdr:colOff>3478</xdr:colOff>
      <xdr:row>33</xdr:row>
      <xdr:rowOff>116264</xdr:rowOff>
    </xdr:from>
    <xdr:to>
      <xdr:col>17</xdr:col>
      <xdr:colOff>108857</xdr:colOff>
      <xdr:row>35</xdr:row>
      <xdr:rowOff>59994</xdr:rowOff>
    </xdr:to>
    <xdr:sp macro="" textlink="$BU$24">
      <xdr:nvSpPr>
        <xdr:cNvPr id="47" name="テキスト ボックス 46">
          <a:extLst>
            <a:ext uri="{FF2B5EF4-FFF2-40B4-BE49-F238E27FC236}">
              <a16:creationId xmlns:a16="http://schemas.microsoft.com/office/drawing/2014/main" id="{00000000-0008-0000-0800-00002F000000}"/>
            </a:ext>
          </a:extLst>
        </xdr:cNvPr>
        <xdr:cNvSpPr txBox="1">
          <a:spLocks noChangeAspect="1"/>
        </xdr:cNvSpPr>
      </xdr:nvSpPr>
      <xdr:spPr>
        <a:xfrm>
          <a:off x="2060878" y="6421814"/>
          <a:ext cx="962629" cy="305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B48E29FF-974F-4BAA-8110-B8D14C31DCDE}"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172件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39</xdr:col>
      <xdr:colOff>14514</xdr:colOff>
      <xdr:row>43</xdr:row>
      <xdr:rowOff>44903</xdr:rowOff>
    </xdr:from>
    <xdr:to>
      <xdr:col>45</xdr:col>
      <xdr:colOff>54427</xdr:colOff>
      <xdr:row>45</xdr:row>
      <xdr:rowOff>24391</xdr:rowOff>
    </xdr:to>
    <xdr:sp macro="" textlink="$BU$25">
      <xdr:nvSpPr>
        <xdr:cNvPr id="48" name="テキスト ボックス 47">
          <a:extLst>
            <a:ext uri="{FF2B5EF4-FFF2-40B4-BE49-F238E27FC236}">
              <a16:creationId xmlns:a16="http://schemas.microsoft.com/office/drawing/2014/main" id="{00000000-0008-0000-0800-000030000000}"/>
            </a:ext>
          </a:extLst>
        </xdr:cNvPr>
        <xdr:cNvSpPr txBox="1">
          <a:spLocks noChangeAspect="1"/>
        </xdr:cNvSpPr>
      </xdr:nvSpPr>
      <xdr:spPr>
        <a:xfrm>
          <a:off x="6913335" y="8005082"/>
          <a:ext cx="1101271" cy="333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601D4E9-ABE4-4D75-A73D-5DD152B3DABC}"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145件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41</xdr:col>
      <xdr:colOff>105834</xdr:colOff>
      <xdr:row>48</xdr:row>
      <xdr:rowOff>157239</xdr:rowOff>
    </xdr:from>
    <xdr:to>
      <xdr:col>47</xdr:col>
      <xdr:colOff>95250</xdr:colOff>
      <xdr:row>50</xdr:row>
      <xdr:rowOff>119281</xdr:rowOff>
    </xdr:to>
    <xdr:sp macro="" textlink="$BU$12">
      <xdr:nvSpPr>
        <xdr:cNvPr id="49" name="テキスト ボックス 48">
          <a:extLst>
            <a:ext uri="{FF2B5EF4-FFF2-40B4-BE49-F238E27FC236}">
              <a16:creationId xmlns:a16="http://schemas.microsoft.com/office/drawing/2014/main" id="{00000000-0008-0000-0800-000031000000}"/>
            </a:ext>
          </a:extLst>
        </xdr:cNvPr>
        <xdr:cNvSpPr txBox="1">
          <a:spLocks noChangeAspect="1"/>
        </xdr:cNvSpPr>
      </xdr:nvSpPr>
      <xdr:spPr>
        <a:xfrm>
          <a:off x="7358441" y="9001882"/>
          <a:ext cx="1050773" cy="315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DDEF81D-5B94-4331-9601-98E7A2AF7FA1}"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302件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45</xdr:col>
      <xdr:colOff>21771</xdr:colOff>
      <xdr:row>82</xdr:row>
      <xdr:rowOff>55789</xdr:rowOff>
    </xdr:from>
    <xdr:to>
      <xdr:col>51</xdr:col>
      <xdr:colOff>32176</xdr:colOff>
      <xdr:row>84</xdr:row>
      <xdr:rowOff>27213</xdr:rowOff>
    </xdr:to>
    <xdr:sp macro="" textlink="$BU$18">
      <xdr:nvSpPr>
        <xdr:cNvPr id="50" name="テキスト ボックス 49">
          <a:extLst>
            <a:ext uri="{FF2B5EF4-FFF2-40B4-BE49-F238E27FC236}">
              <a16:creationId xmlns:a16="http://schemas.microsoft.com/office/drawing/2014/main" id="{00000000-0008-0000-0800-000032000000}"/>
            </a:ext>
          </a:extLst>
        </xdr:cNvPr>
        <xdr:cNvSpPr txBox="1">
          <a:spLocks noChangeAspect="1"/>
        </xdr:cNvSpPr>
      </xdr:nvSpPr>
      <xdr:spPr>
        <a:xfrm>
          <a:off x="7981950" y="14914789"/>
          <a:ext cx="1071762" cy="3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23371C5-D2E2-4C6A-8E07-B415E8C48F59}"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325件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38</xdr:col>
      <xdr:colOff>100843</xdr:colOff>
      <xdr:row>74</xdr:row>
      <xdr:rowOff>72621</xdr:rowOff>
    </xdr:from>
    <xdr:to>
      <xdr:col>44</xdr:col>
      <xdr:colOff>122464</xdr:colOff>
      <xdr:row>76</xdr:row>
      <xdr:rowOff>45206</xdr:rowOff>
    </xdr:to>
    <xdr:sp macro="" textlink="$BU$21">
      <xdr:nvSpPr>
        <xdr:cNvPr id="51" name="テキスト ボックス 50">
          <a:extLst>
            <a:ext uri="{FF2B5EF4-FFF2-40B4-BE49-F238E27FC236}">
              <a16:creationId xmlns:a16="http://schemas.microsoft.com/office/drawing/2014/main" id="{00000000-0008-0000-0800-000033000000}"/>
            </a:ext>
          </a:extLst>
        </xdr:cNvPr>
        <xdr:cNvSpPr txBox="1">
          <a:spLocks noChangeAspect="1"/>
        </xdr:cNvSpPr>
      </xdr:nvSpPr>
      <xdr:spPr>
        <a:xfrm>
          <a:off x="6822772" y="13516478"/>
          <a:ext cx="1082978" cy="32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BEDC0977-8E26-41AD-AF44-97FD354269CA}"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111件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34</xdr:col>
      <xdr:colOff>40821</xdr:colOff>
      <xdr:row>76</xdr:row>
      <xdr:rowOff>150531</xdr:rowOff>
    </xdr:from>
    <xdr:to>
      <xdr:col>40</xdr:col>
      <xdr:colOff>81792</xdr:colOff>
      <xdr:row>78</xdr:row>
      <xdr:rowOff>122464</xdr:rowOff>
    </xdr:to>
    <xdr:sp macro="" textlink="$BU$20">
      <xdr:nvSpPr>
        <xdr:cNvPr id="52" name="テキスト ボックス 51">
          <a:extLst>
            <a:ext uri="{FF2B5EF4-FFF2-40B4-BE49-F238E27FC236}">
              <a16:creationId xmlns:a16="http://schemas.microsoft.com/office/drawing/2014/main" id="{00000000-0008-0000-0800-000034000000}"/>
            </a:ext>
          </a:extLst>
        </xdr:cNvPr>
        <xdr:cNvSpPr txBox="1">
          <a:spLocks noChangeAspect="1"/>
        </xdr:cNvSpPr>
      </xdr:nvSpPr>
      <xdr:spPr>
        <a:xfrm>
          <a:off x="6055178" y="13948174"/>
          <a:ext cx="1102328" cy="32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1D04C7C0-FB41-478B-918A-1D3728BC20FB}"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187件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25</xdr:col>
      <xdr:colOff>81642</xdr:colOff>
      <xdr:row>70</xdr:row>
      <xdr:rowOff>166006</xdr:rowOff>
    </xdr:from>
    <xdr:to>
      <xdr:col>33</xdr:col>
      <xdr:colOff>60953</xdr:colOff>
      <xdr:row>73</xdr:row>
      <xdr:rowOff>68035</xdr:rowOff>
    </xdr:to>
    <xdr:sp macro="" textlink="$BU$13">
      <xdr:nvSpPr>
        <xdr:cNvPr id="53" name="テキスト ボックス 52">
          <a:extLst>
            <a:ext uri="{FF2B5EF4-FFF2-40B4-BE49-F238E27FC236}">
              <a16:creationId xmlns:a16="http://schemas.microsoft.com/office/drawing/2014/main" id="{00000000-0008-0000-0800-000035000000}"/>
            </a:ext>
          </a:extLst>
        </xdr:cNvPr>
        <xdr:cNvSpPr txBox="1">
          <a:spLocks noChangeAspect="1"/>
        </xdr:cNvSpPr>
      </xdr:nvSpPr>
      <xdr:spPr>
        <a:xfrm>
          <a:off x="4503963" y="12902292"/>
          <a:ext cx="1394454" cy="432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00BC8A77-566F-4D2B-AF01-DEE9619152B4}" type="TxLink">
            <a:rPr kumimoji="1" lang="en-US" altLang="en-US" sz="1800" b="0" i="0" u="none" strike="noStrike">
              <a:solidFill>
                <a:srgbClr val="000000"/>
              </a:solidFill>
              <a:latin typeface="Arial" panose="020B0604020202020204" pitchFamily="34" charset="0"/>
              <a:ea typeface="Microsoft Yi Baiti" panose="03000500000000000000" pitchFamily="66" charset="0"/>
              <a:cs typeface="Arial" panose="020B0604020202020204" pitchFamily="34" charset="0"/>
            </a:rPr>
            <a:pPr algn="ctr"/>
            <a:t>137件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17</xdr:col>
      <xdr:colOff>42181</xdr:colOff>
      <xdr:row>83</xdr:row>
      <xdr:rowOff>10886</xdr:rowOff>
    </xdr:from>
    <xdr:to>
      <xdr:col>22</xdr:col>
      <xdr:colOff>160086</xdr:colOff>
      <xdr:row>84</xdr:row>
      <xdr:rowOff>136072</xdr:rowOff>
    </xdr:to>
    <xdr:sp macro="" textlink="$BU$22">
      <xdr:nvSpPr>
        <xdr:cNvPr id="54" name="テキスト ボックス 53">
          <a:extLst>
            <a:ext uri="{FF2B5EF4-FFF2-40B4-BE49-F238E27FC236}">
              <a16:creationId xmlns:a16="http://schemas.microsoft.com/office/drawing/2014/main" id="{00000000-0008-0000-0800-000036000000}"/>
            </a:ext>
          </a:extLst>
        </xdr:cNvPr>
        <xdr:cNvSpPr txBox="1">
          <a:spLocks noChangeAspect="1"/>
        </xdr:cNvSpPr>
      </xdr:nvSpPr>
      <xdr:spPr>
        <a:xfrm>
          <a:off x="3049360" y="15046779"/>
          <a:ext cx="1002369" cy="302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AF1904D9-3B49-4D09-9445-0CECCB63212E}"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142件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24</xdr:col>
      <xdr:colOff>176891</xdr:colOff>
      <xdr:row>6</xdr:row>
      <xdr:rowOff>36285</xdr:rowOff>
    </xdr:from>
    <xdr:to>
      <xdr:col>31</xdr:col>
      <xdr:colOff>27214</xdr:colOff>
      <xdr:row>8</xdr:row>
      <xdr:rowOff>9687</xdr:rowOff>
    </xdr:to>
    <xdr:sp macro="" textlink="$BU$17">
      <xdr:nvSpPr>
        <xdr:cNvPr id="55" name="テキスト ボックス 54">
          <a:extLst>
            <a:ext uri="{FF2B5EF4-FFF2-40B4-BE49-F238E27FC236}">
              <a16:creationId xmlns:a16="http://schemas.microsoft.com/office/drawing/2014/main" id="{00000000-0008-0000-0800-000037000000}"/>
            </a:ext>
          </a:extLst>
        </xdr:cNvPr>
        <xdr:cNvSpPr txBox="1">
          <a:spLocks noChangeAspect="1"/>
        </xdr:cNvSpPr>
      </xdr:nvSpPr>
      <xdr:spPr>
        <a:xfrm>
          <a:off x="4282166" y="1455510"/>
          <a:ext cx="1059998" cy="33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86185BC6-488C-4196-8F1D-4BFFCC01E7E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160件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11</xdr:col>
      <xdr:colOff>458</xdr:colOff>
      <xdr:row>9</xdr:row>
      <xdr:rowOff>25853</xdr:rowOff>
    </xdr:from>
    <xdr:to>
      <xdr:col>17</xdr:col>
      <xdr:colOff>39761</xdr:colOff>
      <xdr:row>11</xdr:row>
      <xdr:rowOff>13606</xdr:rowOff>
    </xdr:to>
    <xdr:sp macro="" textlink="$BU$23">
      <xdr:nvSpPr>
        <xdr:cNvPr id="56" name="テキスト ボックス 55">
          <a:extLst>
            <a:ext uri="{FF2B5EF4-FFF2-40B4-BE49-F238E27FC236}">
              <a16:creationId xmlns:a16="http://schemas.microsoft.com/office/drawing/2014/main" id="{00000000-0008-0000-0800-000038000000}"/>
            </a:ext>
          </a:extLst>
        </xdr:cNvPr>
        <xdr:cNvSpPr txBox="1">
          <a:spLocks noChangeAspect="1"/>
        </xdr:cNvSpPr>
      </xdr:nvSpPr>
      <xdr:spPr>
        <a:xfrm>
          <a:off x="1886408" y="1988003"/>
          <a:ext cx="1068003" cy="349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165F1B7F-42DE-426A-B236-8A4762DB54D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132件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6</xdr:col>
      <xdr:colOff>116731</xdr:colOff>
      <xdr:row>18</xdr:row>
      <xdr:rowOff>6026</xdr:rowOff>
    </xdr:from>
    <xdr:to>
      <xdr:col>7</xdr:col>
      <xdr:colOff>117198</xdr:colOff>
      <xdr:row>43</xdr:row>
      <xdr:rowOff>136659</xdr:rowOff>
    </xdr:to>
    <xdr:sp macro="" textlink="">
      <xdr:nvSpPr>
        <xdr:cNvPr id="57" name="角丸四角形 56">
          <a:extLst>
            <a:ext uri="{FF2B5EF4-FFF2-40B4-BE49-F238E27FC236}">
              <a16:creationId xmlns:a16="http://schemas.microsoft.com/office/drawing/2014/main" id="{00000000-0008-0000-0800-000039000000}"/>
            </a:ext>
          </a:extLst>
        </xdr:cNvPr>
        <xdr:cNvSpPr>
          <a:spLocks noChangeAspect="1"/>
        </xdr:cNvSpPr>
      </xdr:nvSpPr>
      <xdr:spPr>
        <a:xfrm rot="20078463" flipH="1">
          <a:off x="1145431" y="3596951"/>
          <a:ext cx="171917" cy="465500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0</xdr:colOff>
      <xdr:row>16</xdr:row>
      <xdr:rowOff>104775</xdr:rowOff>
    </xdr:from>
    <xdr:to>
      <xdr:col>8</xdr:col>
      <xdr:colOff>81643</xdr:colOff>
      <xdr:row>18</xdr:row>
      <xdr:rowOff>118697</xdr:rowOff>
    </xdr:to>
    <xdr:sp macro="" textlink="">
      <xdr:nvSpPr>
        <xdr:cNvPr id="58" name="テキスト ボックス 57">
          <a:extLst>
            <a:ext uri="{FF2B5EF4-FFF2-40B4-BE49-F238E27FC236}">
              <a16:creationId xmlns:a16="http://schemas.microsoft.com/office/drawing/2014/main" id="{00000000-0008-0000-0800-00003A000000}"/>
            </a:ext>
          </a:extLst>
        </xdr:cNvPr>
        <xdr:cNvSpPr txBox="1">
          <a:spLocks noChangeAspect="1"/>
        </xdr:cNvSpPr>
      </xdr:nvSpPr>
      <xdr:spPr>
        <a:xfrm>
          <a:off x="342900" y="3333750"/>
          <a:ext cx="1110343" cy="375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solidFill>
                <a:schemeClr val="dk1"/>
              </a:solidFill>
              <a:latin typeface="Meiryo UI" panose="020B0604030504040204" pitchFamily="50" charset="-128"/>
              <a:ea typeface="Meiryo UI" panose="020B0604030504040204" pitchFamily="50" charset="-128"/>
              <a:cs typeface="+mn-cs"/>
            </a:rPr>
            <a:t>４３号</a:t>
          </a:r>
          <a:r>
            <a:rPr kumimoji="1" lang="ja-JP" altLang="ja-JP" sz="1400" b="1">
              <a:solidFill>
                <a:schemeClr val="dk1"/>
              </a:solidFill>
              <a:latin typeface="Meiryo UI" panose="020B0604030504040204" pitchFamily="50" charset="-128"/>
              <a:ea typeface="Meiryo UI" panose="020B0604030504040204" pitchFamily="50" charset="-128"/>
              <a:cs typeface="+mn-cs"/>
            </a:rPr>
            <a:t>線</a:t>
          </a:r>
          <a:endParaRPr lang="ja-JP" altLang="ja-JP" sz="1400" b="1">
            <a:latin typeface="Meiryo UI" panose="020B0604030504040204" pitchFamily="50" charset="-128"/>
            <a:ea typeface="Meiryo UI" panose="020B0604030504040204" pitchFamily="50" charset="-128"/>
          </a:endParaRPr>
        </a:p>
      </xdr:txBody>
    </xdr:sp>
    <xdr:clientData/>
  </xdr:twoCellAnchor>
  <xdr:twoCellAnchor>
    <xdr:from>
      <xdr:col>2</xdr:col>
      <xdr:colOff>78619</xdr:colOff>
      <xdr:row>18</xdr:row>
      <xdr:rowOff>81642</xdr:rowOff>
    </xdr:from>
    <xdr:to>
      <xdr:col>8</xdr:col>
      <xdr:colOff>68035</xdr:colOff>
      <xdr:row>20</xdr:row>
      <xdr:rowOff>43683</xdr:rowOff>
    </xdr:to>
    <xdr:sp macro="" textlink="$BU$14">
      <xdr:nvSpPr>
        <xdr:cNvPr id="59" name="テキスト ボックス 58">
          <a:extLst>
            <a:ext uri="{FF2B5EF4-FFF2-40B4-BE49-F238E27FC236}">
              <a16:creationId xmlns:a16="http://schemas.microsoft.com/office/drawing/2014/main" id="{00000000-0008-0000-0800-00003B000000}"/>
            </a:ext>
          </a:extLst>
        </xdr:cNvPr>
        <xdr:cNvSpPr txBox="1">
          <a:spLocks noChangeAspect="1"/>
        </xdr:cNvSpPr>
      </xdr:nvSpPr>
      <xdr:spPr>
        <a:xfrm>
          <a:off x="432405" y="3619499"/>
          <a:ext cx="1050773" cy="315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2144607C-CEA8-4CA9-9494-7451B493484C}"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112件</a:t>
          </a:fld>
          <a:endParaRPr kumimoji="1" lang="ja-JP" altLang="en-US" sz="2000" b="0">
            <a:latin typeface="Arial" panose="020B0604020202020204" pitchFamily="34" charset="0"/>
            <a:cs typeface="Arial" panose="020B0604020202020204" pitchFamily="34" charset="0"/>
          </a:endParaRPr>
        </a:p>
      </xdr:txBody>
    </xdr:sp>
    <xdr:clientData/>
  </xdr:twoCellAnchor>
  <xdr:twoCellAnchor>
    <xdr:from>
      <xdr:col>10</xdr:col>
      <xdr:colOff>13161</xdr:colOff>
      <xdr:row>51</xdr:row>
      <xdr:rowOff>58488</xdr:rowOff>
    </xdr:from>
    <xdr:to>
      <xdr:col>52</xdr:col>
      <xdr:colOff>72018</xdr:colOff>
      <xdr:row>52</xdr:row>
      <xdr:rowOff>104225</xdr:rowOff>
    </xdr:to>
    <xdr:sp macro="" textlink="">
      <xdr:nvSpPr>
        <xdr:cNvPr id="60" name="角丸四角形 59">
          <a:extLst>
            <a:ext uri="{FF2B5EF4-FFF2-40B4-BE49-F238E27FC236}">
              <a16:creationId xmlns:a16="http://schemas.microsoft.com/office/drawing/2014/main" id="{00000000-0008-0000-0800-00003C000000}"/>
            </a:ext>
          </a:extLst>
        </xdr:cNvPr>
        <xdr:cNvSpPr>
          <a:spLocks noChangeAspect="1"/>
        </xdr:cNvSpPr>
      </xdr:nvSpPr>
      <xdr:spPr>
        <a:xfrm rot="7030523" flipH="1">
          <a:off x="5244184" y="6105065"/>
          <a:ext cx="226712" cy="7259757"/>
        </a:xfrm>
        <a:prstGeom prst="roundRect">
          <a:avLst>
            <a:gd name="adj" fmla="val 50000"/>
          </a:avLst>
        </a:prstGeom>
        <a:ln>
          <a:noFill/>
        </a:ln>
        <a:scene3d>
          <a:camera prst="orthographicFront">
            <a:rot lat="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148914</xdr:colOff>
      <xdr:row>6</xdr:row>
      <xdr:rowOff>50893</xdr:rowOff>
    </xdr:from>
    <xdr:to>
      <xdr:col>24</xdr:col>
      <xdr:colOff>150680</xdr:colOff>
      <xdr:row>16</xdr:row>
      <xdr:rowOff>90603</xdr:rowOff>
    </xdr:to>
    <xdr:sp macro="" textlink="">
      <xdr:nvSpPr>
        <xdr:cNvPr id="61" name="角丸四角形 60">
          <a:extLst>
            <a:ext uri="{FF2B5EF4-FFF2-40B4-BE49-F238E27FC236}">
              <a16:creationId xmlns:a16="http://schemas.microsoft.com/office/drawing/2014/main" id="{00000000-0008-0000-0800-00003D000000}"/>
            </a:ext>
          </a:extLst>
        </xdr:cNvPr>
        <xdr:cNvSpPr>
          <a:spLocks noChangeAspect="1"/>
        </xdr:cNvSpPr>
      </xdr:nvSpPr>
      <xdr:spPr>
        <a:xfrm rot="456605">
          <a:off x="4092264" y="1470118"/>
          <a:ext cx="173216" cy="184946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114300</xdr:colOff>
      <xdr:row>4</xdr:row>
      <xdr:rowOff>38100</xdr:rowOff>
    </xdr:from>
    <xdr:to>
      <xdr:col>27</xdr:col>
      <xdr:colOff>42332</xdr:colOff>
      <xdr:row>5</xdr:row>
      <xdr:rowOff>164043</xdr:rowOff>
    </xdr:to>
    <xdr:sp macro="" textlink="">
      <xdr:nvSpPr>
        <xdr:cNvPr id="62" name="テキスト ボックス 61">
          <a:extLst>
            <a:ext uri="{FF2B5EF4-FFF2-40B4-BE49-F238E27FC236}">
              <a16:creationId xmlns:a16="http://schemas.microsoft.com/office/drawing/2014/main" id="{00000000-0008-0000-0800-00003E000000}"/>
            </a:ext>
          </a:extLst>
        </xdr:cNvPr>
        <xdr:cNvSpPr txBox="1">
          <a:spLocks noChangeAspect="1"/>
        </xdr:cNvSpPr>
      </xdr:nvSpPr>
      <xdr:spPr>
        <a:xfrm>
          <a:off x="3886200" y="1095375"/>
          <a:ext cx="785282" cy="306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en-US" altLang="ja-JP" sz="1400" b="1">
              <a:solidFill>
                <a:schemeClr val="dk1"/>
              </a:solidFill>
              <a:latin typeface="Meiryo UI" panose="020B0604030504040204" pitchFamily="50" charset="-128"/>
              <a:ea typeface="Meiryo UI" panose="020B0604030504040204" pitchFamily="50" charset="-128"/>
              <a:cs typeface="+mn-cs"/>
            </a:rPr>
            <a:t>176</a:t>
          </a:r>
          <a:r>
            <a:rPr kumimoji="1" lang="ja-JP" altLang="en-US" sz="1400" b="1">
              <a:solidFill>
                <a:schemeClr val="dk1"/>
              </a:solidFill>
              <a:latin typeface="Meiryo UI" panose="020B0604030504040204" pitchFamily="50" charset="-128"/>
              <a:ea typeface="Meiryo UI" panose="020B0604030504040204" pitchFamily="50" charset="-128"/>
              <a:cs typeface="+mn-cs"/>
            </a:rPr>
            <a:t>号</a:t>
          </a:r>
          <a:r>
            <a:rPr kumimoji="1" lang="ja-JP" altLang="ja-JP" sz="1400" b="1">
              <a:solidFill>
                <a:schemeClr val="dk1"/>
              </a:solidFill>
              <a:latin typeface="Meiryo UI" panose="020B0604030504040204" pitchFamily="50" charset="-128"/>
              <a:ea typeface="Meiryo UI" panose="020B0604030504040204" pitchFamily="50" charset="-128"/>
              <a:cs typeface="+mn-cs"/>
            </a:rPr>
            <a:t>線</a:t>
          </a:r>
          <a:endParaRPr lang="ja-JP" altLang="ja-JP" sz="1400" b="1">
            <a:latin typeface="Meiryo UI" panose="020B0604030504040204" pitchFamily="50" charset="-128"/>
            <a:ea typeface="Meiryo UI" panose="020B0604030504040204" pitchFamily="50" charset="-128"/>
          </a:endParaRPr>
        </a:p>
      </xdr:txBody>
    </xdr:sp>
    <xdr:clientData/>
  </xdr:twoCellAnchor>
  <xdr:twoCellAnchor>
    <xdr:from>
      <xdr:col>18</xdr:col>
      <xdr:colOff>136072</xdr:colOff>
      <xdr:row>5</xdr:row>
      <xdr:rowOff>163285</xdr:rowOff>
    </xdr:from>
    <xdr:to>
      <xdr:col>25</xdr:col>
      <xdr:colOff>63761</xdr:colOff>
      <xdr:row>7</xdr:row>
      <xdr:rowOff>163285</xdr:rowOff>
    </xdr:to>
    <xdr:sp macro="" textlink="$BU$15">
      <xdr:nvSpPr>
        <xdr:cNvPr id="63" name="テキスト ボックス 62">
          <a:extLst>
            <a:ext uri="{FF2B5EF4-FFF2-40B4-BE49-F238E27FC236}">
              <a16:creationId xmlns:a16="http://schemas.microsoft.com/office/drawing/2014/main" id="{00000000-0008-0000-0800-00003F000000}"/>
            </a:ext>
          </a:extLst>
        </xdr:cNvPr>
        <xdr:cNvSpPr txBox="1">
          <a:spLocks noChangeAspect="1"/>
        </xdr:cNvSpPr>
      </xdr:nvSpPr>
      <xdr:spPr>
        <a:xfrm>
          <a:off x="3222172" y="1401535"/>
          <a:ext cx="1127839"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170A76F-C265-46B6-BCFD-03283CB79729}"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107件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50</xdr:col>
      <xdr:colOff>125778</xdr:colOff>
      <xdr:row>31</xdr:row>
      <xdr:rowOff>148718</xdr:rowOff>
    </xdr:from>
    <xdr:to>
      <xdr:col>56</xdr:col>
      <xdr:colOff>108857</xdr:colOff>
      <xdr:row>33</xdr:row>
      <xdr:rowOff>108857</xdr:rowOff>
    </xdr:to>
    <xdr:sp macro="" textlink="$BU$16">
      <xdr:nvSpPr>
        <xdr:cNvPr id="64" name="テキスト ボックス 63">
          <a:extLst>
            <a:ext uri="{FF2B5EF4-FFF2-40B4-BE49-F238E27FC236}">
              <a16:creationId xmlns:a16="http://schemas.microsoft.com/office/drawing/2014/main" id="{00000000-0008-0000-0800-000040000000}"/>
            </a:ext>
          </a:extLst>
        </xdr:cNvPr>
        <xdr:cNvSpPr txBox="1">
          <a:spLocks noChangeAspect="1"/>
        </xdr:cNvSpPr>
      </xdr:nvSpPr>
      <xdr:spPr>
        <a:xfrm>
          <a:off x="8970421" y="5986182"/>
          <a:ext cx="1044436" cy="31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0AFB0DBC-64DD-4F3D-8408-391C575E634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114件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28</xdr:col>
      <xdr:colOff>15875</xdr:colOff>
      <xdr:row>31</xdr:row>
      <xdr:rowOff>127000</xdr:rowOff>
    </xdr:from>
    <xdr:to>
      <xdr:col>29</xdr:col>
      <xdr:colOff>111125</xdr:colOff>
      <xdr:row>40</xdr:row>
      <xdr:rowOff>31750</xdr:rowOff>
    </xdr:to>
    <xdr:sp macro="" textlink="">
      <xdr:nvSpPr>
        <xdr:cNvPr id="65" name="テキスト ボックス 64">
          <a:extLst>
            <a:ext uri="{FF2B5EF4-FFF2-40B4-BE49-F238E27FC236}">
              <a16:creationId xmlns:a16="http://schemas.microsoft.com/office/drawing/2014/main" id="{00000000-0008-0000-0800-000041000000}"/>
            </a:ext>
          </a:extLst>
        </xdr:cNvPr>
        <xdr:cNvSpPr txBox="1">
          <a:spLocks noChangeAspect="1"/>
        </xdr:cNvSpPr>
      </xdr:nvSpPr>
      <xdr:spPr>
        <a:xfrm>
          <a:off x="4816475" y="6070600"/>
          <a:ext cx="266700" cy="153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pPr algn="ctr"/>
          <a:r>
            <a:rPr kumimoji="1" lang="ja-JP" altLang="en-US" sz="1300"/>
            <a:t>（</a:t>
          </a:r>
          <a:r>
            <a:rPr kumimoji="1" lang="ja-JP" altLang="en-US" sz="1300" b="1">
              <a:latin typeface="Meiryo UI" panose="020B0604030504040204" pitchFamily="50" charset="-128"/>
              <a:ea typeface="Meiryo UI" panose="020B0604030504040204" pitchFamily="50" charset="-128"/>
            </a:rPr>
            <a:t>御堂筋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56</xdr:col>
      <xdr:colOff>72249</xdr:colOff>
      <xdr:row>73</xdr:row>
      <xdr:rowOff>108858</xdr:rowOff>
    </xdr:from>
    <xdr:to>
      <xdr:col>62</xdr:col>
      <xdr:colOff>131985</xdr:colOff>
      <xdr:row>75</xdr:row>
      <xdr:rowOff>95251</xdr:rowOff>
    </xdr:to>
    <xdr:sp macro="" textlink="$BU$19">
      <xdr:nvSpPr>
        <xdr:cNvPr id="66" name="テキスト ボックス 65">
          <a:extLst>
            <a:ext uri="{FF2B5EF4-FFF2-40B4-BE49-F238E27FC236}">
              <a16:creationId xmlns:a16="http://schemas.microsoft.com/office/drawing/2014/main" id="{00000000-0008-0000-0800-000042000000}"/>
            </a:ext>
          </a:extLst>
        </xdr:cNvPr>
        <xdr:cNvSpPr txBox="1">
          <a:spLocks noChangeAspect="1"/>
        </xdr:cNvSpPr>
      </xdr:nvSpPr>
      <xdr:spPr>
        <a:xfrm>
          <a:off x="9978249" y="13375822"/>
          <a:ext cx="1121093"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5BB143FB-F44B-4A62-9BE9-CE377EC444C7}"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112件</a:t>
          </a:fld>
          <a:endParaRPr kumimoji="1" lang="en-US" altLang="ja-JP" sz="200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xdr:colOff>
      <xdr:row>1</xdr:row>
      <xdr:rowOff>9524</xdr:rowOff>
    </xdr:from>
    <xdr:to>
      <xdr:col>1</xdr:col>
      <xdr:colOff>571500</xdr:colOff>
      <xdr:row>3</xdr:row>
      <xdr:rowOff>9525</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19050" y="276224"/>
          <a:ext cx="666750" cy="3143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514350</xdr:colOff>
      <xdr:row>3</xdr:row>
      <xdr:rowOff>0</xdr:rowOff>
    </xdr:from>
    <xdr:to>
      <xdr:col>0</xdr:col>
      <xdr:colOff>561975</xdr:colOff>
      <xdr:row>3</xdr:row>
      <xdr:rowOff>9525</xdr:rowOff>
    </xdr:to>
    <xdr:sp macro="" textlink="">
      <xdr:nvSpPr>
        <xdr:cNvPr id="3" name="Line 4">
          <a:extLst>
            <a:ext uri="{FF2B5EF4-FFF2-40B4-BE49-F238E27FC236}">
              <a16:creationId xmlns:a16="http://schemas.microsoft.com/office/drawing/2014/main" id="{00000000-0008-0000-0900-000003000000}"/>
            </a:ext>
          </a:extLst>
        </xdr:cNvPr>
        <xdr:cNvSpPr>
          <a:spLocks noChangeShapeType="1"/>
        </xdr:cNvSpPr>
      </xdr:nvSpPr>
      <xdr:spPr bwMode="auto">
        <a:xfrm>
          <a:off x="514350" y="447675"/>
          <a:ext cx="476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19050</xdr:rowOff>
    </xdr:from>
    <xdr:to>
      <xdr:col>2</xdr:col>
      <xdr:colOff>19050</xdr:colOff>
      <xdr:row>21</xdr:row>
      <xdr:rowOff>161925</xdr:rowOff>
    </xdr:to>
    <xdr:sp macro="" textlink="">
      <xdr:nvSpPr>
        <xdr:cNvPr id="6" name="Line 13">
          <a:extLst>
            <a:ext uri="{FF2B5EF4-FFF2-40B4-BE49-F238E27FC236}">
              <a16:creationId xmlns:a16="http://schemas.microsoft.com/office/drawing/2014/main" id="{00000000-0008-0000-0900-000006000000}"/>
            </a:ext>
          </a:extLst>
        </xdr:cNvPr>
        <xdr:cNvSpPr>
          <a:spLocks noChangeShapeType="1"/>
        </xdr:cNvSpPr>
      </xdr:nvSpPr>
      <xdr:spPr bwMode="auto">
        <a:xfrm>
          <a:off x="0" y="4429125"/>
          <a:ext cx="600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219075</xdr:colOff>
      <xdr:row>3</xdr:row>
      <xdr:rowOff>133350</xdr:rowOff>
    </xdr:from>
    <xdr:to>
      <xdr:col>1</xdr:col>
      <xdr:colOff>561975</xdr:colOff>
      <xdr:row>3</xdr:row>
      <xdr:rowOff>180975</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flipH="1" flipV="1">
          <a:off x="333375" y="714375"/>
          <a:ext cx="342900" cy="47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xdr:row>
      <xdr:rowOff>0</xdr:rowOff>
    </xdr:from>
    <xdr:to>
      <xdr:col>1</xdr:col>
      <xdr:colOff>228600</xdr:colOff>
      <xdr:row>3</xdr:row>
      <xdr:rowOff>133350</xdr:rowOff>
    </xdr:to>
    <xdr:cxnSp macro="">
      <xdr:nvCxnSpPr>
        <xdr:cNvPr id="13" name="直線コネクタ 12">
          <a:extLst>
            <a:ext uri="{FF2B5EF4-FFF2-40B4-BE49-F238E27FC236}">
              <a16:creationId xmlns:a16="http://schemas.microsoft.com/office/drawing/2014/main" id="{00000000-0008-0000-0900-00000D000000}"/>
            </a:ext>
          </a:extLst>
        </xdr:cNvPr>
        <xdr:cNvCxnSpPr/>
      </xdr:nvCxnSpPr>
      <xdr:spPr>
        <a:xfrm flipH="1" flipV="1">
          <a:off x="9525" y="266700"/>
          <a:ext cx="333375"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20</xdr:row>
      <xdr:rowOff>19050</xdr:rowOff>
    </xdr:from>
    <xdr:to>
      <xdr:col>2</xdr:col>
      <xdr:colOff>438150</xdr:colOff>
      <xdr:row>21</xdr:row>
      <xdr:rowOff>19050</xdr:rowOff>
    </xdr:to>
    <xdr:cxnSp macro="">
      <xdr:nvCxnSpPr>
        <xdr:cNvPr id="18" name="直線コネクタ 17">
          <a:extLst>
            <a:ext uri="{FF2B5EF4-FFF2-40B4-BE49-F238E27FC236}">
              <a16:creationId xmlns:a16="http://schemas.microsoft.com/office/drawing/2014/main" id="{00000000-0008-0000-0900-000012000000}"/>
            </a:ext>
          </a:extLst>
        </xdr:cNvPr>
        <xdr:cNvCxnSpPr>
          <a:stCxn id="6" idx="0"/>
        </xdr:cNvCxnSpPr>
      </xdr:nvCxnSpPr>
      <xdr:spPr>
        <a:xfrm>
          <a:off x="0" y="4562475"/>
          <a:ext cx="113347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447675</xdr:colOff>
      <xdr:row>21</xdr:row>
      <xdr:rowOff>19050</xdr:rowOff>
    </xdr:from>
    <xdr:to>
      <xdr:col>3</xdr:col>
      <xdr:colOff>0</xdr:colOff>
      <xdr:row>22</xdr:row>
      <xdr:rowOff>0</xdr:rowOff>
    </xdr:to>
    <xdr:cxnSp macro="">
      <xdr:nvCxnSpPr>
        <xdr:cNvPr id="20" name="直線コネクタ 19">
          <a:extLst>
            <a:ext uri="{FF2B5EF4-FFF2-40B4-BE49-F238E27FC236}">
              <a16:creationId xmlns:a16="http://schemas.microsoft.com/office/drawing/2014/main" id="{00000000-0008-0000-0900-000014000000}"/>
            </a:ext>
          </a:extLst>
        </xdr:cNvPr>
        <xdr:cNvCxnSpPr/>
      </xdr:nvCxnSpPr>
      <xdr:spPr>
        <a:xfrm>
          <a:off x="1143000" y="4743450"/>
          <a:ext cx="17145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15</xdr:row>
      <xdr:rowOff>133350</xdr:rowOff>
    </xdr:from>
    <xdr:to>
      <xdr:col>12</xdr:col>
      <xdr:colOff>200025</xdr:colOff>
      <xdr:row>25</xdr:row>
      <xdr:rowOff>85725</xdr:rowOff>
    </xdr:to>
    <xdr:graphicFrame macro="">
      <xdr:nvGraphicFramePr>
        <xdr:cNvPr id="2" name="Chart 5">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27</xdr:row>
      <xdr:rowOff>28575</xdr:rowOff>
    </xdr:from>
    <xdr:to>
      <xdr:col>12</xdr:col>
      <xdr:colOff>228600</xdr:colOff>
      <xdr:row>36</xdr:row>
      <xdr:rowOff>38100</xdr:rowOff>
    </xdr:to>
    <xdr:graphicFrame macro="">
      <xdr:nvGraphicFramePr>
        <xdr:cNvPr id="3" name="Chart 10">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37</xdr:row>
      <xdr:rowOff>142875</xdr:rowOff>
    </xdr:from>
    <xdr:to>
      <xdr:col>12</xdr:col>
      <xdr:colOff>219075</xdr:colOff>
      <xdr:row>47</xdr:row>
      <xdr:rowOff>85725</xdr:rowOff>
    </xdr:to>
    <xdr:graphicFrame macro="">
      <xdr:nvGraphicFramePr>
        <xdr:cNvPr id="4" name="Chart 12">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0.03017</cdr:x>
      <cdr:y>0.60324</cdr:y>
    </cdr:from>
    <cdr:to>
      <cdr:x>0.13956</cdr:x>
      <cdr:y>0.72988</cdr:y>
    </cdr:to>
    <cdr:sp macro="" textlink="">
      <cdr:nvSpPr>
        <cdr:cNvPr id="10241" name="Text Box 1"/>
        <cdr:cNvSpPr txBox="1">
          <a:spLocks xmlns:a="http://schemas.openxmlformats.org/drawingml/2006/main" noChangeArrowheads="1"/>
        </cdr:cNvSpPr>
      </cdr:nvSpPr>
      <cdr:spPr bwMode="auto">
        <a:xfrm xmlns:a="http://schemas.openxmlformats.org/drawingml/2006/main">
          <a:off x="197733" y="1005519"/>
          <a:ext cx="716854" cy="2110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a:t>
          </a:r>
          <a:r>
            <a:rPr lang="en-US" altLang="ja-JP" sz="800" b="0" i="0" u="none" strike="noStrike" baseline="0">
              <a:solidFill>
                <a:srgbClr val="000000"/>
              </a:solidFill>
              <a:latin typeface="ＭＳ Ｐゴシック"/>
              <a:ea typeface="ＭＳ Ｐゴシック"/>
            </a:rPr>
            <a:t>4</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0.03163</cdr:x>
      <cdr:y>0.30051</cdr:y>
    </cdr:from>
    <cdr:to>
      <cdr:x>0.14126</cdr:x>
      <cdr:y>0.42715</cdr:y>
    </cdr:to>
    <cdr:sp macro="" textlink="">
      <cdr:nvSpPr>
        <cdr:cNvPr id="10242" name="Text Box 2"/>
        <cdr:cNvSpPr txBox="1">
          <a:spLocks xmlns:a="http://schemas.openxmlformats.org/drawingml/2006/main" noChangeArrowheads="1"/>
        </cdr:cNvSpPr>
      </cdr:nvSpPr>
      <cdr:spPr bwMode="auto">
        <a:xfrm xmlns:a="http://schemas.openxmlformats.org/drawingml/2006/main">
          <a:off x="210478" y="523623"/>
          <a:ext cx="732976" cy="2177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ゴシック"/>
              <a:ea typeface="ＭＳ Ｐゴシック"/>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0.02359</cdr:x>
      <cdr:y>0.59453</cdr:y>
    </cdr:from>
    <cdr:to>
      <cdr:x>0.1325</cdr:x>
      <cdr:y>0.73001</cdr:y>
    </cdr:to>
    <cdr:sp macro="" textlink="">
      <cdr:nvSpPr>
        <cdr:cNvPr id="25603" name="Text Box 3"/>
        <cdr:cNvSpPr txBox="1">
          <a:spLocks xmlns:a="http://schemas.openxmlformats.org/drawingml/2006/main" noChangeArrowheads="1"/>
        </cdr:cNvSpPr>
      </cdr:nvSpPr>
      <cdr:spPr bwMode="auto">
        <a:xfrm xmlns:a="http://schemas.openxmlformats.org/drawingml/2006/main">
          <a:off x="154815" y="923060"/>
          <a:ext cx="714746" cy="2103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a:t>
          </a:r>
          <a:r>
            <a:rPr lang="en-US" altLang="ja-JP" sz="800" b="0" i="0" u="none" strike="noStrike" baseline="0">
              <a:solidFill>
                <a:srgbClr val="000000"/>
              </a:solidFill>
              <a:latin typeface="ＭＳ Ｐゴシック"/>
              <a:ea typeface="ＭＳ Ｐゴシック"/>
            </a:rPr>
            <a:t>4</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0.02359</cdr:x>
      <cdr:y>0.32074</cdr:y>
    </cdr:from>
    <cdr:to>
      <cdr:x>0.1325</cdr:x>
      <cdr:y>0.45622</cdr:y>
    </cdr:to>
    <cdr:sp macro="" textlink="">
      <cdr:nvSpPr>
        <cdr:cNvPr id="25604" name="Text Box 4"/>
        <cdr:cNvSpPr txBox="1">
          <a:spLocks xmlns:a="http://schemas.openxmlformats.org/drawingml/2006/main" noChangeArrowheads="1"/>
        </cdr:cNvSpPr>
      </cdr:nvSpPr>
      <cdr:spPr bwMode="auto">
        <a:xfrm xmlns:a="http://schemas.openxmlformats.org/drawingml/2006/main">
          <a:off x="154815" y="497973"/>
          <a:ext cx="714746" cy="2103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ゴシック"/>
              <a:ea typeface="ＭＳ Ｐゴシック"/>
            </a:rPr>
            <a:t>年</a:t>
          </a:r>
        </a:p>
      </cdr:txBody>
    </cdr:sp>
  </cdr:relSizeAnchor>
</c:userShapes>
</file>

<file path=xl/drawings/drawing17.xml><?xml version="1.0" encoding="utf-8"?>
<c:userShapes xmlns:c="http://schemas.openxmlformats.org/drawingml/2006/chart">
  <cdr:relSizeAnchor xmlns:cdr="http://schemas.openxmlformats.org/drawingml/2006/chartDrawing">
    <cdr:from>
      <cdr:x>0.02445</cdr:x>
      <cdr:y>0.59118</cdr:y>
    </cdr:from>
    <cdr:to>
      <cdr:x>0.13384</cdr:x>
      <cdr:y>0.71872</cdr:y>
    </cdr:to>
    <cdr:sp macro="" textlink="">
      <cdr:nvSpPr>
        <cdr:cNvPr id="35842" name="Text Box 2"/>
        <cdr:cNvSpPr txBox="1">
          <a:spLocks xmlns:a="http://schemas.openxmlformats.org/drawingml/2006/main" noChangeArrowheads="1"/>
        </cdr:cNvSpPr>
      </cdr:nvSpPr>
      <cdr:spPr bwMode="auto">
        <a:xfrm xmlns:a="http://schemas.openxmlformats.org/drawingml/2006/main">
          <a:off x="159730" y="979785"/>
          <a:ext cx="714771" cy="2113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a:t>
          </a:r>
          <a:r>
            <a:rPr lang="en-US" altLang="ja-JP" sz="800" b="0" i="0" u="none" strike="noStrike" baseline="0">
              <a:solidFill>
                <a:srgbClr val="000000"/>
              </a:solidFill>
              <a:latin typeface="ＭＳ Ｐゴシック"/>
              <a:ea typeface="ＭＳ Ｐゴシック"/>
            </a:rPr>
            <a:t>4</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0.0242</cdr:x>
      <cdr:y>0.3164</cdr:y>
    </cdr:from>
    <cdr:to>
      <cdr:x>0.13383</cdr:x>
      <cdr:y>0.44394</cdr:y>
    </cdr:to>
    <cdr:sp macro="" textlink="">
      <cdr:nvSpPr>
        <cdr:cNvPr id="35843" name="Text Box 3"/>
        <cdr:cNvSpPr txBox="1">
          <a:spLocks xmlns:a="http://schemas.openxmlformats.org/drawingml/2006/main" noChangeArrowheads="1"/>
        </cdr:cNvSpPr>
      </cdr:nvSpPr>
      <cdr:spPr bwMode="auto">
        <a:xfrm xmlns:a="http://schemas.openxmlformats.org/drawingml/2006/main">
          <a:off x="158126" y="524388"/>
          <a:ext cx="716339" cy="2113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ゴシック"/>
              <a:ea typeface="ＭＳ Ｐゴシック"/>
            </a:rPr>
            <a:t>年</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19050</xdr:colOff>
      <xdr:row>1</xdr:row>
      <xdr:rowOff>9525</xdr:rowOff>
    </xdr:from>
    <xdr:to>
      <xdr:col>1</xdr:col>
      <xdr:colOff>304800</xdr:colOff>
      <xdr:row>4</xdr:row>
      <xdr:rowOff>161925</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19050" y="257175"/>
          <a:ext cx="54292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85723</xdr:colOff>
      <xdr:row>33</xdr:row>
      <xdr:rowOff>114298</xdr:rowOff>
    </xdr:from>
    <xdr:to>
      <xdr:col>12</xdr:col>
      <xdr:colOff>504825</xdr:colOff>
      <xdr:row>63</xdr:row>
      <xdr:rowOff>57149</xdr:rowOff>
    </xdr:to>
    <xdr:graphicFrame macro="">
      <xdr:nvGraphicFramePr>
        <xdr:cNvPr id="3" name="グラフ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171450</xdr:colOff>
      <xdr:row>52</xdr:row>
      <xdr:rowOff>76200</xdr:rowOff>
    </xdr:from>
    <xdr:to>
      <xdr:col>12</xdr:col>
      <xdr:colOff>314325</xdr:colOff>
      <xdr:row>53</xdr:row>
      <xdr:rowOff>153226</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4810125" y="10820400"/>
          <a:ext cx="1885950" cy="258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4</xdr:row>
      <xdr:rowOff>9525</xdr:rowOff>
    </xdr:from>
    <xdr:to>
      <xdr:col>3</xdr:col>
      <xdr:colOff>19050</xdr:colOff>
      <xdr:row>6</xdr:row>
      <xdr:rowOff>247650</xdr:rowOff>
    </xdr:to>
    <xdr:sp macro="" textlink="">
      <xdr:nvSpPr>
        <xdr:cNvPr id="2" name="Line 1">
          <a:extLst>
            <a:ext uri="{FF2B5EF4-FFF2-40B4-BE49-F238E27FC236}">
              <a16:creationId xmlns:a16="http://schemas.microsoft.com/office/drawing/2014/main" id="{00000000-0008-0000-0000-000096360000}"/>
            </a:ext>
          </a:extLst>
        </xdr:cNvPr>
        <xdr:cNvSpPr>
          <a:spLocks noChangeShapeType="1"/>
        </xdr:cNvSpPr>
      </xdr:nvSpPr>
      <xdr:spPr bwMode="auto">
        <a:xfrm>
          <a:off x="28575" y="590550"/>
          <a:ext cx="129540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4</xdr:row>
      <xdr:rowOff>19050</xdr:rowOff>
    </xdr:from>
    <xdr:to>
      <xdr:col>2</xdr:col>
      <xdr:colOff>0</xdr:colOff>
      <xdr:row>7</xdr:row>
      <xdr:rowOff>0</xdr:rowOff>
    </xdr:to>
    <xdr:sp macro="" textlink="">
      <xdr:nvSpPr>
        <xdr:cNvPr id="3" name="Line 2">
          <a:extLst>
            <a:ext uri="{FF2B5EF4-FFF2-40B4-BE49-F238E27FC236}">
              <a16:creationId xmlns:a16="http://schemas.microsoft.com/office/drawing/2014/main" id="{00000000-0008-0000-0000-000097360000}"/>
            </a:ext>
          </a:extLst>
        </xdr:cNvPr>
        <xdr:cNvSpPr>
          <a:spLocks noChangeShapeType="1"/>
        </xdr:cNvSpPr>
      </xdr:nvSpPr>
      <xdr:spPr bwMode="auto">
        <a:xfrm>
          <a:off x="66675" y="600075"/>
          <a:ext cx="6667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21</xdr:row>
      <xdr:rowOff>19050</xdr:rowOff>
    </xdr:from>
    <xdr:to>
      <xdr:col>4</xdr:col>
      <xdr:colOff>790575</xdr:colOff>
      <xdr:row>23</xdr:row>
      <xdr:rowOff>161925</xdr:rowOff>
    </xdr:to>
    <xdr:sp macro="" textlink="">
      <xdr:nvSpPr>
        <xdr:cNvPr id="4" name="Line 5">
          <a:extLst>
            <a:ext uri="{FF2B5EF4-FFF2-40B4-BE49-F238E27FC236}">
              <a16:creationId xmlns:a16="http://schemas.microsoft.com/office/drawing/2014/main" id="{00000000-0008-0000-0000-000098360000}"/>
            </a:ext>
          </a:extLst>
        </xdr:cNvPr>
        <xdr:cNvSpPr>
          <a:spLocks noChangeShapeType="1"/>
        </xdr:cNvSpPr>
      </xdr:nvSpPr>
      <xdr:spPr bwMode="auto">
        <a:xfrm>
          <a:off x="38100" y="4381500"/>
          <a:ext cx="28670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19050</xdr:colOff>
      <xdr:row>1</xdr:row>
      <xdr:rowOff>0</xdr:rowOff>
    </xdr:from>
    <xdr:to>
      <xdr:col>1</xdr:col>
      <xdr:colOff>1219200</xdr:colOff>
      <xdr:row>4</xdr:row>
      <xdr:rowOff>238125</xdr:rowOff>
    </xdr:to>
    <xdr:sp macro="" textlink="">
      <xdr:nvSpPr>
        <xdr:cNvPr id="2" name="Line 1">
          <a:extLst>
            <a:ext uri="{FF2B5EF4-FFF2-40B4-BE49-F238E27FC236}">
              <a16:creationId xmlns:a16="http://schemas.microsoft.com/office/drawing/2014/main" id="{00000000-0008-0000-0100-0000DE040000}"/>
            </a:ext>
          </a:extLst>
        </xdr:cNvPr>
        <xdr:cNvSpPr>
          <a:spLocks noChangeShapeType="1"/>
        </xdr:cNvSpPr>
      </xdr:nvSpPr>
      <xdr:spPr bwMode="auto">
        <a:xfrm>
          <a:off x="19050" y="200025"/>
          <a:ext cx="1276350" cy="828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9525</xdr:colOff>
      <xdr:row>3</xdr:row>
      <xdr:rowOff>0</xdr:rowOff>
    </xdr:from>
    <xdr:to>
      <xdr:col>4</xdr:col>
      <xdr:colOff>0</xdr:colOff>
      <xdr:row>5</xdr:row>
      <xdr:rowOff>152400</xdr:rowOff>
    </xdr:to>
    <xdr:sp macro="" textlink="">
      <xdr:nvSpPr>
        <xdr:cNvPr id="2" name="Line 1">
          <a:extLst>
            <a:ext uri="{FF2B5EF4-FFF2-40B4-BE49-F238E27FC236}">
              <a16:creationId xmlns:a16="http://schemas.microsoft.com/office/drawing/2014/main" id="{00000000-0008-0000-0200-0000DD080000}"/>
            </a:ext>
          </a:extLst>
        </xdr:cNvPr>
        <xdr:cNvSpPr>
          <a:spLocks noChangeShapeType="1"/>
        </xdr:cNvSpPr>
      </xdr:nvSpPr>
      <xdr:spPr bwMode="auto">
        <a:xfrm>
          <a:off x="857250" y="571500"/>
          <a:ext cx="206692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142875</xdr:rowOff>
    </xdr:from>
    <xdr:to>
      <xdr:col>8</xdr:col>
      <xdr:colOff>342900</xdr:colOff>
      <xdr:row>27</xdr:row>
      <xdr:rowOff>95250</xdr:rowOff>
    </xdr:to>
    <xdr:graphicFrame macro="">
      <xdr:nvGraphicFramePr>
        <xdr:cNvPr id="2" name="Chart 1025">
          <a:extLst>
            <a:ext uri="{FF2B5EF4-FFF2-40B4-BE49-F238E27FC236}">
              <a16:creationId xmlns:a16="http://schemas.microsoft.com/office/drawing/2014/main" id="{00000000-0008-0000-0300-0000677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9524</xdr:colOff>
      <xdr:row>28</xdr:row>
      <xdr:rowOff>0</xdr:rowOff>
    </xdr:from>
    <xdr:to>
      <xdr:col>8</xdr:col>
      <xdr:colOff>323849</xdr:colOff>
      <xdr:row>54</xdr:row>
      <xdr:rowOff>381000</xdr:rowOff>
    </xdr:to>
    <xdr:graphicFrame macro="">
      <xdr:nvGraphicFramePr>
        <xdr:cNvPr id="3" name="Chart 1027">
          <a:extLst>
            <a:ext uri="{FF2B5EF4-FFF2-40B4-BE49-F238E27FC236}">
              <a16:creationId xmlns:a16="http://schemas.microsoft.com/office/drawing/2014/main" id="{00000000-0008-0000-0300-0000687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57</xdr:row>
      <xdr:rowOff>9525</xdr:rowOff>
    </xdr:from>
    <xdr:to>
      <xdr:col>1</xdr:col>
      <xdr:colOff>0</xdr:colOff>
      <xdr:row>59</xdr:row>
      <xdr:rowOff>9525</xdr:rowOff>
    </xdr:to>
    <xdr:sp macro="" textlink="">
      <xdr:nvSpPr>
        <xdr:cNvPr id="4" name="Line 1028">
          <a:extLst>
            <a:ext uri="{FF2B5EF4-FFF2-40B4-BE49-F238E27FC236}">
              <a16:creationId xmlns:a16="http://schemas.microsoft.com/office/drawing/2014/main" id="{00000000-0008-0000-0300-000069770000}"/>
            </a:ext>
          </a:extLst>
        </xdr:cNvPr>
        <xdr:cNvSpPr>
          <a:spLocks noChangeShapeType="1"/>
        </xdr:cNvSpPr>
      </xdr:nvSpPr>
      <xdr:spPr bwMode="auto">
        <a:xfrm>
          <a:off x="47625" y="10763250"/>
          <a:ext cx="6381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xdr:row>
      <xdr:rowOff>19050</xdr:rowOff>
    </xdr:from>
    <xdr:to>
      <xdr:col>4</xdr:col>
      <xdr:colOff>9525</xdr:colOff>
      <xdr:row>5</xdr:row>
      <xdr:rowOff>9525</xdr:rowOff>
    </xdr:to>
    <xdr:sp macro="" textlink="">
      <xdr:nvSpPr>
        <xdr:cNvPr id="2" name="Line 1">
          <a:extLst>
            <a:ext uri="{FF2B5EF4-FFF2-40B4-BE49-F238E27FC236}">
              <a16:creationId xmlns:a16="http://schemas.microsoft.com/office/drawing/2014/main" id="{00000000-0008-0000-0400-0000923E0000}"/>
            </a:ext>
          </a:extLst>
        </xdr:cNvPr>
        <xdr:cNvSpPr>
          <a:spLocks noChangeShapeType="1"/>
        </xdr:cNvSpPr>
      </xdr:nvSpPr>
      <xdr:spPr bwMode="auto">
        <a:xfrm>
          <a:off x="0" y="590550"/>
          <a:ext cx="15335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9525</xdr:rowOff>
    </xdr:from>
    <xdr:to>
      <xdr:col>4</xdr:col>
      <xdr:colOff>19050</xdr:colOff>
      <xdr:row>15</xdr:row>
      <xdr:rowOff>171450</xdr:rowOff>
    </xdr:to>
    <xdr:sp macro="" textlink="">
      <xdr:nvSpPr>
        <xdr:cNvPr id="3" name="Line 2">
          <a:extLst>
            <a:ext uri="{FF2B5EF4-FFF2-40B4-BE49-F238E27FC236}">
              <a16:creationId xmlns:a16="http://schemas.microsoft.com/office/drawing/2014/main" id="{00000000-0008-0000-0400-0000933E0000}"/>
            </a:ext>
          </a:extLst>
        </xdr:cNvPr>
        <xdr:cNvSpPr>
          <a:spLocks noChangeShapeType="1"/>
        </xdr:cNvSpPr>
      </xdr:nvSpPr>
      <xdr:spPr bwMode="auto">
        <a:xfrm>
          <a:off x="0" y="4324350"/>
          <a:ext cx="15430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38</xdr:row>
      <xdr:rowOff>371475</xdr:rowOff>
    </xdr:from>
    <xdr:to>
      <xdr:col>17</xdr:col>
      <xdr:colOff>19050</xdr:colOff>
      <xdr:row>51</xdr:row>
      <xdr:rowOff>0</xdr:rowOff>
    </xdr:to>
    <xdr:graphicFrame macro="">
      <xdr:nvGraphicFramePr>
        <xdr:cNvPr id="4" name="Chart 3">
          <a:extLst>
            <a:ext uri="{FF2B5EF4-FFF2-40B4-BE49-F238E27FC236}">
              <a16:creationId xmlns:a16="http://schemas.microsoft.com/office/drawing/2014/main" id="{00000000-0008-0000-0400-0000943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1</xdr:row>
      <xdr:rowOff>190499</xdr:rowOff>
    </xdr:from>
    <xdr:to>
      <xdr:col>1</xdr:col>
      <xdr:colOff>0</xdr:colOff>
      <xdr:row>5</xdr:row>
      <xdr:rowOff>190499</xdr:rowOff>
    </xdr:to>
    <xdr:sp macro="" textlink="">
      <xdr:nvSpPr>
        <xdr:cNvPr id="2" name="Line 1">
          <a:extLst>
            <a:ext uri="{FF2B5EF4-FFF2-40B4-BE49-F238E27FC236}">
              <a16:creationId xmlns:a16="http://schemas.microsoft.com/office/drawing/2014/main" id="{00000000-0008-0000-0500-0000DE0C0000}"/>
            </a:ext>
          </a:extLst>
        </xdr:cNvPr>
        <xdr:cNvSpPr>
          <a:spLocks noChangeShapeType="1"/>
        </xdr:cNvSpPr>
      </xdr:nvSpPr>
      <xdr:spPr bwMode="auto">
        <a:xfrm>
          <a:off x="9525" y="380999"/>
          <a:ext cx="523875"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28574</xdr:rowOff>
    </xdr:from>
    <xdr:to>
      <xdr:col>2</xdr:col>
      <xdr:colOff>2305050</xdr:colOff>
      <xdr:row>3</xdr:row>
      <xdr:rowOff>238124</xdr:rowOff>
    </xdr:to>
    <xdr:sp macro="" textlink="">
      <xdr:nvSpPr>
        <xdr:cNvPr id="2" name="Line 1">
          <a:extLst>
            <a:ext uri="{FF2B5EF4-FFF2-40B4-BE49-F238E27FC236}">
              <a16:creationId xmlns:a16="http://schemas.microsoft.com/office/drawing/2014/main" id="{00000000-0008-0000-0600-0000DC240000}"/>
            </a:ext>
          </a:extLst>
        </xdr:cNvPr>
        <xdr:cNvSpPr>
          <a:spLocks noChangeShapeType="1"/>
        </xdr:cNvSpPr>
      </xdr:nvSpPr>
      <xdr:spPr bwMode="auto">
        <a:xfrm>
          <a:off x="0" y="409574"/>
          <a:ext cx="27336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28575</xdr:colOff>
      <xdr:row>3</xdr:row>
      <xdr:rowOff>19050</xdr:rowOff>
    </xdr:from>
    <xdr:to>
      <xdr:col>2</xdr:col>
      <xdr:colOff>9525</xdr:colOff>
      <xdr:row>5</xdr:row>
      <xdr:rowOff>0</xdr:rowOff>
    </xdr:to>
    <xdr:sp macro="" textlink="">
      <xdr:nvSpPr>
        <xdr:cNvPr id="2" name="Line 1">
          <a:extLst>
            <a:ext uri="{FF2B5EF4-FFF2-40B4-BE49-F238E27FC236}">
              <a16:creationId xmlns:a16="http://schemas.microsoft.com/office/drawing/2014/main" id="{00000000-0008-0000-0700-000051B41E00}"/>
            </a:ext>
          </a:extLst>
        </xdr:cNvPr>
        <xdr:cNvSpPr>
          <a:spLocks noChangeShapeType="1"/>
        </xdr:cNvSpPr>
      </xdr:nvSpPr>
      <xdr:spPr bwMode="auto">
        <a:xfrm>
          <a:off x="28575" y="590550"/>
          <a:ext cx="114300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3</xdr:row>
      <xdr:rowOff>19050</xdr:rowOff>
    </xdr:from>
    <xdr:to>
      <xdr:col>16</xdr:col>
      <xdr:colOff>228600</xdr:colOff>
      <xdr:row>5</xdr:row>
      <xdr:rowOff>0</xdr:rowOff>
    </xdr:to>
    <xdr:sp macro="" textlink="">
      <xdr:nvSpPr>
        <xdr:cNvPr id="3" name="Line 2">
          <a:extLst>
            <a:ext uri="{FF2B5EF4-FFF2-40B4-BE49-F238E27FC236}">
              <a16:creationId xmlns:a16="http://schemas.microsoft.com/office/drawing/2014/main" id="{00000000-0008-0000-0700-000052B41E00}"/>
            </a:ext>
          </a:extLst>
        </xdr:cNvPr>
        <xdr:cNvSpPr>
          <a:spLocks noChangeShapeType="1"/>
        </xdr:cNvSpPr>
      </xdr:nvSpPr>
      <xdr:spPr bwMode="auto">
        <a:xfrm>
          <a:off x="7591425" y="590550"/>
          <a:ext cx="9048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23</xdr:row>
      <xdr:rowOff>9525</xdr:rowOff>
    </xdr:from>
    <xdr:to>
      <xdr:col>16</xdr:col>
      <xdr:colOff>228600</xdr:colOff>
      <xdr:row>24</xdr:row>
      <xdr:rowOff>171450</xdr:rowOff>
    </xdr:to>
    <xdr:sp macro="" textlink="">
      <xdr:nvSpPr>
        <xdr:cNvPr id="4" name="Line 7">
          <a:extLst>
            <a:ext uri="{FF2B5EF4-FFF2-40B4-BE49-F238E27FC236}">
              <a16:creationId xmlns:a16="http://schemas.microsoft.com/office/drawing/2014/main" id="{00000000-0008-0000-0700-000053B41E00}"/>
            </a:ext>
          </a:extLst>
        </xdr:cNvPr>
        <xdr:cNvSpPr>
          <a:spLocks noChangeShapeType="1"/>
        </xdr:cNvSpPr>
      </xdr:nvSpPr>
      <xdr:spPr bwMode="auto">
        <a:xfrm>
          <a:off x="7591425" y="5514975"/>
          <a:ext cx="9048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23</xdr:row>
      <xdr:rowOff>9525</xdr:rowOff>
    </xdr:from>
    <xdr:to>
      <xdr:col>16</xdr:col>
      <xdr:colOff>228600</xdr:colOff>
      <xdr:row>24</xdr:row>
      <xdr:rowOff>171450</xdr:rowOff>
    </xdr:to>
    <xdr:sp macro="" textlink="">
      <xdr:nvSpPr>
        <xdr:cNvPr id="5" name="Line 8">
          <a:extLst>
            <a:ext uri="{FF2B5EF4-FFF2-40B4-BE49-F238E27FC236}">
              <a16:creationId xmlns:a16="http://schemas.microsoft.com/office/drawing/2014/main" id="{00000000-0008-0000-0700-000054B41E00}"/>
            </a:ext>
          </a:extLst>
        </xdr:cNvPr>
        <xdr:cNvSpPr>
          <a:spLocks noChangeShapeType="1"/>
        </xdr:cNvSpPr>
      </xdr:nvSpPr>
      <xdr:spPr bwMode="auto">
        <a:xfrm>
          <a:off x="7591425" y="5514975"/>
          <a:ext cx="9048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12</xdr:row>
      <xdr:rowOff>66675</xdr:rowOff>
    </xdr:from>
    <xdr:to>
      <xdr:col>13</xdr:col>
      <xdr:colOff>514350</xdr:colOff>
      <xdr:row>32</xdr:row>
      <xdr:rowOff>171450</xdr:rowOff>
    </xdr:to>
    <xdr:graphicFrame macro="">
      <xdr:nvGraphicFramePr>
        <xdr:cNvPr id="6" name="Chart 14">
          <a:extLst>
            <a:ext uri="{FF2B5EF4-FFF2-40B4-BE49-F238E27FC236}">
              <a16:creationId xmlns:a16="http://schemas.microsoft.com/office/drawing/2014/main" id="{00000000-0008-0000-0700-000055B41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800100</xdr:colOff>
      <xdr:row>3</xdr:row>
      <xdr:rowOff>180975</xdr:rowOff>
    </xdr:to>
    <xdr:sp macro="" textlink="">
      <xdr:nvSpPr>
        <xdr:cNvPr id="2" name="Line 1">
          <a:extLst>
            <a:ext uri="{FF2B5EF4-FFF2-40B4-BE49-F238E27FC236}">
              <a16:creationId xmlns:a16="http://schemas.microsoft.com/office/drawing/2014/main" id="{00000000-0008-0000-0800-0000DC100000}"/>
            </a:ext>
          </a:extLst>
        </xdr:cNvPr>
        <xdr:cNvSpPr>
          <a:spLocks noChangeShapeType="1"/>
        </xdr:cNvSpPr>
      </xdr:nvSpPr>
      <xdr:spPr bwMode="auto">
        <a:xfrm>
          <a:off x="9525" y="390525"/>
          <a:ext cx="133350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600075</xdr:colOff>
      <xdr:row>6</xdr:row>
      <xdr:rowOff>0</xdr:rowOff>
    </xdr:to>
    <xdr:sp macro="" textlink="">
      <xdr:nvSpPr>
        <xdr:cNvPr id="2" name="Line 1">
          <a:extLst>
            <a:ext uri="{FF2B5EF4-FFF2-40B4-BE49-F238E27FC236}">
              <a16:creationId xmlns:a16="http://schemas.microsoft.com/office/drawing/2014/main" id="{00000000-0008-0000-0900-0000DC140000}"/>
            </a:ext>
          </a:extLst>
        </xdr:cNvPr>
        <xdr:cNvSpPr>
          <a:spLocks noChangeShapeType="1"/>
        </xdr:cNvSpPr>
      </xdr:nvSpPr>
      <xdr:spPr bwMode="auto">
        <a:xfrm>
          <a:off x="19050" y="381000"/>
          <a:ext cx="5810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2266950</xdr:colOff>
      <xdr:row>4</xdr:row>
      <xdr:rowOff>171450</xdr:rowOff>
    </xdr:to>
    <xdr:sp macro="" textlink="">
      <xdr:nvSpPr>
        <xdr:cNvPr id="2" name="Line 2">
          <a:extLst>
            <a:ext uri="{FF2B5EF4-FFF2-40B4-BE49-F238E27FC236}">
              <a16:creationId xmlns:a16="http://schemas.microsoft.com/office/drawing/2014/main" id="{00000000-0008-0000-0A00-0000DD180000}"/>
            </a:ext>
          </a:extLst>
        </xdr:cNvPr>
        <xdr:cNvSpPr>
          <a:spLocks noChangeShapeType="1"/>
        </xdr:cNvSpPr>
      </xdr:nvSpPr>
      <xdr:spPr bwMode="auto">
        <a:xfrm>
          <a:off x="0" y="409575"/>
          <a:ext cx="269557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3</xdr:row>
      <xdr:rowOff>28575</xdr:rowOff>
    </xdr:from>
    <xdr:to>
      <xdr:col>2</xdr:col>
      <xdr:colOff>9525</xdr:colOff>
      <xdr:row>5</xdr:row>
      <xdr:rowOff>0</xdr:rowOff>
    </xdr:to>
    <xdr:sp macro="" textlink="">
      <xdr:nvSpPr>
        <xdr:cNvPr id="2" name="Line 3">
          <a:extLst>
            <a:ext uri="{FF2B5EF4-FFF2-40B4-BE49-F238E27FC236}">
              <a16:creationId xmlns:a16="http://schemas.microsoft.com/office/drawing/2014/main" id="{00000000-0008-0000-0B00-00005C641E00}"/>
            </a:ext>
          </a:extLst>
        </xdr:cNvPr>
        <xdr:cNvSpPr>
          <a:spLocks noChangeShapeType="1"/>
        </xdr:cNvSpPr>
      </xdr:nvSpPr>
      <xdr:spPr bwMode="auto">
        <a:xfrm>
          <a:off x="0" y="571500"/>
          <a:ext cx="1047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16</xdr:row>
      <xdr:rowOff>28575</xdr:rowOff>
    </xdr:from>
    <xdr:to>
      <xdr:col>2</xdr:col>
      <xdr:colOff>19050</xdr:colOff>
      <xdr:row>18</xdr:row>
      <xdr:rowOff>9525</xdr:rowOff>
    </xdr:to>
    <xdr:sp macro="" textlink="">
      <xdr:nvSpPr>
        <xdr:cNvPr id="3" name="Line 5">
          <a:extLst>
            <a:ext uri="{FF2B5EF4-FFF2-40B4-BE49-F238E27FC236}">
              <a16:creationId xmlns:a16="http://schemas.microsoft.com/office/drawing/2014/main" id="{00000000-0008-0000-0B00-00005D641E00}"/>
            </a:ext>
          </a:extLst>
        </xdr:cNvPr>
        <xdr:cNvSpPr>
          <a:spLocks noChangeShapeType="1"/>
        </xdr:cNvSpPr>
      </xdr:nvSpPr>
      <xdr:spPr bwMode="auto">
        <a:xfrm>
          <a:off x="38100" y="3200400"/>
          <a:ext cx="10191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3</xdr:row>
      <xdr:rowOff>47625</xdr:rowOff>
    </xdr:from>
    <xdr:to>
      <xdr:col>15</xdr:col>
      <xdr:colOff>57150</xdr:colOff>
      <xdr:row>5</xdr:row>
      <xdr:rowOff>0</xdr:rowOff>
    </xdr:to>
    <xdr:sp macro="" textlink="">
      <xdr:nvSpPr>
        <xdr:cNvPr id="4" name="Line 11">
          <a:extLst>
            <a:ext uri="{FF2B5EF4-FFF2-40B4-BE49-F238E27FC236}">
              <a16:creationId xmlns:a16="http://schemas.microsoft.com/office/drawing/2014/main" id="{00000000-0008-0000-0B00-00005E641E00}"/>
            </a:ext>
          </a:extLst>
        </xdr:cNvPr>
        <xdr:cNvSpPr>
          <a:spLocks noChangeShapeType="1"/>
        </xdr:cNvSpPr>
      </xdr:nvSpPr>
      <xdr:spPr bwMode="auto">
        <a:xfrm>
          <a:off x="6848475" y="590550"/>
          <a:ext cx="11239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342900</xdr:rowOff>
    </xdr:from>
    <xdr:to>
      <xdr:col>11</xdr:col>
      <xdr:colOff>428625</xdr:colOff>
      <xdr:row>42</xdr:row>
      <xdr:rowOff>142875</xdr:rowOff>
    </xdr:to>
    <xdr:graphicFrame macro="">
      <xdr:nvGraphicFramePr>
        <xdr:cNvPr id="5" name="Chart 24">
          <a:extLst>
            <a:ext uri="{FF2B5EF4-FFF2-40B4-BE49-F238E27FC236}">
              <a16:creationId xmlns:a16="http://schemas.microsoft.com/office/drawing/2014/main" id="{00000000-0008-0000-0B00-000060641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485775</xdr:colOff>
      <xdr:row>3</xdr:row>
      <xdr:rowOff>171450</xdr:rowOff>
    </xdr:to>
    <xdr:sp macro="" textlink="">
      <xdr:nvSpPr>
        <xdr:cNvPr id="2" name="Line 1">
          <a:extLst>
            <a:ext uri="{FF2B5EF4-FFF2-40B4-BE49-F238E27FC236}">
              <a16:creationId xmlns:a16="http://schemas.microsoft.com/office/drawing/2014/main" id="{00000000-0008-0000-0C00-0000E1300000}"/>
            </a:ext>
          </a:extLst>
        </xdr:cNvPr>
        <xdr:cNvSpPr>
          <a:spLocks noChangeShapeType="1"/>
        </xdr:cNvSpPr>
      </xdr:nvSpPr>
      <xdr:spPr bwMode="auto">
        <a:xfrm>
          <a:off x="0" y="390525"/>
          <a:ext cx="9810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600075</xdr:colOff>
      <xdr:row>6</xdr:row>
      <xdr:rowOff>0</xdr:rowOff>
    </xdr:to>
    <xdr:sp macro="" textlink="">
      <xdr:nvSpPr>
        <xdr:cNvPr id="2" name="Line 2">
          <a:extLst>
            <a:ext uri="{FF2B5EF4-FFF2-40B4-BE49-F238E27FC236}">
              <a16:creationId xmlns:a16="http://schemas.microsoft.com/office/drawing/2014/main" id="{00000000-0008-0000-0D00-0000DD2C0000}"/>
            </a:ext>
          </a:extLst>
        </xdr:cNvPr>
        <xdr:cNvSpPr>
          <a:spLocks noChangeShapeType="1"/>
        </xdr:cNvSpPr>
      </xdr:nvSpPr>
      <xdr:spPr bwMode="auto">
        <a:xfrm>
          <a:off x="19050" y="381000"/>
          <a:ext cx="533400"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4</xdr:row>
      <xdr:rowOff>152400</xdr:rowOff>
    </xdr:to>
    <xdr:sp macro="" textlink="">
      <xdr:nvSpPr>
        <xdr:cNvPr id="2" name="Line 1">
          <a:extLst>
            <a:ext uri="{FF2B5EF4-FFF2-40B4-BE49-F238E27FC236}">
              <a16:creationId xmlns:a16="http://schemas.microsoft.com/office/drawing/2014/main" id="{00000000-0008-0000-0E00-0000DD5C0000}"/>
            </a:ext>
          </a:extLst>
        </xdr:cNvPr>
        <xdr:cNvSpPr>
          <a:spLocks noChangeShapeType="1"/>
        </xdr:cNvSpPr>
      </xdr:nvSpPr>
      <xdr:spPr bwMode="auto">
        <a:xfrm>
          <a:off x="9525" y="381000"/>
          <a:ext cx="27432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28575</xdr:colOff>
      <xdr:row>3</xdr:row>
      <xdr:rowOff>28575</xdr:rowOff>
    </xdr:from>
    <xdr:to>
      <xdr:col>2</xdr:col>
      <xdr:colOff>0</xdr:colOff>
      <xdr:row>5</xdr:row>
      <xdr:rowOff>19050</xdr:rowOff>
    </xdr:to>
    <xdr:sp macro="" textlink="">
      <xdr:nvSpPr>
        <xdr:cNvPr id="2" name="Line 1">
          <a:extLst>
            <a:ext uri="{FF2B5EF4-FFF2-40B4-BE49-F238E27FC236}">
              <a16:creationId xmlns:a16="http://schemas.microsoft.com/office/drawing/2014/main" id="{00000000-0008-0000-0F00-000067460000}"/>
            </a:ext>
          </a:extLst>
        </xdr:cNvPr>
        <xdr:cNvSpPr>
          <a:spLocks noChangeShapeType="1"/>
        </xdr:cNvSpPr>
      </xdr:nvSpPr>
      <xdr:spPr bwMode="auto">
        <a:xfrm>
          <a:off x="28575" y="628650"/>
          <a:ext cx="12192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15</xdr:row>
      <xdr:rowOff>9525</xdr:rowOff>
    </xdr:from>
    <xdr:to>
      <xdr:col>6</xdr:col>
      <xdr:colOff>523875</xdr:colOff>
      <xdr:row>17</xdr:row>
      <xdr:rowOff>9525</xdr:rowOff>
    </xdr:to>
    <xdr:sp macro="" textlink="">
      <xdr:nvSpPr>
        <xdr:cNvPr id="3" name="Line 2">
          <a:extLst>
            <a:ext uri="{FF2B5EF4-FFF2-40B4-BE49-F238E27FC236}">
              <a16:creationId xmlns:a16="http://schemas.microsoft.com/office/drawing/2014/main" id="{00000000-0008-0000-0F00-000068460000}"/>
            </a:ext>
          </a:extLst>
        </xdr:cNvPr>
        <xdr:cNvSpPr>
          <a:spLocks noChangeShapeType="1"/>
        </xdr:cNvSpPr>
      </xdr:nvSpPr>
      <xdr:spPr bwMode="auto">
        <a:xfrm>
          <a:off x="1266825" y="4324350"/>
          <a:ext cx="250507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41</xdr:row>
      <xdr:rowOff>28575</xdr:rowOff>
    </xdr:from>
    <xdr:to>
      <xdr:col>7</xdr:col>
      <xdr:colOff>371475</xdr:colOff>
      <xdr:row>42</xdr:row>
      <xdr:rowOff>114300</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3333750" y="11201400"/>
          <a:ext cx="8096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mn-ea"/>
              <a:ea typeface="+mn-ea"/>
            </a:rPr>
            <a:t>－</a:t>
          </a:r>
          <a:r>
            <a:rPr kumimoji="1" lang="en-US" altLang="ja-JP" sz="1100">
              <a:latin typeface="+mn-ea"/>
              <a:ea typeface="+mn-ea"/>
            </a:rPr>
            <a:t>28</a:t>
          </a:r>
          <a:r>
            <a:rPr kumimoji="1" lang="ja-JP" altLang="en-US" sz="1100">
              <a:latin typeface="+mn-ea"/>
              <a:ea typeface="+mn-ea"/>
            </a:rPr>
            <a: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85725</xdr:colOff>
      <xdr:row>11</xdr:row>
      <xdr:rowOff>133350</xdr:rowOff>
    </xdr:from>
    <xdr:to>
      <xdr:col>13</xdr:col>
      <xdr:colOff>19050</xdr:colOff>
      <xdr:row>23</xdr:row>
      <xdr:rowOff>19050</xdr:rowOff>
    </xdr:to>
    <xdr:graphicFrame macro="">
      <xdr:nvGraphicFramePr>
        <xdr:cNvPr id="2" name="Chart 6">
          <a:extLst>
            <a:ext uri="{FF2B5EF4-FFF2-40B4-BE49-F238E27FC236}">
              <a16:creationId xmlns:a16="http://schemas.microsoft.com/office/drawing/2014/main" id="{00000000-0008-0000-1000-000098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27</xdr:row>
      <xdr:rowOff>76200</xdr:rowOff>
    </xdr:from>
    <xdr:to>
      <xdr:col>14</xdr:col>
      <xdr:colOff>485775</xdr:colOff>
      <xdr:row>42</xdr:row>
      <xdr:rowOff>57150</xdr:rowOff>
    </xdr:to>
    <xdr:graphicFrame macro="">
      <xdr:nvGraphicFramePr>
        <xdr:cNvPr id="3" name="Chart 8">
          <a:extLst>
            <a:ext uri="{FF2B5EF4-FFF2-40B4-BE49-F238E27FC236}">
              <a16:creationId xmlns:a16="http://schemas.microsoft.com/office/drawing/2014/main" id="{00000000-0008-0000-1000-000099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xdr:row>
      <xdr:rowOff>9525</xdr:rowOff>
    </xdr:from>
    <xdr:to>
      <xdr:col>2</xdr:col>
      <xdr:colOff>0</xdr:colOff>
      <xdr:row>3</xdr:row>
      <xdr:rowOff>0</xdr:rowOff>
    </xdr:to>
    <xdr:sp macro="" textlink="">
      <xdr:nvSpPr>
        <xdr:cNvPr id="4" name="Line 9">
          <a:extLst>
            <a:ext uri="{FF2B5EF4-FFF2-40B4-BE49-F238E27FC236}">
              <a16:creationId xmlns:a16="http://schemas.microsoft.com/office/drawing/2014/main" id="{00000000-0008-0000-1000-00009A1E0000}"/>
            </a:ext>
          </a:extLst>
        </xdr:cNvPr>
        <xdr:cNvSpPr>
          <a:spLocks noChangeShapeType="1"/>
        </xdr:cNvSpPr>
      </xdr:nvSpPr>
      <xdr:spPr bwMode="auto">
        <a:xfrm>
          <a:off x="47625" y="209550"/>
          <a:ext cx="139065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266700</xdr:rowOff>
    </xdr:to>
    <xdr:sp macro="" textlink="">
      <xdr:nvSpPr>
        <xdr:cNvPr id="2" name="Line 2">
          <a:extLst>
            <a:ext uri="{FF2B5EF4-FFF2-40B4-BE49-F238E27FC236}">
              <a16:creationId xmlns:a16="http://schemas.microsoft.com/office/drawing/2014/main" id="{00000000-0008-0000-1100-0000B8490000}"/>
            </a:ext>
          </a:extLst>
        </xdr:cNvPr>
        <xdr:cNvSpPr>
          <a:spLocks noChangeShapeType="1"/>
        </xdr:cNvSpPr>
      </xdr:nvSpPr>
      <xdr:spPr bwMode="auto">
        <a:xfrm>
          <a:off x="0" y="390525"/>
          <a:ext cx="742950" cy="752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5</xdr:row>
      <xdr:rowOff>266700</xdr:rowOff>
    </xdr:to>
    <xdr:sp macro="" textlink="">
      <xdr:nvSpPr>
        <xdr:cNvPr id="3" name="Line 3">
          <a:extLst>
            <a:ext uri="{FF2B5EF4-FFF2-40B4-BE49-F238E27FC236}">
              <a16:creationId xmlns:a16="http://schemas.microsoft.com/office/drawing/2014/main" id="{00000000-0008-0000-1100-0000B9490000}"/>
            </a:ext>
          </a:extLst>
        </xdr:cNvPr>
        <xdr:cNvSpPr>
          <a:spLocks noChangeShapeType="1"/>
        </xdr:cNvSpPr>
      </xdr:nvSpPr>
      <xdr:spPr bwMode="auto">
        <a:xfrm>
          <a:off x="0" y="390525"/>
          <a:ext cx="742950" cy="752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342900</xdr:colOff>
      <xdr:row>6</xdr:row>
      <xdr:rowOff>0</xdr:rowOff>
    </xdr:to>
    <xdr:sp macro="" textlink="">
      <xdr:nvSpPr>
        <xdr:cNvPr id="2" name="Line 1">
          <a:extLst>
            <a:ext uri="{FF2B5EF4-FFF2-40B4-BE49-F238E27FC236}">
              <a16:creationId xmlns:a16="http://schemas.microsoft.com/office/drawing/2014/main" id="{00000000-0008-0000-1200-0000244E0000}"/>
            </a:ext>
          </a:extLst>
        </xdr:cNvPr>
        <xdr:cNvSpPr>
          <a:spLocks noChangeShapeType="1"/>
        </xdr:cNvSpPr>
      </xdr:nvSpPr>
      <xdr:spPr bwMode="auto">
        <a:xfrm>
          <a:off x="0" y="381000"/>
          <a:ext cx="62865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238123</xdr:colOff>
      <xdr:row>36</xdr:row>
      <xdr:rowOff>66674</xdr:rowOff>
    </xdr:from>
    <xdr:to>
      <xdr:col>15</xdr:col>
      <xdr:colOff>285749</xdr:colOff>
      <xdr:row>63</xdr:row>
      <xdr:rowOff>133350</xdr:rowOff>
    </xdr:to>
    <xdr:graphicFrame macro="">
      <xdr:nvGraphicFramePr>
        <xdr:cNvPr id="3" name="グラフ 3">
          <a:extLst>
            <a:ext uri="{FF2B5EF4-FFF2-40B4-BE49-F238E27FC236}">
              <a16:creationId xmlns:a16="http://schemas.microsoft.com/office/drawing/2014/main" id="{00000000-0008-0000-1200-0000254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265037</xdr:colOff>
      <xdr:row>35</xdr:row>
      <xdr:rowOff>33136</xdr:rowOff>
    </xdr:from>
    <xdr:to>
      <xdr:col>9</xdr:col>
      <xdr:colOff>405851</xdr:colOff>
      <xdr:row>36</xdr:row>
      <xdr:rowOff>107677</xdr:rowOff>
    </xdr:to>
    <xdr:sp macro="" textlink="">
      <xdr:nvSpPr>
        <xdr:cNvPr id="4" name="テキスト ボックス 3">
          <a:extLst>
            <a:ext uri="{FF2B5EF4-FFF2-40B4-BE49-F238E27FC236}">
              <a16:creationId xmlns:a16="http://schemas.microsoft.com/office/drawing/2014/main" id="{00000000-0008-0000-1200-000005000000}"/>
            </a:ext>
          </a:extLst>
        </xdr:cNvPr>
        <xdr:cNvSpPr txBox="1"/>
      </xdr:nvSpPr>
      <xdr:spPr>
        <a:xfrm>
          <a:off x="2417687" y="6814936"/>
          <a:ext cx="2160114" cy="255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76200</xdr:colOff>
      <xdr:row>36</xdr:row>
      <xdr:rowOff>104775</xdr:rowOff>
    </xdr:from>
    <xdr:to>
      <xdr:col>14</xdr:col>
      <xdr:colOff>400050</xdr:colOff>
      <xdr:row>51</xdr:row>
      <xdr:rowOff>0</xdr:rowOff>
    </xdr:to>
    <xdr:graphicFrame macro="">
      <xdr:nvGraphicFramePr>
        <xdr:cNvPr id="2" name="Chart 3">
          <a:extLst>
            <a:ext uri="{FF2B5EF4-FFF2-40B4-BE49-F238E27FC236}">
              <a16:creationId xmlns:a16="http://schemas.microsoft.com/office/drawing/2014/main" id="{00000000-0008-0000-1300-0000BC5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9525</xdr:rowOff>
    </xdr:from>
    <xdr:to>
      <xdr:col>1</xdr:col>
      <xdr:colOff>790575</xdr:colOff>
      <xdr:row>5</xdr:row>
      <xdr:rowOff>0</xdr:rowOff>
    </xdr:to>
    <xdr:sp macro="" textlink="">
      <xdr:nvSpPr>
        <xdr:cNvPr id="3" name="Line 4">
          <a:extLst>
            <a:ext uri="{FF2B5EF4-FFF2-40B4-BE49-F238E27FC236}">
              <a16:creationId xmlns:a16="http://schemas.microsoft.com/office/drawing/2014/main" id="{00000000-0008-0000-1300-0000BD510000}"/>
            </a:ext>
          </a:extLst>
        </xdr:cNvPr>
        <xdr:cNvSpPr>
          <a:spLocks noChangeShapeType="1"/>
        </xdr:cNvSpPr>
      </xdr:nvSpPr>
      <xdr:spPr bwMode="auto">
        <a:xfrm>
          <a:off x="0" y="504825"/>
          <a:ext cx="9334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22</xdr:row>
      <xdr:rowOff>38099</xdr:rowOff>
    </xdr:from>
    <xdr:to>
      <xdr:col>14</xdr:col>
      <xdr:colOff>361950</xdr:colOff>
      <xdr:row>35</xdr:row>
      <xdr:rowOff>114300</xdr:rowOff>
    </xdr:to>
    <xdr:graphicFrame macro="">
      <xdr:nvGraphicFramePr>
        <xdr:cNvPr id="4" name="グラフ 3">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28</xdr:row>
      <xdr:rowOff>66675</xdr:rowOff>
    </xdr:from>
    <xdr:to>
      <xdr:col>2</xdr:col>
      <xdr:colOff>238125</xdr:colOff>
      <xdr:row>30</xdr:row>
      <xdr:rowOff>0</xdr:rowOff>
    </xdr:to>
    <xdr:sp macro="" textlink="">
      <xdr:nvSpPr>
        <xdr:cNvPr id="5" name="テキスト ボックス 4">
          <a:extLst>
            <a:ext uri="{FF2B5EF4-FFF2-40B4-BE49-F238E27FC236}">
              <a16:creationId xmlns:a16="http://schemas.microsoft.com/office/drawing/2014/main" id="{00000000-0008-0000-1300-000003000000}"/>
            </a:ext>
          </a:extLst>
        </xdr:cNvPr>
        <xdr:cNvSpPr txBox="1"/>
      </xdr:nvSpPr>
      <xdr:spPr>
        <a:xfrm>
          <a:off x="142875" y="7705725"/>
          <a:ext cx="10382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件数（件）</a:t>
          </a:r>
        </a:p>
      </xdr:txBody>
    </xdr:sp>
    <xdr:clientData/>
  </xdr:twoCellAnchor>
  <xdr:twoCellAnchor>
    <xdr:from>
      <xdr:col>12</xdr:col>
      <xdr:colOff>400051</xdr:colOff>
      <xdr:row>43</xdr:row>
      <xdr:rowOff>38100</xdr:rowOff>
    </xdr:from>
    <xdr:to>
      <xdr:col>14</xdr:col>
      <xdr:colOff>371475</xdr:colOff>
      <xdr:row>45</xdr:row>
      <xdr:rowOff>0</xdr:rowOff>
    </xdr:to>
    <xdr:sp macro="" textlink="">
      <xdr:nvSpPr>
        <xdr:cNvPr id="6" name="テキスト ボックス 5">
          <a:extLst>
            <a:ext uri="{FF2B5EF4-FFF2-40B4-BE49-F238E27FC236}">
              <a16:creationId xmlns:a16="http://schemas.microsoft.com/office/drawing/2014/main" id="{00000000-0008-0000-1300-000004000000}"/>
            </a:ext>
          </a:extLst>
        </xdr:cNvPr>
        <xdr:cNvSpPr txBox="1"/>
      </xdr:nvSpPr>
      <xdr:spPr>
        <a:xfrm>
          <a:off x="6200776" y="10391775"/>
          <a:ext cx="942974"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死者数（人）</a:t>
          </a: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0.48281</cdr:x>
      <cdr:y>0.88843</cdr:y>
    </cdr:from>
    <cdr:to>
      <cdr:x>0.55158</cdr:x>
      <cdr:y>0.9876</cdr:y>
    </cdr:to>
    <cdr:sp macro="" textlink="">
      <cdr:nvSpPr>
        <cdr:cNvPr id="2" name="テキスト ボックス 1"/>
        <cdr:cNvSpPr txBox="1"/>
      </cdr:nvSpPr>
      <cdr:spPr>
        <a:xfrm xmlns:a="http://schemas.openxmlformats.org/drawingml/2006/main">
          <a:off x="3343275" y="2047876"/>
          <a:ext cx="4762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0.51307</cdr:x>
      <cdr:y>0.88843</cdr:y>
    </cdr:from>
    <cdr:to>
      <cdr:x>0.57497</cdr:x>
      <cdr:y>0.99587</cdr:y>
    </cdr:to>
    <cdr:sp macro="" textlink="">
      <cdr:nvSpPr>
        <cdr:cNvPr id="3" name="テキスト ボックス 2"/>
        <cdr:cNvSpPr txBox="1"/>
      </cdr:nvSpPr>
      <cdr:spPr>
        <a:xfrm xmlns:a="http://schemas.openxmlformats.org/drawingml/2006/main">
          <a:off x="3552825" y="2047876"/>
          <a:ext cx="4286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月</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246532</xdr:colOff>
      <xdr:row>25</xdr:row>
      <xdr:rowOff>235322</xdr:rowOff>
    </xdr:from>
    <xdr:to>
      <xdr:col>11</xdr:col>
      <xdr:colOff>694766</xdr:colOff>
      <xdr:row>47</xdr:row>
      <xdr:rowOff>112058</xdr:rowOff>
    </xdr:to>
    <xdr:graphicFrame macro="">
      <xdr:nvGraphicFramePr>
        <xdr:cNvPr id="2" name="グラフ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0.28154</cdr:x>
      <cdr:y>0.07143</cdr:y>
    </cdr:from>
    <cdr:to>
      <cdr:x>0.67459</cdr:x>
      <cdr:y>0.15413</cdr:y>
    </cdr:to>
    <cdr:sp macro="" textlink="">
      <cdr:nvSpPr>
        <cdr:cNvPr id="2" name="テキスト ボックス 1"/>
        <cdr:cNvSpPr txBox="1"/>
      </cdr:nvSpPr>
      <cdr:spPr>
        <a:xfrm xmlns:a="http://schemas.openxmlformats.org/drawingml/2006/main">
          <a:off x="1725704" y="212910"/>
          <a:ext cx="2409265" cy="246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0.16636</cdr:x>
      <cdr:y>0.03383</cdr:y>
    </cdr:from>
    <cdr:to>
      <cdr:x>0.80073</cdr:x>
      <cdr:y>0.15038</cdr:y>
    </cdr:to>
    <cdr:sp macro="" textlink="">
      <cdr:nvSpPr>
        <cdr:cNvPr id="4" name="テキスト ボックス 3"/>
        <cdr:cNvSpPr txBox="1"/>
      </cdr:nvSpPr>
      <cdr:spPr>
        <a:xfrm xmlns:a="http://schemas.openxmlformats.org/drawingml/2006/main">
          <a:off x="1019734" y="100852"/>
          <a:ext cx="3888441" cy="3473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0.09506</cdr:x>
      <cdr:y>0.05108</cdr:y>
    </cdr:from>
    <cdr:to>
      <cdr:x>0.72578</cdr:x>
      <cdr:y>0.1789</cdr:y>
    </cdr:to>
    <cdr:sp macro="" textlink="">
      <cdr:nvSpPr>
        <cdr:cNvPr id="5" name="テキスト ボックス 4"/>
        <cdr:cNvSpPr txBox="1"/>
      </cdr:nvSpPr>
      <cdr:spPr>
        <a:xfrm xmlns:a="http://schemas.openxmlformats.org/drawingml/2006/main">
          <a:off x="582694" y="191753"/>
          <a:ext cx="3866038" cy="4798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自転車対自転車・自転車対歩行者関連事故件数の推移</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9525</xdr:colOff>
      <xdr:row>3</xdr:row>
      <xdr:rowOff>0</xdr:rowOff>
    </xdr:to>
    <xdr:sp macro="" textlink="">
      <xdr:nvSpPr>
        <xdr:cNvPr id="2" name="Line 1">
          <a:extLst>
            <a:ext uri="{FF2B5EF4-FFF2-40B4-BE49-F238E27FC236}">
              <a16:creationId xmlns:a16="http://schemas.microsoft.com/office/drawing/2014/main" id="{00000000-0008-0000-1400-0000DC6C0000}"/>
            </a:ext>
          </a:extLst>
        </xdr:cNvPr>
        <xdr:cNvSpPr>
          <a:spLocks noChangeShapeType="1"/>
        </xdr:cNvSpPr>
      </xdr:nvSpPr>
      <xdr:spPr bwMode="auto">
        <a:xfrm>
          <a:off x="0" y="200025"/>
          <a:ext cx="228600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266700</xdr:rowOff>
    </xdr:to>
    <xdr:sp macro="" textlink="">
      <xdr:nvSpPr>
        <xdr:cNvPr id="2" name="Line 1">
          <a:extLst>
            <a:ext uri="{FF2B5EF4-FFF2-40B4-BE49-F238E27FC236}">
              <a16:creationId xmlns:a16="http://schemas.microsoft.com/office/drawing/2014/main" id="{00000000-0008-0000-1500-0000B7550000}"/>
            </a:ext>
          </a:extLst>
        </xdr:cNvPr>
        <xdr:cNvSpPr>
          <a:spLocks noChangeShapeType="1"/>
        </xdr:cNvSpPr>
      </xdr:nvSpPr>
      <xdr:spPr bwMode="auto">
        <a:xfrm>
          <a:off x="0" y="390525"/>
          <a:ext cx="74295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5</xdr:row>
      <xdr:rowOff>266700</xdr:rowOff>
    </xdr:to>
    <xdr:sp macro="" textlink="">
      <xdr:nvSpPr>
        <xdr:cNvPr id="3" name="Line 2">
          <a:extLst>
            <a:ext uri="{FF2B5EF4-FFF2-40B4-BE49-F238E27FC236}">
              <a16:creationId xmlns:a16="http://schemas.microsoft.com/office/drawing/2014/main" id="{00000000-0008-0000-1500-0000B8550000}"/>
            </a:ext>
          </a:extLst>
        </xdr:cNvPr>
        <xdr:cNvSpPr>
          <a:spLocks noChangeShapeType="1"/>
        </xdr:cNvSpPr>
      </xdr:nvSpPr>
      <xdr:spPr bwMode="auto">
        <a:xfrm>
          <a:off x="0" y="390525"/>
          <a:ext cx="74295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38100</xdr:colOff>
      <xdr:row>2</xdr:row>
      <xdr:rowOff>9525</xdr:rowOff>
    </xdr:from>
    <xdr:to>
      <xdr:col>2</xdr:col>
      <xdr:colOff>0</xdr:colOff>
      <xdr:row>5</xdr:row>
      <xdr:rowOff>161925</xdr:rowOff>
    </xdr:to>
    <xdr:sp macro="" textlink="">
      <xdr:nvSpPr>
        <xdr:cNvPr id="2" name="Line 1">
          <a:extLst>
            <a:ext uri="{FF2B5EF4-FFF2-40B4-BE49-F238E27FC236}">
              <a16:creationId xmlns:a16="http://schemas.microsoft.com/office/drawing/2014/main" id="{00000000-0008-0000-1600-0000205A0000}"/>
            </a:ext>
          </a:extLst>
        </xdr:cNvPr>
        <xdr:cNvSpPr>
          <a:spLocks noChangeShapeType="1"/>
        </xdr:cNvSpPr>
      </xdr:nvSpPr>
      <xdr:spPr bwMode="auto">
        <a:xfrm>
          <a:off x="38100" y="400050"/>
          <a:ext cx="485775"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495299</xdr:colOff>
      <xdr:row>34</xdr:row>
      <xdr:rowOff>133350</xdr:rowOff>
    </xdr:from>
    <xdr:to>
      <xdr:col>14</xdr:col>
      <xdr:colOff>323850</xdr:colOff>
      <xdr:row>56</xdr:row>
      <xdr:rowOff>152400</xdr:rowOff>
    </xdr:to>
    <xdr:graphicFrame macro="">
      <xdr:nvGraphicFramePr>
        <xdr:cNvPr id="3" name="グラフ 2">
          <a:extLst>
            <a:ext uri="{FF2B5EF4-FFF2-40B4-BE49-F238E27FC236}">
              <a16:creationId xmlns:a16="http://schemas.microsoft.com/office/drawing/2014/main" id="{00000000-0008-0000-1600-0000215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35</xdr:row>
      <xdr:rowOff>19050</xdr:rowOff>
    </xdr:from>
    <xdr:to>
      <xdr:col>6</xdr:col>
      <xdr:colOff>438150</xdr:colOff>
      <xdr:row>36</xdr:row>
      <xdr:rowOff>96076</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1095375" y="8105775"/>
          <a:ext cx="2152650" cy="258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47624</xdr:colOff>
      <xdr:row>4</xdr:row>
      <xdr:rowOff>9526</xdr:rowOff>
    </xdr:from>
    <xdr:to>
      <xdr:col>1</xdr:col>
      <xdr:colOff>923924</xdr:colOff>
      <xdr:row>6</xdr:row>
      <xdr:rowOff>19050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47624" y="762001"/>
          <a:ext cx="1000125" cy="3809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23</xdr:row>
      <xdr:rowOff>133350</xdr:rowOff>
    </xdr:from>
    <xdr:to>
      <xdr:col>14</xdr:col>
      <xdr:colOff>428625</xdr:colOff>
      <xdr:row>36</xdr:row>
      <xdr:rowOff>152400</xdr:rowOff>
    </xdr:to>
    <xdr:graphicFrame macro="">
      <xdr:nvGraphicFramePr>
        <xdr:cNvPr id="3" name="Chart 3">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38</xdr:row>
      <xdr:rowOff>76200</xdr:rowOff>
    </xdr:from>
    <xdr:to>
      <xdr:col>14</xdr:col>
      <xdr:colOff>409575</xdr:colOff>
      <xdr:row>49</xdr:row>
      <xdr:rowOff>28575</xdr:rowOff>
    </xdr:to>
    <xdr:graphicFrame macro="">
      <xdr:nvGraphicFramePr>
        <xdr:cNvPr id="4" name="Chart 5">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28575</xdr:colOff>
      <xdr:row>4</xdr:row>
      <xdr:rowOff>161925</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0" y="400050"/>
          <a:ext cx="264795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266700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390525"/>
          <a:ext cx="628650"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6</xdr:row>
      <xdr:rowOff>0</xdr:rowOff>
    </xdr:to>
    <xdr:sp macro="" textlink="">
      <xdr:nvSpPr>
        <xdr:cNvPr id="2" name="Line 3">
          <a:extLst>
            <a:ext uri="{FF2B5EF4-FFF2-40B4-BE49-F238E27FC236}">
              <a16:creationId xmlns:a16="http://schemas.microsoft.com/office/drawing/2014/main" id="{00000000-0008-0000-0300-000002000000}"/>
            </a:ext>
          </a:extLst>
        </xdr:cNvPr>
        <xdr:cNvSpPr>
          <a:spLocks noChangeShapeType="1"/>
        </xdr:cNvSpPr>
      </xdr:nvSpPr>
      <xdr:spPr bwMode="auto">
        <a:xfrm>
          <a:off x="0" y="390525"/>
          <a:ext cx="52387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9525</xdr:colOff>
      <xdr:row>5</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0" y="571500"/>
          <a:ext cx="113347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22</xdr:row>
      <xdr:rowOff>38100</xdr:rowOff>
    </xdr:from>
    <xdr:to>
      <xdr:col>14</xdr:col>
      <xdr:colOff>57150</xdr:colOff>
      <xdr:row>35</xdr:row>
      <xdr:rowOff>66675</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37</xdr:row>
      <xdr:rowOff>9525</xdr:rowOff>
    </xdr:from>
    <xdr:to>
      <xdr:col>14</xdr:col>
      <xdr:colOff>66675</xdr:colOff>
      <xdr:row>48</xdr:row>
      <xdr:rowOff>323850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19050</xdr:colOff>
      <xdr:row>3</xdr:row>
      <xdr:rowOff>171450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0" y="200025"/>
          <a:ext cx="267652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266700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390525"/>
          <a:ext cx="62865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5</xdr:row>
      <xdr:rowOff>266700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a:off x="0" y="390525"/>
          <a:ext cx="62865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38100</xdr:colOff>
      <xdr:row>2</xdr:row>
      <xdr:rowOff>0</xdr:rowOff>
    </xdr:from>
    <xdr:to>
      <xdr:col>2</xdr:col>
      <xdr:colOff>0</xdr:colOff>
      <xdr:row>5</xdr:row>
      <xdr:rowOff>161925</xdr:rowOff>
    </xdr:to>
    <xdr:sp macro="" textlink="">
      <xdr:nvSpPr>
        <xdr:cNvPr id="2" name="Line 3">
          <a:extLst>
            <a:ext uri="{FF2B5EF4-FFF2-40B4-BE49-F238E27FC236}">
              <a16:creationId xmlns:a16="http://schemas.microsoft.com/office/drawing/2014/main" id="{00000000-0008-0000-0700-000002000000}"/>
            </a:ext>
          </a:extLst>
        </xdr:cNvPr>
        <xdr:cNvSpPr>
          <a:spLocks noChangeShapeType="1"/>
        </xdr:cNvSpPr>
      </xdr:nvSpPr>
      <xdr:spPr bwMode="auto">
        <a:xfrm>
          <a:off x="38100" y="390525"/>
          <a:ext cx="476250"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47625</xdr:colOff>
      <xdr:row>2</xdr:row>
      <xdr:rowOff>9525</xdr:rowOff>
    </xdr:from>
    <xdr:to>
      <xdr:col>2</xdr:col>
      <xdr:colOff>0</xdr:colOff>
      <xdr:row>4</xdr:row>
      <xdr:rowOff>9525</xdr:rowOff>
    </xdr:to>
    <xdr:sp macro="" textlink="">
      <xdr:nvSpPr>
        <xdr:cNvPr id="2" name="Line 2">
          <a:extLst>
            <a:ext uri="{FF2B5EF4-FFF2-40B4-BE49-F238E27FC236}">
              <a16:creationId xmlns:a16="http://schemas.microsoft.com/office/drawing/2014/main" id="{00000000-0008-0000-0800-000003000000}"/>
            </a:ext>
          </a:extLst>
        </xdr:cNvPr>
        <xdr:cNvSpPr>
          <a:spLocks noChangeShapeType="1"/>
        </xdr:cNvSpPr>
      </xdr:nvSpPr>
      <xdr:spPr bwMode="auto">
        <a:xfrm>
          <a:off x="47625" y="390525"/>
          <a:ext cx="121920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15</xdr:row>
      <xdr:rowOff>28575</xdr:rowOff>
    </xdr:from>
    <xdr:to>
      <xdr:col>2</xdr:col>
      <xdr:colOff>0</xdr:colOff>
      <xdr:row>17</xdr:row>
      <xdr:rowOff>0</xdr:rowOff>
    </xdr:to>
    <xdr:sp macro="" textlink="">
      <xdr:nvSpPr>
        <xdr:cNvPr id="3" name="Line 3">
          <a:extLst>
            <a:ext uri="{FF2B5EF4-FFF2-40B4-BE49-F238E27FC236}">
              <a16:creationId xmlns:a16="http://schemas.microsoft.com/office/drawing/2014/main" id="{00000000-0008-0000-0800-000004000000}"/>
            </a:ext>
          </a:extLst>
        </xdr:cNvPr>
        <xdr:cNvSpPr>
          <a:spLocks noChangeShapeType="1"/>
        </xdr:cNvSpPr>
      </xdr:nvSpPr>
      <xdr:spPr bwMode="auto">
        <a:xfrm>
          <a:off x="38100" y="2857500"/>
          <a:ext cx="12287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23</xdr:row>
      <xdr:rowOff>0</xdr:rowOff>
    </xdr:from>
    <xdr:to>
      <xdr:col>2</xdr:col>
      <xdr:colOff>447675</xdr:colOff>
      <xdr:row>25</xdr:row>
      <xdr:rowOff>171450</xdr:rowOff>
    </xdr:to>
    <xdr:sp macro="" textlink="">
      <xdr:nvSpPr>
        <xdr:cNvPr id="4" name="Line 4">
          <a:extLst>
            <a:ext uri="{FF2B5EF4-FFF2-40B4-BE49-F238E27FC236}">
              <a16:creationId xmlns:a16="http://schemas.microsoft.com/office/drawing/2014/main" id="{00000000-0008-0000-0800-000005000000}"/>
            </a:ext>
          </a:extLst>
        </xdr:cNvPr>
        <xdr:cNvSpPr>
          <a:spLocks noChangeShapeType="1"/>
        </xdr:cNvSpPr>
      </xdr:nvSpPr>
      <xdr:spPr bwMode="auto">
        <a:xfrm>
          <a:off x="9525" y="4286250"/>
          <a:ext cx="168592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57150</xdr:colOff>
      <xdr:row>54</xdr:row>
      <xdr:rowOff>0</xdr:rowOff>
    </xdr:from>
    <xdr:ext cx="1985415" cy="275717"/>
    <xdr:sp macro="" textlink="">
      <xdr:nvSpPr>
        <xdr:cNvPr id="5" name="テキスト ボックス 4">
          <a:extLst>
            <a:ext uri="{FF2B5EF4-FFF2-40B4-BE49-F238E27FC236}">
              <a16:creationId xmlns:a16="http://schemas.microsoft.com/office/drawing/2014/main" id="{00000000-0008-0000-0800-000006000000}"/>
            </a:ext>
          </a:extLst>
        </xdr:cNvPr>
        <xdr:cNvSpPr txBox="1"/>
      </xdr:nvSpPr>
      <xdr:spPr>
        <a:xfrm>
          <a:off x="1752600" y="9839325"/>
          <a:ext cx="1985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時間帯別発生件数と負傷者数</a:t>
          </a:r>
        </a:p>
      </xdr:txBody>
    </xdr:sp>
    <xdr:clientData/>
  </xdr:oneCellAnchor>
  <xdr:twoCellAnchor>
    <xdr:from>
      <xdr:col>2</xdr:col>
      <xdr:colOff>219075</xdr:colOff>
      <xdr:row>53</xdr:row>
      <xdr:rowOff>180974</xdr:rowOff>
    </xdr:from>
    <xdr:to>
      <xdr:col>12</xdr:col>
      <xdr:colOff>285750</xdr:colOff>
      <xdr:row>73</xdr:row>
      <xdr:rowOff>152399</xdr:rowOff>
    </xdr:to>
    <xdr:graphicFrame macro="">
      <xdr:nvGraphicFramePr>
        <xdr:cNvPr id="6" name="グラフ 7">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0.06197</cdr:x>
      <cdr:y>0.13348</cdr:y>
    </cdr:from>
    <cdr:to>
      <cdr:x>0.63099</cdr:x>
      <cdr:y>0.22101</cdr:y>
    </cdr:to>
    <cdr:sp macro="" textlink="">
      <cdr:nvSpPr>
        <cdr:cNvPr id="2" name="テキスト ボックス 1"/>
        <cdr:cNvSpPr txBox="1"/>
      </cdr:nvSpPr>
      <cdr:spPr>
        <a:xfrm xmlns:a="http://schemas.openxmlformats.org/drawingml/2006/main">
          <a:off x="209550" y="581025"/>
          <a:ext cx="1924050"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drawings/drawing55.xml><?xml version="1.0" encoding="utf-8"?>
<xdr:wsDr xmlns:xdr="http://schemas.openxmlformats.org/drawingml/2006/spreadsheetDrawing" xmlns:a="http://schemas.openxmlformats.org/drawingml/2006/main">
  <xdr:twoCellAnchor>
    <xdr:from>
      <xdr:col>1</xdr:col>
      <xdr:colOff>9524</xdr:colOff>
      <xdr:row>2</xdr:row>
      <xdr:rowOff>9525</xdr:rowOff>
    </xdr:from>
    <xdr:to>
      <xdr:col>2</xdr:col>
      <xdr:colOff>828674</xdr:colOff>
      <xdr:row>4</xdr:row>
      <xdr:rowOff>0</xdr:rowOff>
    </xdr:to>
    <xdr:sp macro="" textlink="">
      <xdr:nvSpPr>
        <xdr:cNvPr id="2" name="Line 2">
          <a:extLst>
            <a:ext uri="{FF2B5EF4-FFF2-40B4-BE49-F238E27FC236}">
              <a16:creationId xmlns:a16="http://schemas.microsoft.com/office/drawing/2014/main" id="{00000000-0008-0000-0900-000002000000}"/>
            </a:ext>
          </a:extLst>
        </xdr:cNvPr>
        <xdr:cNvSpPr>
          <a:spLocks noChangeShapeType="1"/>
        </xdr:cNvSpPr>
      </xdr:nvSpPr>
      <xdr:spPr bwMode="auto">
        <a:xfrm>
          <a:off x="695324" y="400050"/>
          <a:ext cx="9239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23433;&#20840;&#12414;&#12385;&#12389;&#12367;&#12426;/15&#12288;&#20132;&#36890;&#23433;&#20840;/R4&#24180;&#24230;/03_&#12381;&#12398;&#20182;/&#20196;&#21644;&#65300;&#24180;&#22823;&#38442;&#24066;&#12398;&#20132;&#36890;&#20107;&#25925;&#65288;&#32113;&#35336;&#36039;&#26009;&#65289;/&#65297;&#12288;&#24220;&#35686;&#20381;&#38972;/&#65288;&#21029;&#28155;&#65289;&#20107;&#25925;&#32113;&#35336;&#12487;&#12540;&#12479;&#65288;R&#65300;&#22823;&#38442;&#24066;&#12398;&#20132;&#36890;&#20107;&#25925;&#12487;&#12540;&#12479;_&#37325;&#20663;&#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ページ（状況）"/>
      <sheetName val="2ページ（年次推移）"/>
      <sheetName val="3ページ（４５年との比較）"/>
      <sheetName val="4ページ（人口推移）"/>
      <sheetName val="5ページ(月別）"/>
      <sheetName val="★６ページ（行政区別）"/>
      <sheetName val="★７ページの最初の項目用"/>
      <sheetName val="★８ページ（幹線道路名）"/>
      <sheetName val="★９ページ（幹線道路別図）"/>
      <sheetName val="★10ページ（道路種別月率）"/>
      <sheetName val="★11ページ（時間別）"/>
      <sheetName val="★12ページ（時間道路別）"/>
      <sheetName val="★13ページ類型別（対前年比・状態別）"/>
      <sheetName val="★14ページ類型別（信号別）"/>
      <sheetName val="★15ページ（法令違反別）"/>
      <sheetName val="16ページ死亡事故の推移 "/>
      <sheetName val="★17ページ高齢者（推移）"/>
      <sheetName val="★１８ページ高齢者（行政区別）"/>
      <sheetName val="★１９ページ 高齢者(法令違反別)"/>
      <sheetName val="★２０ページ子ども（推移）"/>
      <sheetName val="★２１ページ子ども（年齢別）"/>
      <sheetName val="★２２ページ子ども（行政区別）"/>
      <sheetName val="★２３ページ子ども（法令違反別）"/>
      <sheetName val="★２４ページ若年者（推移）"/>
      <sheetName val="★２５ページ若年者（年齢別）"/>
      <sheetName val="★２６ページ若年者（行政区別） "/>
      <sheetName val="★２７ページ若年者（法令違反別） (2)"/>
      <sheetName val="★２８ページ歩行者（推移） "/>
      <sheetName val="★２９ページ歩行者(類型･月別）"/>
      <sheetName val="★３０ページ歩行者(行政区･状態）"/>
      <sheetName val="★３１ページ歩行者(時間別･状態）"/>
      <sheetName val="★３２ページ自転車（推移）"/>
      <sheetName val="★３３ページ自転車対自転車"/>
      <sheetName val="★３４ページ自転車(事故類型別）"/>
      <sheetName val="★３５ページ自転車(行政区･類型）"/>
      <sheetName val="★３６ぺージ自転車(時間別･類型）"/>
      <sheetName val="★37ページ自動二輪(推移）"/>
      <sheetName val="★３８ページ自動二輪車(類型別）"/>
      <sheetName val="★３９ページ自動二輪車（区別、類型別）"/>
      <sheetName val="★４０ページ自動二輪車(時間、類型別）"/>
      <sheetName val="★４１原付(推移）"/>
      <sheetName val="★４２原付(類型別)"/>
      <sheetName val="★４３原付(行政区）"/>
      <sheetName val="★４４原付(時間別）"/>
      <sheetName val="★４５ページ（飲酒運転）"/>
      <sheetName val="４６ページ大都市の交通事故発生状況"/>
    </sheetNames>
    <sheetDataSet>
      <sheetData sheetId="0" refreshError="1"/>
      <sheetData sheetId="1" refreshError="1">
        <row r="7">
          <cell r="C7" t="str">
            <v>件数</v>
          </cell>
        </row>
        <row r="58">
          <cell r="D58">
            <v>37</v>
          </cell>
          <cell r="E58">
            <v>9493</v>
          </cell>
        </row>
        <row r="59">
          <cell r="D59">
            <v>43</v>
          </cell>
          <cell r="E59">
            <v>9584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C5"/>
          <cell r="D5"/>
          <cell r="E5"/>
          <cell r="F5"/>
          <cell r="G5"/>
          <cell r="H5"/>
          <cell r="I5"/>
          <cell r="K5"/>
          <cell r="L5"/>
          <cell r="M5"/>
          <cell r="N5"/>
        </row>
        <row r="8">
          <cell r="C8"/>
          <cell r="D8"/>
          <cell r="E8"/>
          <cell r="F8"/>
          <cell r="G8"/>
          <cell r="H8"/>
          <cell r="I8"/>
          <cell r="J8"/>
          <cell r="K8"/>
          <cell r="L8"/>
          <cell r="M8"/>
          <cell r="N8"/>
        </row>
        <row r="11">
          <cell r="C11"/>
          <cell r="D11"/>
          <cell r="E11"/>
          <cell r="F11"/>
          <cell r="G11"/>
          <cell r="H11"/>
          <cell r="I11"/>
          <cell r="J11"/>
          <cell r="K11"/>
          <cell r="L11"/>
          <cell r="M11"/>
          <cell r="N11"/>
        </row>
        <row r="14">
          <cell r="C14"/>
          <cell r="D14"/>
          <cell r="E14"/>
          <cell r="F14"/>
          <cell r="G14"/>
          <cell r="H14"/>
          <cell r="I14"/>
          <cell r="J14"/>
          <cell r="K14"/>
          <cell r="L14"/>
          <cell r="M14"/>
          <cell r="N14"/>
        </row>
        <row r="17">
          <cell r="C17"/>
          <cell r="D17"/>
          <cell r="E17"/>
          <cell r="F17"/>
          <cell r="G17"/>
          <cell r="H17"/>
          <cell r="I17"/>
          <cell r="J17"/>
          <cell r="K17"/>
          <cell r="L17"/>
          <cell r="M17"/>
          <cell r="N17"/>
        </row>
        <row r="20">
          <cell r="C20"/>
          <cell r="D20"/>
          <cell r="E20"/>
          <cell r="F20"/>
          <cell r="G20"/>
          <cell r="H20"/>
          <cell r="I20"/>
          <cell r="J20"/>
          <cell r="K20"/>
          <cell r="L20"/>
          <cell r="M20"/>
          <cell r="N20"/>
        </row>
        <row r="23">
          <cell r="C23"/>
          <cell r="D23"/>
          <cell r="E23"/>
          <cell r="F23"/>
          <cell r="G23"/>
          <cell r="H23"/>
          <cell r="I23"/>
          <cell r="J23"/>
          <cell r="K23"/>
          <cell r="L23"/>
          <cell r="M23"/>
          <cell r="N23"/>
        </row>
        <row r="26">
          <cell r="C26"/>
          <cell r="D26"/>
          <cell r="E26"/>
          <cell r="F26"/>
          <cell r="G26"/>
          <cell r="H26"/>
          <cell r="I26"/>
          <cell r="J26"/>
          <cell r="K26"/>
          <cell r="L26"/>
          <cell r="M26"/>
          <cell r="N26"/>
        </row>
        <row r="29">
          <cell r="C29"/>
          <cell r="D29"/>
          <cell r="E29"/>
          <cell r="F29"/>
          <cell r="G29"/>
          <cell r="H29"/>
          <cell r="I29"/>
          <cell r="J29"/>
          <cell r="K29"/>
          <cell r="L29"/>
          <cell r="M29"/>
          <cell r="N29"/>
        </row>
        <row r="32">
          <cell r="C32"/>
          <cell r="D32"/>
          <cell r="E32"/>
          <cell r="F32"/>
          <cell r="G32"/>
          <cell r="H32"/>
          <cell r="I32"/>
          <cell r="J32"/>
          <cell r="K32"/>
          <cell r="L32"/>
          <cell r="M32"/>
          <cell r="N32"/>
        </row>
        <row r="35">
          <cell r="C35"/>
          <cell r="D35"/>
          <cell r="E35"/>
          <cell r="F35"/>
          <cell r="G35"/>
          <cell r="H35"/>
          <cell r="I35"/>
          <cell r="J35"/>
          <cell r="K35"/>
          <cell r="L35"/>
          <cell r="M35"/>
          <cell r="N35"/>
        </row>
        <row r="38">
          <cell r="C38"/>
          <cell r="D38"/>
          <cell r="E38"/>
          <cell r="F38"/>
          <cell r="G38"/>
          <cell r="H38"/>
          <cell r="I38"/>
          <cell r="J38"/>
          <cell r="K38"/>
          <cell r="L38"/>
          <cell r="M38"/>
          <cell r="N38"/>
        </row>
        <row r="41">
          <cell r="C41"/>
          <cell r="D41"/>
          <cell r="E41"/>
          <cell r="F41"/>
          <cell r="G41"/>
          <cell r="H41"/>
          <cell r="I41"/>
          <cell r="J41"/>
          <cell r="K41"/>
          <cell r="L41"/>
          <cell r="M41"/>
          <cell r="N41"/>
        </row>
        <row r="44">
          <cell r="C44"/>
          <cell r="D44"/>
          <cell r="E44"/>
          <cell r="F44"/>
          <cell r="G44"/>
          <cell r="H44"/>
          <cell r="I44"/>
          <cell r="J44"/>
          <cell r="K44"/>
          <cell r="L44"/>
          <cell r="M44"/>
          <cell r="N44"/>
        </row>
        <row r="47">
          <cell r="C47"/>
          <cell r="D47"/>
          <cell r="E47"/>
          <cell r="F47"/>
          <cell r="G47"/>
          <cell r="H47"/>
          <cell r="I47"/>
          <cell r="J47"/>
          <cell r="K47"/>
          <cell r="L47"/>
          <cell r="M47"/>
          <cell r="N47"/>
        </row>
      </sheetData>
      <sheetData sheetId="21" refreshError="1"/>
      <sheetData sheetId="22" refreshError="1"/>
      <sheetData sheetId="23" refreshError="1"/>
      <sheetData sheetId="24" refreshError="1">
        <row r="32">
          <cell r="C32">
            <v>0</v>
          </cell>
          <cell r="D32">
            <v>0</v>
          </cell>
          <cell r="K32">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zoomScaleNormal="100" zoomScaleSheetLayoutView="100" workbookViewId="0">
      <selection activeCell="D9" sqref="D9"/>
    </sheetView>
  </sheetViews>
  <sheetFormatPr defaultRowHeight="14.25"/>
  <cols>
    <col min="1" max="1" width="3.5" style="2" customWidth="1"/>
    <col min="2" max="2" width="1.25" style="2" customWidth="1"/>
    <col min="3" max="3" width="4.625" style="2" customWidth="1"/>
    <col min="4" max="4" width="7.75" style="2" customWidth="1"/>
    <col min="5" max="6" width="12.625" style="2" customWidth="1"/>
    <col min="7" max="7" width="2.25" style="2" customWidth="1"/>
    <col min="8" max="8" width="12.625" style="2" customWidth="1"/>
    <col min="9" max="9" width="2.125" style="2" customWidth="1"/>
    <col min="10" max="10" width="12.625" style="2" customWidth="1"/>
    <col min="11" max="11" width="9" style="2"/>
    <col min="12" max="12" width="3.25" style="2" customWidth="1"/>
    <col min="13" max="16384" width="9" style="2"/>
  </cols>
  <sheetData>
    <row r="1" spans="1:10" ht="23.25" customHeight="1">
      <c r="A1" s="1" t="s">
        <v>0</v>
      </c>
      <c r="B1" s="1"/>
    </row>
    <row r="3" spans="1:10" ht="24" customHeight="1" thickBot="1">
      <c r="A3" s="2" t="s">
        <v>1</v>
      </c>
      <c r="F3" s="1394" t="s">
        <v>2</v>
      </c>
      <c r="G3" s="1435"/>
      <c r="H3" s="1435"/>
      <c r="I3" s="1435"/>
      <c r="J3" s="1435"/>
    </row>
    <row r="4" spans="1:10" ht="20.100000000000001" customHeight="1">
      <c r="A4" s="3"/>
      <c r="B4" s="4"/>
      <c r="C4" s="4"/>
      <c r="D4" s="5" t="s">
        <v>3</v>
      </c>
      <c r="E4" s="1436" t="s">
        <v>991</v>
      </c>
      <c r="F4" s="1438" t="s">
        <v>992</v>
      </c>
      <c r="G4" s="1404" t="s">
        <v>6</v>
      </c>
      <c r="H4" s="1404"/>
      <c r="I4" s="1404"/>
      <c r="J4" s="1405"/>
    </row>
    <row r="5" spans="1:10" ht="20.100000000000001" customHeight="1" thickBot="1">
      <c r="A5" s="6" t="s">
        <v>7</v>
      </c>
      <c r="B5" s="7"/>
      <c r="C5" s="7"/>
      <c r="D5" s="8"/>
      <c r="E5" s="1437"/>
      <c r="F5" s="1439"/>
      <c r="G5" s="9"/>
      <c r="H5" s="10" t="s">
        <v>8</v>
      </c>
      <c r="I5" s="11"/>
      <c r="J5" s="12" t="s">
        <v>9</v>
      </c>
    </row>
    <row r="6" spans="1:10" ht="20.100000000000001" customHeight="1">
      <c r="A6" s="1408" t="s">
        <v>10</v>
      </c>
      <c r="B6" s="1441" t="s">
        <v>11</v>
      </c>
      <c r="C6" s="1442"/>
      <c r="D6" s="1443"/>
      <c r="E6" s="363">
        <v>8106</v>
      </c>
      <c r="F6" s="13">
        <v>8296</v>
      </c>
      <c r="G6" s="14"/>
      <c r="H6" s="15">
        <f t="shared" ref="H6:H29" si="0">E6-F6</f>
        <v>-190</v>
      </c>
      <c r="I6" s="16"/>
      <c r="J6" s="17">
        <f t="shared" ref="J6:J29" si="1">(E6/F6-1)*100</f>
        <v>-2.2902603664416543</v>
      </c>
    </row>
    <row r="7" spans="1:10" ht="20.100000000000001" customHeight="1">
      <c r="A7" s="1409"/>
      <c r="B7" s="1421" t="s">
        <v>12</v>
      </c>
      <c r="C7" s="1422"/>
      <c r="D7" s="18" t="s">
        <v>13</v>
      </c>
      <c r="E7" s="364">
        <v>40</v>
      </c>
      <c r="F7" s="19">
        <v>43</v>
      </c>
      <c r="G7" s="20"/>
      <c r="H7" s="21">
        <f t="shared" si="0"/>
        <v>-3</v>
      </c>
      <c r="I7" s="22"/>
      <c r="J7" s="23">
        <f t="shared" si="1"/>
        <v>-6.9767441860465134</v>
      </c>
    </row>
    <row r="8" spans="1:10" ht="20.100000000000001" customHeight="1">
      <c r="A8" s="1409"/>
      <c r="B8" s="1423"/>
      <c r="C8" s="1424"/>
      <c r="D8" s="24" t="s">
        <v>14</v>
      </c>
      <c r="E8" s="364">
        <v>1</v>
      </c>
      <c r="F8" s="19">
        <v>0</v>
      </c>
      <c r="G8" s="20"/>
      <c r="H8" s="25">
        <f t="shared" si="0"/>
        <v>1</v>
      </c>
      <c r="I8" s="22"/>
      <c r="J8" s="26" t="s">
        <v>15</v>
      </c>
    </row>
    <row r="9" spans="1:10" ht="20.100000000000001" customHeight="1">
      <c r="A9" s="1409"/>
      <c r="B9" s="1423"/>
      <c r="C9" s="1424"/>
      <c r="D9" s="24" t="s">
        <v>16</v>
      </c>
      <c r="E9" s="364">
        <v>17</v>
      </c>
      <c r="F9" s="19">
        <v>21</v>
      </c>
      <c r="G9" s="20"/>
      <c r="H9" s="21">
        <f t="shared" si="0"/>
        <v>-4</v>
      </c>
      <c r="I9" s="22"/>
      <c r="J9" s="23">
        <f t="shared" si="1"/>
        <v>-19.047619047619047</v>
      </c>
    </row>
    <row r="10" spans="1:10" ht="20.100000000000001" customHeight="1">
      <c r="A10" s="1409"/>
      <c r="B10" s="1412" t="s">
        <v>17</v>
      </c>
      <c r="C10" s="1418"/>
      <c r="D10" s="18" t="s">
        <v>18</v>
      </c>
      <c r="E10" s="364">
        <v>9278</v>
      </c>
      <c r="F10" s="19">
        <v>9584</v>
      </c>
      <c r="G10" s="20"/>
      <c r="H10" s="25">
        <f t="shared" si="0"/>
        <v>-306</v>
      </c>
      <c r="I10" s="22"/>
      <c r="J10" s="23">
        <f t="shared" si="1"/>
        <v>-3.192821368948251</v>
      </c>
    </row>
    <row r="11" spans="1:10" ht="20.100000000000001" customHeight="1">
      <c r="A11" s="1409"/>
      <c r="B11" s="1419"/>
      <c r="C11" s="1419"/>
      <c r="D11" s="24" t="s">
        <v>14</v>
      </c>
      <c r="E11" s="364">
        <v>381</v>
      </c>
      <c r="F11" s="19">
        <v>426</v>
      </c>
      <c r="G11" s="20"/>
      <c r="H11" s="21">
        <f t="shared" si="0"/>
        <v>-45</v>
      </c>
      <c r="I11" s="22"/>
      <c r="J11" s="23">
        <f t="shared" si="1"/>
        <v>-10.563380281690138</v>
      </c>
    </row>
    <row r="12" spans="1:10" ht="20.100000000000001" customHeight="1">
      <c r="A12" s="1409"/>
      <c r="B12" s="1419"/>
      <c r="C12" s="1420"/>
      <c r="D12" s="24" t="s">
        <v>16</v>
      </c>
      <c r="E12" s="365">
        <v>1200</v>
      </c>
      <c r="F12" s="34">
        <v>1248</v>
      </c>
      <c r="G12" s="35"/>
      <c r="H12" s="25">
        <f t="shared" si="0"/>
        <v>-48</v>
      </c>
      <c r="I12" s="36"/>
      <c r="J12" s="37">
        <f t="shared" si="1"/>
        <v>-3.8461538461538436</v>
      </c>
    </row>
    <row r="13" spans="1:10" ht="20.100000000000001" customHeight="1">
      <c r="A13" s="1410"/>
      <c r="B13" s="334"/>
      <c r="C13" s="1440" t="s">
        <v>993</v>
      </c>
      <c r="D13" s="18" t="s">
        <v>18</v>
      </c>
      <c r="E13" s="364">
        <v>894</v>
      </c>
      <c r="F13" s="19">
        <v>879</v>
      </c>
      <c r="G13" s="20"/>
      <c r="H13" s="21">
        <f t="shared" si="0"/>
        <v>15</v>
      </c>
      <c r="I13" s="22"/>
      <c r="J13" s="23">
        <f t="shared" si="1"/>
        <v>1.7064846416382284</v>
      </c>
    </row>
    <row r="14" spans="1:10" ht="20.100000000000001" customHeight="1">
      <c r="A14" s="1410"/>
      <c r="B14" s="332"/>
      <c r="C14" s="1413"/>
      <c r="D14" s="31" t="s">
        <v>14</v>
      </c>
      <c r="E14" s="364">
        <v>11</v>
      </c>
      <c r="F14" s="19">
        <v>26</v>
      </c>
      <c r="G14" s="20"/>
      <c r="H14" s="21">
        <f t="shared" si="0"/>
        <v>-15</v>
      </c>
      <c r="I14" s="22"/>
      <c r="J14" s="23">
        <f t="shared" si="1"/>
        <v>-57.692307692307686</v>
      </c>
    </row>
    <row r="15" spans="1:10" ht="20.100000000000001" customHeight="1" thickBot="1">
      <c r="A15" s="1411"/>
      <c r="B15" s="333"/>
      <c r="C15" s="1414"/>
      <c r="D15" s="31" t="s">
        <v>16</v>
      </c>
      <c r="E15" s="366">
        <v>277</v>
      </c>
      <c r="F15" s="367">
        <v>266</v>
      </c>
      <c r="G15" s="27"/>
      <c r="H15" s="32">
        <f t="shared" si="0"/>
        <v>11</v>
      </c>
      <c r="I15" s="28"/>
      <c r="J15" s="29">
        <f t="shared" si="1"/>
        <v>4.1353383458646586</v>
      </c>
    </row>
    <row r="16" spans="1:10" ht="20.100000000000001" customHeight="1">
      <c r="A16" s="1408" t="s">
        <v>19</v>
      </c>
      <c r="B16" s="1415" t="s">
        <v>11</v>
      </c>
      <c r="C16" s="1416"/>
      <c r="D16" s="1417"/>
      <c r="E16" s="363">
        <v>25509</v>
      </c>
      <c r="F16" s="13">
        <v>25388</v>
      </c>
      <c r="G16" s="14"/>
      <c r="H16" s="30">
        <f t="shared" si="0"/>
        <v>121</v>
      </c>
      <c r="I16" s="16"/>
      <c r="J16" s="17">
        <f t="shared" si="1"/>
        <v>0.47660311958406254</v>
      </c>
    </row>
    <row r="17" spans="1:12" ht="20.100000000000001" customHeight="1">
      <c r="A17" s="1409"/>
      <c r="B17" s="1412" t="s">
        <v>12</v>
      </c>
      <c r="C17" s="1418"/>
      <c r="D17" s="190" t="s">
        <v>18</v>
      </c>
      <c r="E17" s="364">
        <v>141</v>
      </c>
      <c r="F17" s="19">
        <v>140</v>
      </c>
      <c r="G17" s="20"/>
      <c r="H17" s="33">
        <f t="shared" si="0"/>
        <v>1</v>
      </c>
      <c r="I17" s="22"/>
      <c r="J17" s="23">
        <f t="shared" si="1"/>
        <v>0.71428571428571175</v>
      </c>
    </row>
    <row r="18" spans="1:12" ht="20.100000000000001" customHeight="1">
      <c r="A18" s="1409"/>
      <c r="B18" s="1419"/>
      <c r="C18" s="1419"/>
      <c r="D18" s="24" t="s">
        <v>14</v>
      </c>
      <c r="E18" s="364">
        <v>5</v>
      </c>
      <c r="F18" s="19">
        <v>1</v>
      </c>
      <c r="G18" s="20"/>
      <c r="H18" s="33">
        <f t="shared" si="0"/>
        <v>4</v>
      </c>
      <c r="I18" s="22"/>
      <c r="J18" s="23">
        <f t="shared" si="1"/>
        <v>400</v>
      </c>
    </row>
    <row r="19" spans="1:12" ht="20.100000000000001" customHeight="1">
      <c r="A19" s="1409"/>
      <c r="B19" s="1420"/>
      <c r="C19" s="1420"/>
      <c r="D19" s="24" t="s">
        <v>16</v>
      </c>
      <c r="E19" s="364">
        <v>57</v>
      </c>
      <c r="F19" s="19">
        <v>68</v>
      </c>
      <c r="G19" s="20"/>
      <c r="H19" s="33">
        <f t="shared" si="0"/>
        <v>-11</v>
      </c>
      <c r="I19" s="22"/>
      <c r="J19" s="23">
        <f t="shared" si="1"/>
        <v>-16.176470588235293</v>
      </c>
    </row>
    <row r="20" spans="1:12" ht="20.100000000000001" customHeight="1">
      <c r="A20" s="1409"/>
      <c r="B20" s="1421" t="s">
        <v>17</v>
      </c>
      <c r="C20" s="1422"/>
      <c r="D20" s="18" t="s">
        <v>18</v>
      </c>
      <c r="E20" s="364">
        <v>29760</v>
      </c>
      <c r="F20" s="19">
        <v>29560</v>
      </c>
      <c r="G20" s="20"/>
      <c r="H20" s="33">
        <f t="shared" si="0"/>
        <v>200</v>
      </c>
      <c r="I20" s="22"/>
      <c r="J20" s="23">
        <f t="shared" si="1"/>
        <v>0.67658998646820123</v>
      </c>
    </row>
    <row r="21" spans="1:12" ht="20.100000000000001" customHeight="1">
      <c r="A21" s="1409"/>
      <c r="B21" s="1423"/>
      <c r="C21" s="1424"/>
      <c r="D21" s="24" t="s">
        <v>14</v>
      </c>
      <c r="E21" s="364">
        <v>1575</v>
      </c>
      <c r="F21" s="19">
        <v>1527</v>
      </c>
      <c r="G21" s="20"/>
      <c r="H21" s="33">
        <f t="shared" si="0"/>
        <v>48</v>
      </c>
      <c r="I21" s="22"/>
      <c r="J21" s="23">
        <f t="shared" si="1"/>
        <v>3.1434184675835031</v>
      </c>
    </row>
    <row r="22" spans="1:12" ht="20.100000000000001" customHeight="1">
      <c r="A22" s="1409"/>
      <c r="B22" s="1423"/>
      <c r="C22" s="1424"/>
      <c r="D22" s="24" t="s">
        <v>16</v>
      </c>
      <c r="E22" s="365">
        <v>4196</v>
      </c>
      <c r="F22" s="34">
        <v>4245</v>
      </c>
      <c r="G22" s="35"/>
      <c r="H22" s="25">
        <f t="shared" si="0"/>
        <v>-49</v>
      </c>
      <c r="I22" s="36"/>
      <c r="J22" s="37">
        <f t="shared" si="1"/>
        <v>-1.1542991755005838</v>
      </c>
    </row>
    <row r="23" spans="1:12" ht="20.100000000000001" customHeight="1">
      <c r="A23" s="1410"/>
      <c r="B23" s="332"/>
      <c r="C23" s="1412" t="s">
        <v>993</v>
      </c>
      <c r="D23" s="18" t="s">
        <v>18</v>
      </c>
      <c r="E23" s="364">
        <v>2808</v>
      </c>
      <c r="F23" s="19">
        <v>2779</v>
      </c>
      <c r="G23" s="20"/>
      <c r="H23" s="21">
        <f t="shared" si="0"/>
        <v>29</v>
      </c>
      <c r="I23" s="22"/>
      <c r="J23" s="23">
        <f t="shared" si="1"/>
        <v>1.0435408420295111</v>
      </c>
    </row>
    <row r="24" spans="1:12" ht="20.100000000000001" customHeight="1">
      <c r="A24" s="1410"/>
      <c r="B24" s="332"/>
      <c r="C24" s="1413"/>
      <c r="D24" s="31" t="s">
        <v>14</v>
      </c>
      <c r="E24" s="364">
        <v>87</v>
      </c>
      <c r="F24" s="19">
        <v>101</v>
      </c>
      <c r="G24" s="20"/>
      <c r="H24" s="21">
        <f t="shared" si="0"/>
        <v>-14</v>
      </c>
      <c r="I24" s="22"/>
      <c r="J24" s="23">
        <f t="shared" si="1"/>
        <v>-13.861386138613863</v>
      </c>
    </row>
    <row r="25" spans="1:12" ht="20.100000000000001" customHeight="1" thickBot="1">
      <c r="A25" s="1411"/>
      <c r="B25" s="333"/>
      <c r="C25" s="1414"/>
      <c r="D25" s="31" t="s">
        <v>16</v>
      </c>
      <c r="E25" s="366">
        <v>904</v>
      </c>
      <c r="F25" s="367">
        <v>906</v>
      </c>
      <c r="G25" s="27"/>
      <c r="H25" s="32">
        <f t="shared" si="0"/>
        <v>-2</v>
      </c>
      <c r="I25" s="28"/>
      <c r="J25" s="29">
        <f t="shared" si="1"/>
        <v>-0.22075055187638082</v>
      </c>
    </row>
    <row r="26" spans="1:12" ht="20.100000000000001" customHeight="1">
      <c r="A26" s="1425" t="s">
        <v>20</v>
      </c>
      <c r="B26" s="1430" t="s">
        <v>396</v>
      </c>
      <c r="C26" s="1416"/>
      <c r="D26" s="1417"/>
      <c r="E26" s="368">
        <v>300839</v>
      </c>
      <c r="F26" s="38">
        <v>305196</v>
      </c>
      <c r="G26" s="39"/>
      <c r="H26" s="25">
        <f t="shared" si="0"/>
        <v>-4357</v>
      </c>
      <c r="I26" s="40"/>
      <c r="J26" s="41">
        <f t="shared" si="1"/>
        <v>-1.4276071770272236</v>
      </c>
    </row>
    <row r="27" spans="1:12" ht="20.100000000000001" customHeight="1">
      <c r="A27" s="1426"/>
      <c r="B27" s="1431" t="s">
        <v>21</v>
      </c>
      <c r="C27" s="1432"/>
      <c r="D27" s="1433"/>
      <c r="E27" s="364">
        <v>2610</v>
      </c>
      <c r="F27" s="19">
        <v>2636</v>
      </c>
      <c r="G27" s="20"/>
      <c r="H27" s="21">
        <f t="shared" si="0"/>
        <v>-26</v>
      </c>
      <c r="I27" s="22"/>
      <c r="J27" s="23">
        <f t="shared" si="1"/>
        <v>-0.98634294385432364</v>
      </c>
    </row>
    <row r="28" spans="1:12" ht="20.100000000000001" customHeight="1">
      <c r="A28" s="1426"/>
      <c r="B28" s="1434" t="s">
        <v>22</v>
      </c>
      <c r="C28" s="1432"/>
      <c r="D28" s="1433"/>
      <c r="E28" s="365">
        <v>356601</v>
      </c>
      <c r="F28" s="34">
        <v>362131</v>
      </c>
      <c r="G28" s="35"/>
      <c r="H28" s="25">
        <f t="shared" si="0"/>
        <v>-5530</v>
      </c>
      <c r="I28" s="36"/>
      <c r="J28" s="37">
        <f t="shared" si="1"/>
        <v>-1.5270716950495866</v>
      </c>
    </row>
    <row r="29" spans="1:12" ht="20.100000000000001" customHeight="1" thickBot="1">
      <c r="A29" s="1427"/>
      <c r="B29" s="335"/>
      <c r="C29" s="1428" t="s">
        <v>994</v>
      </c>
      <c r="D29" s="1429"/>
      <c r="E29" s="369">
        <v>26027</v>
      </c>
      <c r="F29" s="370">
        <v>27204</v>
      </c>
      <c r="G29" s="42"/>
      <c r="H29" s="32">
        <f t="shared" si="0"/>
        <v>-1177</v>
      </c>
      <c r="I29" s="28"/>
      <c r="J29" s="29">
        <f t="shared" si="1"/>
        <v>-4.3265696221143957</v>
      </c>
    </row>
    <row r="30" spans="1:12" ht="18.75" customHeight="1">
      <c r="C30" s="1393" t="s">
        <v>23</v>
      </c>
      <c r="D30" s="1393"/>
      <c r="E30" s="1393"/>
      <c r="F30" s="1393"/>
      <c r="G30" s="1393"/>
      <c r="H30" s="1393"/>
      <c r="I30" s="1393"/>
      <c r="J30" s="1393"/>
    </row>
    <row r="31" spans="1:12" ht="22.5" customHeight="1">
      <c r="C31" s="43"/>
      <c r="D31" s="43"/>
      <c r="E31" s="43"/>
      <c r="F31" s="43"/>
      <c r="G31" s="43"/>
      <c r="H31" s="43"/>
      <c r="I31" s="43"/>
      <c r="J31" s="43"/>
    </row>
    <row r="32" spans="1:12" ht="15" thickBot="1">
      <c r="A32" s="2" t="s">
        <v>24</v>
      </c>
      <c r="K32" s="1394" t="s">
        <v>25</v>
      </c>
      <c r="L32" s="1394"/>
    </row>
    <row r="33" spans="1:12">
      <c r="A33" s="3"/>
      <c r="B33" s="4"/>
      <c r="C33" s="4"/>
      <c r="D33" s="4"/>
      <c r="E33" s="44" t="s">
        <v>3</v>
      </c>
      <c r="F33" s="1395" t="s">
        <v>4</v>
      </c>
      <c r="G33" s="1396"/>
      <c r="H33" s="1399" t="s">
        <v>5</v>
      </c>
      <c r="I33" s="1400"/>
      <c r="J33" s="1403" t="s">
        <v>26</v>
      </c>
      <c r="K33" s="1404"/>
      <c r="L33" s="1405"/>
    </row>
    <row r="34" spans="1:12" ht="15" thickBot="1">
      <c r="A34" s="6" t="s">
        <v>7</v>
      </c>
      <c r="B34" s="7"/>
      <c r="C34" s="7"/>
      <c r="D34" s="7"/>
      <c r="E34" s="8"/>
      <c r="F34" s="1397"/>
      <c r="G34" s="1398"/>
      <c r="H34" s="1401"/>
      <c r="I34" s="1402"/>
      <c r="J34" s="45" t="s">
        <v>27</v>
      </c>
      <c r="K34" s="1406" t="s">
        <v>28</v>
      </c>
      <c r="L34" s="1407"/>
    </row>
    <row r="35" spans="1:12">
      <c r="A35" s="46" t="s">
        <v>1004</v>
      </c>
      <c r="B35" s="243"/>
      <c r="C35" s="47"/>
      <c r="D35" s="47"/>
      <c r="E35" s="48"/>
      <c r="F35" s="243">
        <v>40</v>
      </c>
      <c r="G35" s="47"/>
      <c r="H35" s="49">
        <v>43</v>
      </c>
      <c r="I35" s="50"/>
      <c r="J35" s="51">
        <f t="shared" ref="J35:J48" si="2">F35-H35</f>
        <v>-3</v>
      </c>
      <c r="K35" s="1391">
        <f>(F35/H35-1)*100</f>
        <v>-6.9767441860465134</v>
      </c>
      <c r="L35" s="1392">
        <f>(G35/H35-1)*100</f>
        <v>-100</v>
      </c>
    </row>
    <row r="36" spans="1:12">
      <c r="A36" s="1378" t="s">
        <v>29</v>
      </c>
      <c r="B36" s="1390" t="s">
        <v>30</v>
      </c>
      <c r="C36" s="1387"/>
      <c r="D36" s="52"/>
      <c r="E36" s="53"/>
      <c r="F36" s="9">
        <v>17</v>
      </c>
      <c r="G36" s="9"/>
      <c r="H36" s="54">
        <v>21</v>
      </c>
      <c r="I36" s="55"/>
      <c r="J36" s="56">
        <f t="shared" si="2"/>
        <v>-4</v>
      </c>
      <c r="K36" s="1384">
        <f>(F36/H36-1)*100</f>
        <v>-19.047619047619047</v>
      </c>
      <c r="L36" s="1385">
        <f>(G36/H36-1)*100</f>
        <v>-100</v>
      </c>
    </row>
    <row r="37" spans="1:12">
      <c r="A37" s="1379"/>
      <c r="B37" s="1390" t="s">
        <v>31</v>
      </c>
      <c r="C37" s="1387"/>
      <c r="D37" s="58"/>
      <c r="E37" s="59"/>
      <c r="F37" s="58">
        <v>1</v>
      </c>
      <c r="G37" s="58"/>
      <c r="H37" s="57">
        <v>0</v>
      </c>
      <c r="I37" s="60"/>
      <c r="J37" s="61">
        <f t="shared" si="2"/>
        <v>1</v>
      </c>
      <c r="K37" s="1384" t="s">
        <v>913</v>
      </c>
      <c r="L37" s="1385" t="e">
        <f>(G37/H37-1)*100</f>
        <v>#DIV/0!</v>
      </c>
    </row>
    <row r="38" spans="1:12">
      <c r="A38" s="1383"/>
      <c r="B38" s="1390" t="s">
        <v>32</v>
      </c>
      <c r="C38" s="1387"/>
      <c r="D38" s="63"/>
      <c r="E38" s="64"/>
      <c r="F38" s="63">
        <v>22</v>
      </c>
      <c r="G38" s="63"/>
      <c r="H38" s="62">
        <v>22</v>
      </c>
      <c r="I38" s="65"/>
      <c r="J38" s="56">
        <f t="shared" si="2"/>
        <v>0</v>
      </c>
      <c r="K38" s="1376">
        <f t="shared" ref="K38:K47" si="3">(F38/H38-1)*100</f>
        <v>0</v>
      </c>
      <c r="L38" s="1377">
        <f t="shared" ref="L38:L47" si="4">(G38/H38-1)*100</f>
        <v>-100</v>
      </c>
    </row>
    <row r="39" spans="1:12">
      <c r="A39" s="1378" t="s">
        <v>33</v>
      </c>
      <c r="B39" s="1386" t="s">
        <v>34</v>
      </c>
      <c r="C39" s="1387"/>
      <c r="D39" s="9"/>
      <c r="E39" s="53"/>
      <c r="F39" s="9">
        <v>8</v>
      </c>
      <c r="G39" s="9"/>
      <c r="H39" s="54">
        <v>3</v>
      </c>
      <c r="I39" s="55"/>
      <c r="J39" s="61">
        <f t="shared" si="2"/>
        <v>5</v>
      </c>
      <c r="K39" s="1374">
        <f t="shared" si="3"/>
        <v>166.66666666666666</v>
      </c>
      <c r="L39" s="1375">
        <f t="shared" si="4"/>
        <v>-100</v>
      </c>
    </row>
    <row r="40" spans="1:12">
      <c r="A40" s="1379"/>
      <c r="B40" s="336"/>
      <c r="C40" s="1388" t="s">
        <v>35</v>
      </c>
      <c r="D40" s="1387"/>
      <c r="E40" s="1389"/>
      <c r="F40" s="58">
        <v>1</v>
      </c>
      <c r="G40" s="58"/>
      <c r="H40" s="57">
        <v>2</v>
      </c>
      <c r="I40" s="60"/>
      <c r="J40" s="56">
        <f t="shared" si="2"/>
        <v>-1</v>
      </c>
      <c r="K40" s="1374">
        <f t="shared" si="3"/>
        <v>-50</v>
      </c>
      <c r="L40" s="1375">
        <f t="shared" si="4"/>
        <v>-100</v>
      </c>
    </row>
    <row r="41" spans="1:12">
      <c r="A41" s="1379"/>
      <c r="B41" s="1390" t="s">
        <v>36</v>
      </c>
      <c r="C41" s="1387"/>
      <c r="D41" s="1387"/>
      <c r="E41" s="1389"/>
      <c r="F41" s="9">
        <v>8</v>
      </c>
      <c r="G41" s="9"/>
      <c r="H41" s="54">
        <v>8</v>
      </c>
      <c r="I41" s="55"/>
      <c r="J41" s="61">
        <f t="shared" si="2"/>
        <v>0</v>
      </c>
      <c r="K41" s="1384">
        <f t="shared" si="3"/>
        <v>0</v>
      </c>
      <c r="L41" s="1385">
        <f t="shared" si="4"/>
        <v>-100</v>
      </c>
    </row>
    <row r="42" spans="1:12">
      <c r="A42" s="1379"/>
      <c r="B42" s="1390" t="s">
        <v>37</v>
      </c>
      <c r="C42" s="1387"/>
      <c r="D42" s="1387"/>
      <c r="E42" s="1389"/>
      <c r="F42" s="58">
        <v>3</v>
      </c>
      <c r="G42" s="58"/>
      <c r="H42" s="57">
        <v>2</v>
      </c>
      <c r="I42" s="60"/>
      <c r="J42" s="56">
        <f t="shared" si="2"/>
        <v>1</v>
      </c>
      <c r="K42" s="1384">
        <f t="shared" si="3"/>
        <v>50</v>
      </c>
      <c r="L42" s="1385">
        <f t="shared" si="4"/>
        <v>-100</v>
      </c>
    </row>
    <row r="43" spans="1:12">
      <c r="A43" s="1379"/>
      <c r="B43" s="1390" t="s">
        <v>38</v>
      </c>
      <c r="C43" s="1387"/>
      <c r="D43" s="1387"/>
      <c r="E43" s="1389"/>
      <c r="F43" s="9">
        <v>8</v>
      </c>
      <c r="G43" s="9"/>
      <c r="H43" s="54">
        <v>14</v>
      </c>
      <c r="I43" s="55"/>
      <c r="J43" s="61">
        <f t="shared" si="2"/>
        <v>-6</v>
      </c>
      <c r="K43" s="1374">
        <f t="shared" si="3"/>
        <v>-42.857142857142861</v>
      </c>
      <c r="L43" s="1375">
        <f t="shared" si="4"/>
        <v>-100</v>
      </c>
    </row>
    <row r="44" spans="1:12">
      <c r="A44" s="1383"/>
      <c r="B44" s="1390" t="s">
        <v>32</v>
      </c>
      <c r="C44" s="1387"/>
      <c r="D44" s="1387"/>
      <c r="E44" s="1389"/>
      <c r="F44" s="58">
        <v>13</v>
      </c>
      <c r="G44" s="58"/>
      <c r="H44" s="57">
        <v>16</v>
      </c>
      <c r="I44" s="60"/>
      <c r="J44" s="56">
        <f t="shared" si="2"/>
        <v>-3</v>
      </c>
      <c r="K44" s="1376">
        <f t="shared" si="3"/>
        <v>-18.75</v>
      </c>
      <c r="L44" s="1377">
        <f t="shared" si="4"/>
        <v>-100</v>
      </c>
    </row>
    <row r="45" spans="1:12">
      <c r="A45" s="1378" t="s">
        <v>39</v>
      </c>
      <c r="B45" s="1390" t="s">
        <v>40</v>
      </c>
      <c r="C45" s="1387"/>
      <c r="D45" s="1387"/>
      <c r="E45" s="1389"/>
      <c r="F45" s="9">
        <v>12</v>
      </c>
      <c r="G45" s="9"/>
      <c r="H45" s="54">
        <v>16</v>
      </c>
      <c r="I45" s="55"/>
      <c r="J45" s="61">
        <f t="shared" si="2"/>
        <v>-4</v>
      </c>
      <c r="K45" s="1374">
        <f t="shared" si="3"/>
        <v>-25</v>
      </c>
      <c r="L45" s="1375">
        <f t="shared" si="4"/>
        <v>-100</v>
      </c>
    </row>
    <row r="46" spans="1:12">
      <c r="A46" s="1379"/>
      <c r="B46" s="1390" t="s">
        <v>41</v>
      </c>
      <c r="C46" s="1387"/>
      <c r="D46" s="1387"/>
      <c r="E46" s="1389"/>
      <c r="F46" s="58">
        <v>17</v>
      </c>
      <c r="G46" s="58"/>
      <c r="H46" s="57">
        <v>22</v>
      </c>
      <c r="I46" s="60"/>
      <c r="J46" s="56">
        <f t="shared" si="2"/>
        <v>-5</v>
      </c>
      <c r="K46" s="1374">
        <f t="shared" si="3"/>
        <v>-22.72727272727273</v>
      </c>
      <c r="L46" s="1375">
        <f t="shared" si="4"/>
        <v>-100</v>
      </c>
    </row>
    <row r="47" spans="1:12">
      <c r="A47" s="1379"/>
      <c r="B47" s="1390" t="s">
        <v>42</v>
      </c>
      <c r="C47" s="1387"/>
      <c r="D47" s="1387"/>
      <c r="E47" s="1389"/>
      <c r="F47" s="58">
        <v>11</v>
      </c>
      <c r="G47" s="58"/>
      <c r="H47" s="57">
        <v>5</v>
      </c>
      <c r="I47" s="60"/>
      <c r="J47" s="56">
        <f t="shared" si="2"/>
        <v>6</v>
      </c>
      <c r="K47" s="1374">
        <f t="shared" si="3"/>
        <v>120.00000000000001</v>
      </c>
      <c r="L47" s="1375">
        <f t="shared" si="4"/>
        <v>-100</v>
      </c>
    </row>
    <row r="48" spans="1:12" ht="15" thickBot="1">
      <c r="A48" s="1380"/>
      <c r="B48" s="1444" t="s">
        <v>43</v>
      </c>
      <c r="C48" s="1445"/>
      <c r="D48" s="1445"/>
      <c r="E48" s="1446"/>
      <c r="F48" s="7">
        <v>0</v>
      </c>
      <c r="G48" s="7"/>
      <c r="H48" s="66">
        <v>0</v>
      </c>
      <c r="I48" s="67"/>
      <c r="J48" s="68">
        <f t="shared" si="2"/>
        <v>0</v>
      </c>
      <c r="K48" s="1381" t="s">
        <v>913</v>
      </c>
      <c r="L48" s="1382"/>
    </row>
  </sheetData>
  <mergeCells count="55">
    <mergeCell ref="B47:E47"/>
    <mergeCell ref="B48:E48"/>
    <mergeCell ref="B41:E41"/>
    <mergeCell ref="B42:E42"/>
    <mergeCell ref="B43:E43"/>
    <mergeCell ref="B44:E44"/>
    <mergeCell ref="F3:J3"/>
    <mergeCell ref="E4:E5"/>
    <mergeCell ref="F4:F5"/>
    <mergeCell ref="G4:J4"/>
    <mergeCell ref="A6:A15"/>
    <mergeCell ref="C13:C15"/>
    <mergeCell ref="B6:D6"/>
    <mergeCell ref="B7:C9"/>
    <mergeCell ref="B10:C12"/>
    <mergeCell ref="A26:A29"/>
    <mergeCell ref="C29:D29"/>
    <mergeCell ref="B26:D26"/>
    <mergeCell ref="B27:D27"/>
    <mergeCell ref="B28:D28"/>
    <mergeCell ref="A16:A25"/>
    <mergeCell ref="C23:C25"/>
    <mergeCell ref="B16:D16"/>
    <mergeCell ref="B17:C19"/>
    <mergeCell ref="B20:C22"/>
    <mergeCell ref="C30:J30"/>
    <mergeCell ref="K32:L32"/>
    <mergeCell ref="F33:G34"/>
    <mergeCell ref="H33:I34"/>
    <mergeCell ref="J33:L33"/>
    <mergeCell ref="K34:L34"/>
    <mergeCell ref="K35:L35"/>
    <mergeCell ref="A36:A38"/>
    <mergeCell ref="K36:L36"/>
    <mergeCell ref="K37:L37"/>
    <mergeCell ref="K38:L38"/>
    <mergeCell ref="B36:C36"/>
    <mergeCell ref="B37:C37"/>
    <mergeCell ref="B38:C38"/>
    <mergeCell ref="K43:L43"/>
    <mergeCell ref="K44:L44"/>
    <mergeCell ref="A45:A48"/>
    <mergeCell ref="K45:L45"/>
    <mergeCell ref="K46:L46"/>
    <mergeCell ref="K47:L47"/>
    <mergeCell ref="K48:L48"/>
    <mergeCell ref="A39:A44"/>
    <mergeCell ref="K39:L39"/>
    <mergeCell ref="K40:L40"/>
    <mergeCell ref="K41:L41"/>
    <mergeCell ref="K42:L42"/>
    <mergeCell ref="B39:C39"/>
    <mergeCell ref="C40:E40"/>
    <mergeCell ref="B45:E45"/>
    <mergeCell ref="B46:E46"/>
  </mergeCells>
  <phoneticPr fontId="3"/>
  <printOptions horizontalCentered="1"/>
  <pageMargins left="0.78740157480314965" right="0.39370078740157483" top="0.98425196850393704" bottom="0.98425196850393704" header="0.31496062992125984" footer="0.51181102362204722"/>
  <pageSetup paperSize="9" scale="88" firstPageNumber="0" orientation="portrait" r:id="rId1"/>
  <headerFooter alignWithMargins="0">
    <oddFooter xml:space="preserve">&amp;C-1-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view="pageBreakPreview" zoomScaleNormal="100" zoomScaleSheetLayoutView="100" workbookViewId="0">
      <selection activeCell="L65" sqref="L65"/>
    </sheetView>
  </sheetViews>
  <sheetFormatPr defaultRowHeight="14.25"/>
  <cols>
    <col min="1" max="1" width="5.5" style="2" customWidth="1"/>
    <col min="2" max="2" width="7.125" style="2" customWidth="1"/>
    <col min="3" max="3" width="8.625" style="2" customWidth="1"/>
    <col min="4" max="4" width="7.625" style="2" customWidth="1"/>
    <col min="5" max="7" width="8.625" style="2" customWidth="1"/>
    <col min="8" max="8" width="7.625" style="2" customWidth="1"/>
    <col min="9" max="12" width="8.625" style="2" customWidth="1"/>
    <col min="13" max="13" width="10.625" style="2" customWidth="1"/>
    <col min="14" max="14" width="8.625" style="2" customWidth="1"/>
    <col min="15" max="16384" width="9" style="2"/>
  </cols>
  <sheetData>
    <row r="1" spans="1:14" s="69" customFormat="1" ht="24" customHeight="1">
      <c r="A1" s="1" t="s">
        <v>44</v>
      </c>
    </row>
    <row r="2" spans="1:14" ht="15">
      <c r="A2" s="70" t="s">
        <v>45</v>
      </c>
    </row>
    <row r="4" spans="1:14" ht="15" thickBot="1">
      <c r="A4" s="2" t="s">
        <v>46</v>
      </c>
      <c r="I4" s="1394" t="s">
        <v>988</v>
      </c>
      <c r="J4" s="1394"/>
      <c r="K4" s="1394"/>
      <c r="L4" s="1394"/>
      <c r="M4" s="1394"/>
      <c r="N4" s="1450"/>
    </row>
    <row r="5" spans="1:14">
      <c r="A5" s="1408" t="s">
        <v>989</v>
      </c>
      <c r="B5" s="71" t="s">
        <v>47</v>
      </c>
      <c r="C5" s="1425" t="s">
        <v>48</v>
      </c>
      <c r="D5" s="1453"/>
      <c r="E5" s="1453"/>
      <c r="F5" s="1443"/>
      <c r="G5" s="1425" t="s">
        <v>49</v>
      </c>
      <c r="H5" s="1453"/>
      <c r="I5" s="1453"/>
      <c r="J5" s="1443"/>
      <c r="K5" s="1453" t="s">
        <v>50</v>
      </c>
      <c r="L5" s="1453"/>
      <c r="M5" s="1453"/>
      <c r="N5" s="1457"/>
    </row>
    <row r="6" spans="1:14">
      <c r="A6" s="1451"/>
      <c r="B6" s="54"/>
      <c r="C6" s="1454"/>
      <c r="D6" s="1455"/>
      <c r="E6" s="1455"/>
      <c r="F6" s="1456"/>
      <c r="G6" s="1454"/>
      <c r="H6" s="1455"/>
      <c r="I6" s="1455"/>
      <c r="J6" s="1456"/>
      <c r="K6" s="1458"/>
      <c r="L6" s="1458"/>
      <c r="M6" s="1458"/>
      <c r="N6" s="1459"/>
    </row>
    <row r="7" spans="1:14" ht="6.75" customHeight="1">
      <c r="A7" s="1451"/>
      <c r="B7" s="54"/>
      <c r="C7" s="1460" t="s">
        <v>52</v>
      </c>
      <c r="D7" s="1462" t="s">
        <v>53</v>
      </c>
      <c r="E7" s="1464" t="s">
        <v>54</v>
      </c>
      <c r="F7" s="360"/>
      <c r="G7" s="1465" t="s">
        <v>52</v>
      </c>
      <c r="H7" s="1462" t="s">
        <v>53</v>
      </c>
      <c r="I7" s="1464" t="s">
        <v>54</v>
      </c>
      <c r="J7" s="469"/>
      <c r="K7" s="1465" t="s">
        <v>52</v>
      </c>
      <c r="L7" s="1462" t="s">
        <v>53</v>
      </c>
      <c r="M7" s="1464" t="s">
        <v>54</v>
      </c>
      <c r="N7" s="361"/>
    </row>
    <row r="8" spans="1:14" ht="15" thickBot="1">
      <c r="A8" s="1452"/>
      <c r="B8" s="66" t="s">
        <v>51</v>
      </c>
      <c r="C8" s="1461"/>
      <c r="D8" s="1463"/>
      <c r="E8" s="1463"/>
      <c r="F8" s="1368" t="s">
        <v>990</v>
      </c>
      <c r="G8" s="1466"/>
      <c r="H8" s="1463"/>
      <c r="I8" s="1467"/>
      <c r="J8" s="1356" t="s">
        <v>990</v>
      </c>
      <c r="K8" s="1466"/>
      <c r="L8" s="1463"/>
      <c r="M8" s="1467"/>
      <c r="N8" s="1356" t="s">
        <v>990</v>
      </c>
    </row>
    <row r="9" spans="1:14" ht="18" customHeight="1">
      <c r="A9" s="72"/>
      <c r="B9" s="362" t="s">
        <v>55</v>
      </c>
      <c r="C9" s="73">
        <v>25242</v>
      </c>
      <c r="D9" s="74">
        <v>280</v>
      </c>
      <c r="E9" s="75">
        <v>34642</v>
      </c>
      <c r="F9" s="76">
        <v>2904</v>
      </c>
      <c r="G9" s="73">
        <v>52968</v>
      </c>
      <c r="H9" s="74">
        <v>848</v>
      </c>
      <c r="I9" s="75">
        <v>74649</v>
      </c>
      <c r="J9" s="470">
        <v>7224</v>
      </c>
      <c r="K9" s="73">
        <v>718080</v>
      </c>
      <c r="L9" s="77">
        <v>16765</v>
      </c>
      <c r="M9" s="75">
        <v>981096</v>
      </c>
      <c r="N9" s="470">
        <v>126715</v>
      </c>
    </row>
    <row r="10" spans="1:14" ht="18" customHeight="1">
      <c r="A10" s="1447" t="s">
        <v>56</v>
      </c>
      <c r="B10" s="78" t="s">
        <v>57</v>
      </c>
      <c r="C10" s="79">
        <v>23380</v>
      </c>
      <c r="D10" s="80">
        <v>222</v>
      </c>
      <c r="E10" s="81">
        <v>31519</v>
      </c>
      <c r="F10" s="82">
        <v>2744</v>
      </c>
      <c r="G10" s="79">
        <v>49820</v>
      </c>
      <c r="H10" s="80">
        <v>692</v>
      </c>
      <c r="I10" s="81">
        <v>67881</v>
      </c>
      <c r="J10" s="377">
        <v>6712</v>
      </c>
      <c r="K10" s="79">
        <v>700290</v>
      </c>
      <c r="L10" s="83">
        <v>16278</v>
      </c>
      <c r="M10" s="81">
        <v>949689</v>
      </c>
      <c r="N10" s="377">
        <v>117667</v>
      </c>
    </row>
    <row r="11" spans="1:14" ht="18" customHeight="1">
      <c r="A11" s="1448"/>
      <c r="B11" s="84" t="s">
        <v>58</v>
      </c>
      <c r="C11" s="85">
        <v>20479</v>
      </c>
      <c r="D11" s="86">
        <v>228</v>
      </c>
      <c r="E11" s="87">
        <v>27240</v>
      </c>
      <c r="F11" s="88">
        <v>2392</v>
      </c>
      <c r="G11" s="85">
        <v>45725</v>
      </c>
      <c r="H11" s="86">
        <v>704</v>
      </c>
      <c r="I11" s="87">
        <v>62350</v>
      </c>
      <c r="J11" s="371">
        <v>6128</v>
      </c>
      <c r="K11" s="85">
        <v>659283</v>
      </c>
      <c r="L11" s="89">
        <v>15198</v>
      </c>
      <c r="M11" s="87">
        <v>889198</v>
      </c>
      <c r="N11" s="371">
        <v>108482</v>
      </c>
    </row>
    <row r="12" spans="1:14" ht="18" customHeight="1">
      <c r="A12" s="1448"/>
      <c r="B12" s="90" t="s">
        <v>59</v>
      </c>
      <c r="C12" s="91">
        <v>16669</v>
      </c>
      <c r="D12" s="92">
        <v>244</v>
      </c>
      <c r="E12" s="93">
        <v>21997</v>
      </c>
      <c r="F12" s="94">
        <v>2135</v>
      </c>
      <c r="G12" s="91">
        <v>38625</v>
      </c>
      <c r="H12" s="92">
        <v>677</v>
      </c>
      <c r="I12" s="93">
        <v>52337</v>
      </c>
      <c r="J12" s="379">
        <v>5695</v>
      </c>
      <c r="K12" s="91">
        <v>586713</v>
      </c>
      <c r="L12" s="95">
        <v>14574</v>
      </c>
      <c r="M12" s="93">
        <v>789948</v>
      </c>
      <c r="N12" s="379">
        <v>96138</v>
      </c>
    </row>
    <row r="13" spans="1:14" ht="18" customHeight="1">
      <c r="A13" s="1448"/>
      <c r="B13" s="84" t="s">
        <v>60</v>
      </c>
      <c r="C13" s="85">
        <v>13552</v>
      </c>
      <c r="D13" s="86">
        <v>147</v>
      </c>
      <c r="E13" s="87">
        <v>17500</v>
      </c>
      <c r="F13" s="88">
        <v>1743</v>
      </c>
      <c r="G13" s="85">
        <v>32389</v>
      </c>
      <c r="H13" s="86">
        <v>514</v>
      </c>
      <c r="I13" s="87">
        <v>42959</v>
      </c>
      <c r="J13" s="371">
        <v>4726</v>
      </c>
      <c r="K13" s="85">
        <v>490452</v>
      </c>
      <c r="L13" s="89">
        <v>11432</v>
      </c>
      <c r="M13" s="87">
        <v>651420</v>
      </c>
      <c r="N13" s="371">
        <v>79871</v>
      </c>
    </row>
    <row r="14" spans="1:14" ht="18" customHeight="1">
      <c r="A14" s="1449"/>
      <c r="B14" s="96" t="s">
        <v>61</v>
      </c>
      <c r="C14" s="97">
        <v>12726</v>
      </c>
      <c r="D14" s="98">
        <v>130</v>
      </c>
      <c r="E14" s="99">
        <v>16029</v>
      </c>
      <c r="F14" s="100">
        <v>1466</v>
      </c>
      <c r="G14" s="97">
        <v>31630</v>
      </c>
      <c r="H14" s="98">
        <v>433</v>
      </c>
      <c r="I14" s="99">
        <v>40989</v>
      </c>
      <c r="J14" s="378">
        <v>3759</v>
      </c>
      <c r="K14" s="97">
        <v>472938</v>
      </c>
      <c r="L14" s="101">
        <v>10792</v>
      </c>
      <c r="M14" s="99">
        <v>622467</v>
      </c>
      <c r="N14" s="378">
        <v>62744</v>
      </c>
    </row>
    <row r="15" spans="1:14" ht="18" customHeight="1">
      <c r="A15" s="1447" t="s">
        <v>62</v>
      </c>
      <c r="B15" s="78" t="s">
        <v>63</v>
      </c>
      <c r="C15" s="79">
        <v>12890</v>
      </c>
      <c r="D15" s="80">
        <v>110</v>
      </c>
      <c r="E15" s="81">
        <v>16367</v>
      </c>
      <c r="F15" s="102" t="s">
        <v>64</v>
      </c>
      <c r="G15" s="79">
        <v>32311</v>
      </c>
      <c r="H15" s="80">
        <v>401</v>
      </c>
      <c r="I15" s="81">
        <v>41611</v>
      </c>
      <c r="J15" s="377">
        <v>3292</v>
      </c>
      <c r="K15" s="79">
        <v>471041</v>
      </c>
      <c r="L15" s="83">
        <v>9945</v>
      </c>
      <c r="M15" s="81">
        <v>613957</v>
      </c>
      <c r="N15" s="377">
        <v>56439</v>
      </c>
    </row>
    <row r="16" spans="1:14" ht="18" customHeight="1">
      <c r="A16" s="1448"/>
      <c r="B16" s="84" t="s">
        <v>65</v>
      </c>
      <c r="C16" s="85">
        <v>12852</v>
      </c>
      <c r="D16" s="86">
        <v>98</v>
      </c>
      <c r="E16" s="87">
        <v>16017</v>
      </c>
      <c r="F16" s="88">
        <v>1304</v>
      </c>
      <c r="G16" s="85">
        <v>33430</v>
      </c>
      <c r="H16" s="86">
        <v>361</v>
      </c>
      <c r="I16" s="87">
        <v>42577</v>
      </c>
      <c r="J16" s="371">
        <v>3400</v>
      </c>
      <c r="K16" s="85">
        <v>460649</v>
      </c>
      <c r="L16" s="89">
        <v>8945</v>
      </c>
      <c r="M16" s="87">
        <v>593211</v>
      </c>
      <c r="N16" s="371">
        <v>51904</v>
      </c>
    </row>
    <row r="17" spans="1:14" ht="18" customHeight="1">
      <c r="A17" s="1448"/>
      <c r="B17" s="90" t="s">
        <v>66</v>
      </c>
      <c r="C17" s="91">
        <v>12742</v>
      </c>
      <c r="D17" s="92">
        <v>118</v>
      </c>
      <c r="E17" s="93">
        <v>15854</v>
      </c>
      <c r="F17" s="94">
        <v>1236</v>
      </c>
      <c r="G17" s="91">
        <v>33645</v>
      </c>
      <c r="H17" s="92">
        <v>416</v>
      </c>
      <c r="I17" s="93">
        <v>42461</v>
      </c>
      <c r="J17" s="379">
        <v>3464</v>
      </c>
      <c r="K17" s="91">
        <v>464037</v>
      </c>
      <c r="L17" s="95">
        <v>8783</v>
      </c>
      <c r="M17" s="93">
        <v>594116</v>
      </c>
      <c r="N17" s="379">
        <v>50642</v>
      </c>
    </row>
    <row r="18" spans="1:14" ht="18" customHeight="1">
      <c r="A18" s="1448"/>
      <c r="B18" s="84" t="s">
        <v>67</v>
      </c>
      <c r="C18" s="85">
        <v>12648</v>
      </c>
      <c r="D18" s="86">
        <v>99</v>
      </c>
      <c r="E18" s="87">
        <v>15423</v>
      </c>
      <c r="F18" s="88">
        <v>1111</v>
      </c>
      <c r="G18" s="85">
        <v>33734</v>
      </c>
      <c r="H18" s="86">
        <v>321</v>
      </c>
      <c r="I18" s="87">
        <v>41947</v>
      </c>
      <c r="J18" s="371">
        <v>3112</v>
      </c>
      <c r="K18" s="85">
        <v>471573</v>
      </c>
      <c r="L18" s="89">
        <v>8466</v>
      </c>
      <c r="M18" s="87">
        <v>596282</v>
      </c>
      <c r="N18" s="371">
        <v>49490</v>
      </c>
    </row>
    <row r="19" spans="1:14" ht="18" customHeight="1">
      <c r="A19" s="1449"/>
      <c r="B19" s="96" t="s">
        <v>68</v>
      </c>
      <c r="C19" s="97">
        <v>13322</v>
      </c>
      <c r="D19" s="98">
        <v>104</v>
      </c>
      <c r="E19" s="99">
        <v>16163</v>
      </c>
      <c r="F19" s="100">
        <v>1586</v>
      </c>
      <c r="G19" s="97">
        <v>35734</v>
      </c>
      <c r="H19" s="98">
        <v>364</v>
      </c>
      <c r="I19" s="99">
        <v>44113</v>
      </c>
      <c r="J19" s="378">
        <v>4579</v>
      </c>
      <c r="K19" s="97">
        <v>476677</v>
      </c>
      <c r="L19" s="101">
        <v>8760</v>
      </c>
      <c r="M19" s="99">
        <v>598716</v>
      </c>
      <c r="N19" s="378">
        <v>64115</v>
      </c>
    </row>
    <row r="20" spans="1:14" ht="18" customHeight="1">
      <c r="A20" s="1447" t="s">
        <v>69</v>
      </c>
      <c r="B20" s="78" t="s">
        <v>70</v>
      </c>
      <c r="C20" s="79">
        <v>14262</v>
      </c>
      <c r="D20" s="80">
        <v>128</v>
      </c>
      <c r="E20" s="81">
        <v>17476</v>
      </c>
      <c r="F20" s="82">
        <v>1620</v>
      </c>
      <c r="G20" s="79">
        <v>37747</v>
      </c>
      <c r="H20" s="80">
        <v>383</v>
      </c>
      <c r="I20" s="81">
        <v>46569</v>
      </c>
      <c r="J20" s="377">
        <v>4839</v>
      </c>
      <c r="K20" s="79">
        <v>485578</v>
      </c>
      <c r="L20" s="83">
        <v>8719</v>
      </c>
      <c r="M20" s="81">
        <v>607346</v>
      </c>
      <c r="N20" s="377">
        <v>65595</v>
      </c>
    </row>
    <row r="21" spans="1:14" ht="18" customHeight="1">
      <c r="A21" s="1448"/>
      <c r="B21" s="84" t="s">
        <v>71</v>
      </c>
      <c r="C21" s="85">
        <v>15192</v>
      </c>
      <c r="D21" s="86">
        <v>131</v>
      </c>
      <c r="E21" s="87">
        <v>18448</v>
      </c>
      <c r="F21" s="88">
        <v>1718</v>
      </c>
      <c r="G21" s="85">
        <v>41862</v>
      </c>
      <c r="H21" s="86">
        <v>383</v>
      </c>
      <c r="I21" s="87">
        <v>51523</v>
      </c>
      <c r="J21" s="371">
        <v>5313</v>
      </c>
      <c r="K21" s="85">
        <v>502261</v>
      </c>
      <c r="L21" s="89">
        <v>9073</v>
      </c>
      <c r="M21" s="87">
        <v>626822</v>
      </c>
      <c r="N21" s="371">
        <v>69002</v>
      </c>
    </row>
    <row r="22" spans="1:14" ht="18" customHeight="1">
      <c r="A22" s="1448"/>
      <c r="B22" s="90" t="s">
        <v>72</v>
      </c>
      <c r="C22" s="91">
        <v>15719</v>
      </c>
      <c r="D22" s="92">
        <v>117</v>
      </c>
      <c r="E22" s="93">
        <v>19220</v>
      </c>
      <c r="F22" s="94">
        <v>1829</v>
      </c>
      <c r="G22" s="91">
        <v>44421</v>
      </c>
      <c r="H22" s="92">
        <v>412</v>
      </c>
      <c r="I22" s="93">
        <v>54354</v>
      </c>
      <c r="J22" s="379">
        <v>5392</v>
      </c>
      <c r="K22" s="91">
        <v>526362</v>
      </c>
      <c r="L22" s="95">
        <v>9520</v>
      </c>
      <c r="M22" s="93">
        <v>654822</v>
      </c>
      <c r="N22" s="379">
        <v>71117</v>
      </c>
    </row>
    <row r="23" spans="1:14" ht="18" customHeight="1">
      <c r="A23" s="1448"/>
      <c r="B23" s="84" t="s">
        <v>73</v>
      </c>
      <c r="C23" s="85">
        <v>15515</v>
      </c>
      <c r="D23" s="86">
        <v>138</v>
      </c>
      <c r="E23" s="87">
        <v>18863</v>
      </c>
      <c r="F23" s="88">
        <v>1667</v>
      </c>
      <c r="G23" s="85">
        <v>43517</v>
      </c>
      <c r="H23" s="86">
        <v>401</v>
      </c>
      <c r="I23" s="87">
        <v>54570</v>
      </c>
      <c r="J23" s="371">
        <v>5137</v>
      </c>
      <c r="K23" s="85">
        <v>518462</v>
      </c>
      <c r="L23" s="89">
        <v>9262</v>
      </c>
      <c r="M23" s="87">
        <v>644321</v>
      </c>
      <c r="N23" s="371">
        <v>68388</v>
      </c>
    </row>
    <row r="24" spans="1:14" ht="18" customHeight="1">
      <c r="A24" s="1449"/>
      <c r="B24" s="96" t="s">
        <v>74</v>
      </c>
      <c r="C24" s="97">
        <v>16284</v>
      </c>
      <c r="D24" s="98">
        <v>121</v>
      </c>
      <c r="E24" s="99">
        <v>19750</v>
      </c>
      <c r="F24" s="100">
        <v>1775</v>
      </c>
      <c r="G24" s="97">
        <v>47249</v>
      </c>
      <c r="H24" s="98">
        <v>391</v>
      </c>
      <c r="I24" s="99">
        <v>57673</v>
      </c>
      <c r="J24" s="378">
        <v>5321</v>
      </c>
      <c r="K24" s="97">
        <v>552788</v>
      </c>
      <c r="L24" s="101">
        <v>9261</v>
      </c>
      <c r="M24" s="99">
        <v>681346</v>
      </c>
      <c r="N24" s="378">
        <v>71851</v>
      </c>
    </row>
    <row r="25" spans="1:14" ht="18" customHeight="1">
      <c r="A25" s="1447" t="s">
        <v>75</v>
      </c>
      <c r="B25" s="78" t="s">
        <v>76</v>
      </c>
      <c r="C25" s="79">
        <v>16380</v>
      </c>
      <c r="D25" s="80">
        <v>134</v>
      </c>
      <c r="E25" s="81">
        <v>19970</v>
      </c>
      <c r="F25" s="82">
        <v>1645</v>
      </c>
      <c r="G25" s="79">
        <v>48940</v>
      </c>
      <c r="H25" s="80">
        <v>461</v>
      </c>
      <c r="I25" s="81">
        <v>60249</v>
      </c>
      <c r="J25" s="377">
        <v>5221</v>
      </c>
      <c r="K25" s="79">
        <v>579190</v>
      </c>
      <c r="L25" s="83">
        <v>9317</v>
      </c>
      <c r="M25" s="81">
        <v>712330</v>
      </c>
      <c r="N25" s="377">
        <v>73266</v>
      </c>
    </row>
    <row r="26" spans="1:14" ht="18" customHeight="1">
      <c r="A26" s="1448"/>
      <c r="B26" s="84" t="s">
        <v>77</v>
      </c>
      <c r="C26" s="85">
        <v>16386</v>
      </c>
      <c r="D26" s="86">
        <v>139</v>
      </c>
      <c r="E26" s="87">
        <v>20120</v>
      </c>
      <c r="F26" s="88">
        <v>1660</v>
      </c>
      <c r="G26" s="85">
        <v>50128</v>
      </c>
      <c r="H26" s="86">
        <v>434</v>
      </c>
      <c r="I26" s="87">
        <v>61620</v>
      </c>
      <c r="J26" s="371">
        <v>5187</v>
      </c>
      <c r="K26" s="85">
        <v>590723</v>
      </c>
      <c r="L26" s="89">
        <v>9347</v>
      </c>
      <c r="M26" s="87">
        <v>722179</v>
      </c>
      <c r="N26" s="371">
        <v>72867</v>
      </c>
    </row>
    <row r="27" spans="1:14" ht="18" customHeight="1">
      <c r="A27" s="1448"/>
      <c r="B27" s="90" t="s">
        <v>78</v>
      </c>
      <c r="C27" s="91">
        <v>16191</v>
      </c>
      <c r="D27" s="92">
        <v>145</v>
      </c>
      <c r="E27" s="93">
        <v>19807</v>
      </c>
      <c r="F27" s="94">
        <v>1636</v>
      </c>
      <c r="G27" s="91">
        <v>49461</v>
      </c>
      <c r="H27" s="92">
        <v>500</v>
      </c>
      <c r="I27" s="93">
        <v>61089</v>
      </c>
      <c r="J27" s="379">
        <v>5396</v>
      </c>
      <c r="K27" s="91">
        <v>614481</v>
      </c>
      <c r="L27" s="95">
        <v>10344</v>
      </c>
      <c r="M27" s="93">
        <v>752845</v>
      </c>
      <c r="N27" s="379">
        <v>76692</v>
      </c>
    </row>
    <row r="28" spans="1:14" ht="18" customHeight="1">
      <c r="A28" s="1448"/>
      <c r="B28" s="84" t="s">
        <v>79</v>
      </c>
      <c r="C28" s="85">
        <v>16518</v>
      </c>
      <c r="D28" s="86">
        <v>148</v>
      </c>
      <c r="E28" s="87">
        <v>20524</v>
      </c>
      <c r="F28" s="88">
        <v>1587</v>
      </c>
      <c r="G28" s="85">
        <v>50692</v>
      </c>
      <c r="H28" s="86">
        <v>519</v>
      </c>
      <c r="I28" s="87">
        <v>63572</v>
      </c>
      <c r="J28" s="371">
        <v>5345</v>
      </c>
      <c r="K28" s="85">
        <v>661363</v>
      </c>
      <c r="L28" s="89">
        <v>11086</v>
      </c>
      <c r="M28" s="87">
        <v>814832</v>
      </c>
      <c r="N28" s="371">
        <v>80948</v>
      </c>
    </row>
    <row r="29" spans="1:14" ht="18" customHeight="1">
      <c r="A29" s="1449"/>
      <c r="B29" s="96" t="s">
        <v>80</v>
      </c>
      <c r="C29" s="97">
        <v>14987</v>
      </c>
      <c r="D29" s="98">
        <v>164</v>
      </c>
      <c r="E29" s="99">
        <v>19896</v>
      </c>
      <c r="F29" s="100">
        <v>1584</v>
      </c>
      <c r="G29" s="97">
        <v>46156</v>
      </c>
      <c r="H29" s="98">
        <v>571</v>
      </c>
      <c r="I29" s="87">
        <v>58364</v>
      </c>
      <c r="J29" s="378">
        <v>5140</v>
      </c>
      <c r="K29" s="97">
        <v>643097</v>
      </c>
      <c r="L29" s="101">
        <v>11227</v>
      </c>
      <c r="M29" s="99">
        <v>790295</v>
      </c>
      <c r="N29" s="378">
        <v>79126</v>
      </c>
    </row>
    <row r="30" spans="1:14" ht="18" customHeight="1">
      <c r="A30" s="1447" t="s">
        <v>81</v>
      </c>
      <c r="B30" s="78" t="s">
        <v>82</v>
      </c>
      <c r="C30" s="79">
        <v>15690</v>
      </c>
      <c r="D30" s="80">
        <v>147</v>
      </c>
      <c r="E30" s="81">
        <v>19590</v>
      </c>
      <c r="F30" s="82">
        <v>1686</v>
      </c>
      <c r="G30" s="79">
        <v>49220</v>
      </c>
      <c r="H30" s="80">
        <v>550</v>
      </c>
      <c r="I30" s="99">
        <v>61504</v>
      </c>
      <c r="J30" s="379">
        <v>5390</v>
      </c>
      <c r="K30" s="79">
        <v>662392</v>
      </c>
      <c r="L30" s="83">
        <v>11109</v>
      </c>
      <c r="M30" s="81">
        <v>810245</v>
      </c>
      <c r="N30" s="379">
        <v>77977</v>
      </c>
    </row>
    <row r="31" spans="1:14" ht="18" customHeight="1">
      <c r="A31" s="1448"/>
      <c r="B31" s="84" t="s">
        <v>83</v>
      </c>
      <c r="C31" s="85">
        <v>16498</v>
      </c>
      <c r="D31" s="86">
        <v>157</v>
      </c>
      <c r="E31" s="87">
        <v>20232</v>
      </c>
      <c r="F31" s="88">
        <v>1707</v>
      </c>
      <c r="G31" s="85">
        <v>51606</v>
      </c>
      <c r="H31" s="86">
        <v>527</v>
      </c>
      <c r="I31" s="81">
        <v>63551</v>
      </c>
      <c r="J31" s="371">
        <v>5431</v>
      </c>
      <c r="K31" s="85">
        <v>695346</v>
      </c>
      <c r="L31" s="89">
        <v>11452</v>
      </c>
      <c r="M31" s="87">
        <v>844003</v>
      </c>
      <c r="N31" s="371">
        <v>79535</v>
      </c>
    </row>
    <row r="32" spans="1:14" ht="18" customHeight="1">
      <c r="A32" s="1448"/>
      <c r="B32" s="90" t="s">
        <v>84</v>
      </c>
      <c r="C32" s="91">
        <v>16340</v>
      </c>
      <c r="D32" s="92">
        <v>167</v>
      </c>
      <c r="E32" s="93">
        <v>19840</v>
      </c>
      <c r="F32" s="94">
        <v>1636</v>
      </c>
      <c r="G32" s="91">
        <v>52319</v>
      </c>
      <c r="H32" s="92">
        <v>481</v>
      </c>
      <c r="I32" s="87">
        <v>63857</v>
      </c>
      <c r="J32" s="371">
        <v>5279</v>
      </c>
      <c r="K32" s="91">
        <v>724678</v>
      </c>
      <c r="L32" s="95">
        <v>10945</v>
      </c>
      <c r="M32" s="93">
        <v>878633</v>
      </c>
      <c r="N32" s="371">
        <v>80109</v>
      </c>
    </row>
    <row r="33" spans="1:14" ht="18" customHeight="1">
      <c r="A33" s="1448"/>
      <c r="B33" s="84" t="s">
        <v>85</v>
      </c>
      <c r="C33" s="85">
        <v>16354</v>
      </c>
      <c r="D33" s="86">
        <v>156</v>
      </c>
      <c r="E33" s="87">
        <v>19748</v>
      </c>
      <c r="F33" s="88">
        <v>1700</v>
      </c>
      <c r="G33" s="85">
        <v>52450</v>
      </c>
      <c r="H33" s="86">
        <v>469</v>
      </c>
      <c r="I33" s="93">
        <v>63309</v>
      </c>
      <c r="J33" s="371">
        <v>5350</v>
      </c>
      <c r="K33" s="85">
        <v>729461</v>
      </c>
      <c r="L33" s="89">
        <v>10653</v>
      </c>
      <c r="M33" s="87">
        <v>881723</v>
      </c>
      <c r="N33" s="371">
        <v>77674</v>
      </c>
    </row>
    <row r="34" spans="1:14" ht="18" customHeight="1">
      <c r="A34" s="1449"/>
      <c r="B34" s="96" t="s">
        <v>86</v>
      </c>
      <c r="C34" s="97">
        <v>17087</v>
      </c>
      <c r="D34" s="98">
        <v>159</v>
      </c>
      <c r="E34" s="99">
        <v>20621</v>
      </c>
      <c r="F34" s="100">
        <v>1767</v>
      </c>
      <c r="G34" s="97">
        <v>55369</v>
      </c>
      <c r="H34" s="98">
        <v>474</v>
      </c>
      <c r="I34" s="87">
        <v>65926</v>
      </c>
      <c r="J34" s="371">
        <v>5300</v>
      </c>
      <c r="K34" s="97">
        <v>761794</v>
      </c>
      <c r="L34" s="101">
        <v>10684</v>
      </c>
      <c r="M34" s="99">
        <v>922677</v>
      </c>
      <c r="N34" s="371">
        <v>78952</v>
      </c>
    </row>
    <row r="35" spans="1:14" ht="18" customHeight="1">
      <c r="A35" s="1447" t="s">
        <v>87</v>
      </c>
      <c r="B35" s="78" t="s">
        <v>88</v>
      </c>
      <c r="C35" s="79">
        <v>17366</v>
      </c>
      <c r="D35" s="80">
        <v>122</v>
      </c>
      <c r="E35" s="81">
        <v>20667</v>
      </c>
      <c r="F35" s="82">
        <v>1676</v>
      </c>
      <c r="G35" s="79">
        <v>56109</v>
      </c>
      <c r="H35" s="80">
        <v>435</v>
      </c>
      <c r="I35" s="99">
        <v>65965</v>
      </c>
      <c r="J35" s="379">
        <v>5065</v>
      </c>
      <c r="K35" s="79">
        <v>771085</v>
      </c>
      <c r="L35" s="83">
        <v>9943</v>
      </c>
      <c r="M35" s="81">
        <v>942204</v>
      </c>
      <c r="N35" s="379">
        <v>77053</v>
      </c>
    </row>
    <row r="36" spans="1:14" ht="18" customHeight="1">
      <c r="A36" s="1448"/>
      <c r="B36" s="84" t="s">
        <v>89</v>
      </c>
      <c r="C36" s="85">
        <v>16806</v>
      </c>
      <c r="D36" s="86">
        <v>132</v>
      </c>
      <c r="E36" s="87">
        <v>19764</v>
      </c>
      <c r="F36" s="88">
        <v>1491</v>
      </c>
      <c r="G36" s="85">
        <v>55209</v>
      </c>
      <c r="H36" s="86">
        <v>384</v>
      </c>
      <c r="I36" s="81">
        <v>64476</v>
      </c>
      <c r="J36" s="377">
        <v>4916</v>
      </c>
      <c r="K36" s="85">
        <v>780401</v>
      </c>
      <c r="L36" s="89">
        <v>9642</v>
      </c>
      <c r="M36" s="87">
        <v>958925</v>
      </c>
      <c r="N36" s="377">
        <v>76281</v>
      </c>
    </row>
    <row r="37" spans="1:14" ht="18" customHeight="1">
      <c r="A37" s="1448"/>
      <c r="B37" s="90" t="s">
        <v>90</v>
      </c>
      <c r="C37" s="91">
        <v>17237</v>
      </c>
      <c r="D37" s="92">
        <v>129</v>
      </c>
      <c r="E37" s="93">
        <v>20434</v>
      </c>
      <c r="F37" s="94">
        <v>1617</v>
      </c>
      <c r="G37" s="91">
        <v>56478</v>
      </c>
      <c r="H37" s="92">
        <v>394</v>
      </c>
      <c r="I37" s="87">
        <v>67551</v>
      </c>
      <c r="J37" s="371">
        <v>5200</v>
      </c>
      <c r="K37" s="91">
        <v>803882</v>
      </c>
      <c r="L37" s="95">
        <v>9214</v>
      </c>
      <c r="M37" s="93">
        <v>990676</v>
      </c>
      <c r="N37" s="371">
        <v>74247</v>
      </c>
    </row>
    <row r="38" spans="1:14" ht="18" customHeight="1">
      <c r="A38" s="1448"/>
      <c r="B38" s="84" t="s">
        <v>91</v>
      </c>
      <c r="C38" s="85">
        <v>17775</v>
      </c>
      <c r="D38" s="86">
        <v>117</v>
      </c>
      <c r="E38" s="87">
        <v>21146</v>
      </c>
      <c r="F38" s="88">
        <v>1550</v>
      </c>
      <c r="G38" s="85">
        <v>58506</v>
      </c>
      <c r="H38" s="86">
        <v>367</v>
      </c>
      <c r="I38" s="88">
        <v>70015</v>
      </c>
      <c r="J38" s="371">
        <v>5170</v>
      </c>
      <c r="K38" s="85">
        <v>850371</v>
      </c>
      <c r="L38" s="89">
        <v>9012</v>
      </c>
      <c r="M38" s="87">
        <v>1050399</v>
      </c>
      <c r="N38" s="371">
        <v>75894</v>
      </c>
    </row>
    <row r="39" spans="1:14" ht="18" customHeight="1">
      <c r="A39" s="1449"/>
      <c r="B39" s="96" t="s">
        <v>92</v>
      </c>
      <c r="C39" s="97">
        <v>19490</v>
      </c>
      <c r="D39" s="98">
        <v>100</v>
      </c>
      <c r="E39" s="99">
        <v>23167</v>
      </c>
      <c r="F39" s="100">
        <v>1630</v>
      </c>
      <c r="G39" s="97">
        <v>63273</v>
      </c>
      <c r="H39" s="98">
        <v>369</v>
      </c>
      <c r="I39" s="87">
        <v>75768</v>
      </c>
      <c r="J39" s="378">
        <v>5701</v>
      </c>
      <c r="K39" s="97">
        <v>931950</v>
      </c>
      <c r="L39" s="101">
        <v>9073</v>
      </c>
      <c r="M39" s="99">
        <v>1155707</v>
      </c>
      <c r="N39" s="378">
        <v>80105</v>
      </c>
    </row>
    <row r="40" spans="1:14" ht="18" customHeight="1">
      <c r="A40" s="1447" t="s">
        <v>93</v>
      </c>
      <c r="B40" s="78" t="s">
        <v>94</v>
      </c>
      <c r="C40" s="79">
        <v>19686</v>
      </c>
      <c r="D40" s="80">
        <v>101</v>
      </c>
      <c r="E40" s="81">
        <v>23349</v>
      </c>
      <c r="F40" s="82">
        <v>1735</v>
      </c>
      <c r="G40" s="79">
        <v>63671</v>
      </c>
      <c r="H40" s="80">
        <v>327</v>
      </c>
      <c r="I40" s="99">
        <v>76594</v>
      </c>
      <c r="J40" s="379">
        <v>5524</v>
      </c>
      <c r="K40" s="79">
        <v>947253</v>
      </c>
      <c r="L40" s="83">
        <v>8757</v>
      </c>
      <c r="M40" s="81">
        <v>1181039</v>
      </c>
      <c r="N40" s="379">
        <v>79677</v>
      </c>
    </row>
    <row r="41" spans="1:14" ht="18" customHeight="1">
      <c r="A41" s="1448"/>
      <c r="B41" s="84" t="s">
        <v>95</v>
      </c>
      <c r="C41" s="85">
        <v>19690</v>
      </c>
      <c r="D41" s="86">
        <v>107</v>
      </c>
      <c r="E41" s="87">
        <v>23424</v>
      </c>
      <c r="F41" s="88">
        <v>1699</v>
      </c>
      <c r="G41" s="85">
        <v>63803</v>
      </c>
      <c r="H41" s="86">
        <v>323</v>
      </c>
      <c r="I41" s="81">
        <v>77299</v>
      </c>
      <c r="J41" s="377">
        <v>5573</v>
      </c>
      <c r="K41" s="85">
        <v>936950</v>
      </c>
      <c r="L41" s="89">
        <v>8396</v>
      </c>
      <c r="M41" s="87">
        <v>1168029</v>
      </c>
      <c r="N41" s="377">
        <v>78297</v>
      </c>
    </row>
    <row r="42" spans="1:14" ht="18" customHeight="1">
      <c r="A42" s="1448"/>
      <c r="B42" s="90" t="s">
        <v>96</v>
      </c>
      <c r="C42" s="91">
        <v>20320</v>
      </c>
      <c r="D42" s="92">
        <v>86</v>
      </c>
      <c r="E42" s="93">
        <v>24161</v>
      </c>
      <c r="F42" s="94">
        <v>1700</v>
      </c>
      <c r="G42" s="91">
        <v>66392</v>
      </c>
      <c r="H42" s="92">
        <v>291</v>
      </c>
      <c r="I42" s="87">
        <v>80174</v>
      </c>
      <c r="J42" s="371">
        <v>5321</v>
      </c>
      <c r="K42" s="91">
        <v>948281</v>
      </c>
      <c r="L42" s="95">
        <v>7768</v>
      </c>
      <c r="M42" s="93">
        <v>1181681</v>
      </c>
      <c r="N42" s="371">
        <v>75112</v>
      </c>
    </row>
    <row r="43" spans="1:14" ht="18" customHeight="1">
      <c r="A43" s="1448"/>
      <c r="B43" s="78" t="s">
        <v>97</v>
      </c>
      <c r="C43" s="79">
        <v>20488</v>
      </c>
      <c r="D43" s="80">
        <v>91</v>
      </c>
      <c r="E43" s="81">
        <v>24183</v>
      </c>
      <c r="F43" s="82">
        <v>1525</v>
      </c>
      <c r="G43" s="79">
        <v>67593</v>
      </c>
      <c r="H43" s="80">
        <v>313</v>
      </c>
      <c r="I43" s="82">
        <v>81392</v>
      </c>
      <c r="J43" s="377">
        <v>5216</v>
      </c>
      <c r="K43" s="79">
        <v>952709</v>
      </c>
      <c r="L43" s="83">
        <v>7425</v>
      </c>
      <c r="M43" s="81">
        <v>1183616</v>
      </c>
      <c r="N43" s="377">
        <v>72817</v>
      </c>
    </row>
    <row r="44" spans="1:14" ht="18" customHeight="1">
      <c r="A44" s="1448"/>
      <c r="B44" s="78" t="s">
        <v>98</v>
      </c>
      <c r="C44" s="103">
        <v>19882</v>
      </c>
      <c r="D44" s="80">
        <v>80</v>
      </c>
      <c r="E44" s="82">
        <v>23353</v>
      </c>
      <c r="F44" s="82">
        <v>1542</v>
      </c>
      <c r="G44" s="103">
        <v>66105</v>
      </c>
      <c r="H44" s="80">
        <v>268</v>
      </c>
      <c r="I44" s="82">
        <v>79502</v>
      </c>
      <c r="J44" s="377">
        <v>4868</v>
      </c>
      <c r="K44" s="103">
        <v>934339</v>
      </c>
      <c r="L44" s="83">
        <v>6927</v>
      </c>
      <c r="M44" s="82">
        <v>1157115</v>
      </c>
      <c r="N44" s="377">
        <v>68975</v>
      </c>
    </row>
    <row r="45" spans="1:14" ht="18" customHeight="1">
      <c r="A45" s="1447" t="s">
        <v>99</v>
      </c>
      <c r="B45" s="78" t="s">
        <v>100</v>
      </c>
      <c r="C45" s="103">
        <v>18753</v>
      </c>
      <c r="D45" s="104">
        <v>75</v>
      </c>
      <c r="E45" s="82">
        <v>22100</v>
      </c>
      <c r="F45" s="82">
        <v>1454</v>
      </c>
      <c r="G45" s="103">
        <v>62834</v>
      </c>
      <c r="H45" s="104">
        <v>255</v>
      </c>
      <c r="I45" s="82">
        <v>75485</v>
      </c>
      <c r="J45" s="377">
        <v>4872</v>
      </c>
      <c r="K45" s="103">
        <v>887257</v>
      </c>
      <c r="L45" s="81">
        <v>6403</v>
      </c>
      <c r="M45" s="82">
        <v>1098566</v>
      </c>
      <c r="N45" s="377">
        <v>64145</v>
      </c>
    </row>
    <row r="46" spans="1:14" ht="18" customHeight="1">
      <c r="A46" s="1448"/>
      <c r="B46" s="84" t="s">
        <v>101</v>
      </c>
      <c r="C46" s="105">
        <v>17402</v>
      </c>
      <c r="D46" s="86">
        <v>73</v>
      </c>
      <c r="E46" s="88">
        <v>20318</v>
      </c>
      <c r="F46" s="88">
        <v>1535</v>
      </c>
      <c r="G46" s="105">
        <v>59062</v>
      </c>
      <c r="H46" s="86">
        <v>248</v>
      </c>
      <c r="I46" s="88">
        <v>70916</v>
      </c>
      <c r="J46" s="371">
        <v>4710</v>
      </c>
      <c r="K46" s="105">
        <v>832691</v>
      </c>
      <c r="L46" s="89">
        <v>5782</v>
      </c>
      <c r="M46" s="88">
        <v>1034653</v>
      </c>
      <c r="N46" s="371">
        <v>61034</v>
      </c>
    </row>
    <row r="47" spans="1:14" ht="18" customHeight="1">
      <c r="A47" s="1448"/>
      <c r="B47" s="96" t="s">
        <v>102</v>
      </c>
      <c r="C47" s="106">
        <v>15990</v>
      </c>
      <c r="D47" s="98">
        <v>61</v>
      </c>
      <c r="E47" s="100">
        <v>18741</v>
      </c>
      <c r="F47" s="100">
        <v>1241</v>
      </c>
      <c r="G47" s="106">
        <v>53769</v>
      </c>
      <c r="H47" s="98">
        <v>198</v>
      </c>
      <c r="I47" s="100">
        <v>64290</v>
      </c>
      <c r="J47" s="378">
        <v>4287</v>
      </c>
      <c r="K47" s="106">
        <v>766382</v>
      </c>
      <c r="L47" s="101">
        <v>5197</v>
      </c>
      <c r="M47" s="100">
        <v>945703</v>
      </c>
      <c r="N47" s="378">
        <v>56818</v>
      </c>
    </row>
    <row r="48" spans="1:14" ht="18" customHeight="1">
      <c r="A48" s="1448"/>
      <c r="B48" s="90" t="s">
        <v>103</v>
      </c>
      <c r="C48" s="107">
        <v>15575</v>
      </c>
      <c r="D48" s="92">
        <v>64</v>
      </c>
      <c r="E48" s="94">
        <v>18280</v>
      </c>
      <c r="F48" s="94">
        <v>1094</v>
      </c>
      <c r="G48" s="107">
        <v>51696</v>
      </c>
      <c r="H48" s="92">
        <v>205</v>
      </c>
      <c r="I48" s="94">
        <v>61842</v>
      </c>
      <c r="J48" s="379">
        <v>3741</v>
      </c>
      <c r="K48" s="107">
        <v>737628</v>
      </c>
      <c r="L48" s="95">
        <v>4968</v>
      </c>
      <c r="M48" s="94">
        <v>911215</v>
      </c>
      <c r="N48" s="379">
        <v>53708</v>
      </c>
    </row>
    <row r="49" spans="1:14" ht="18" customHeight="1">
      <c r="A49" s="1448"/>
      <c r="B49" s="84" t="s">
        <v>104</v>
      </c>
      <c r="C49" s="105">
        <v>15403</v>
      </c>
      <c r="D49" s="86">
        <v>62</v>
      </c>
      <c r="E49" s="88">
        <v>18024</v>
      </c>
      <c r="F49" s="88">
        <v>1066</v>
      </c>
      <c r="G49" s="105">
        <v>51292</v>
      </c>
      <c r="H49" s="86">
        <v>201</v>
      </c>
      <c r="I49" s="88">
        <v>61469</v>
      </c>
      <c r="J49" s="371">
        <v>3586</v>
      </c>
      <c r="K49" s="105">
        <v>725903</v>
      </c>
      <c r="L49" s="89">
        <v>4922</v>
      </c>
      <c r="M49" s="88">
        <v>896294</v>
      </c>
      <c r="N49" s="371">
        <v>51536</v>
      </c>
    </row>
    <row r="50" spans="1:14" ht="18" customHeight="1">
      <c r="A50" s="1447" t="s">
        <v>105</v>
      </c>
      <c r="B50" s="84" t="s">
        <v>106</v>
      </c>
      <c r="C50" s="108">
        <v>14747</v>
      </c>
      <c r="D50" s="89">
        <v>65</v>
      </c>
      <c r="E50" s="87">
        <v>17282</v>
      </c>
      <c r="F50" s="88">
        <v>1016</v>
      </c>
      <c r="G50" s="108">
        <v>49644</v>
      </c>
      <c r="H50" s="86">
        <v>197</v>
      </c>
      <c r="I50" s="109">
        <v>59489</v>
      </c>
      <c r="J50" s="380">
        <v>3501</v>
      </c>
      <c r="K50" s="108">
        <v>692056</v>
      </c>
      <c r="L50" s="86">
        <v>4663</v>
      </c>
      <c r="M50" s="109">
        <v>854610</v>
      </c>
      <c r="N50" s="380">
        <v>48663</v>
      </c>
    </row>
    <row r="51" spans="1:14" ht="18" customHeight="1">
      <c r="A51" s="1448"/>
      <c r="B51" s="84" t="s">
        <v>107</v>
      </c>
      <c r="C51" s="108">
        <v>14500</v>
      </c>
      <c r="D51" s="89">
        <v>51</v>
      </c>
      <c r="E51" s="87">
        <v>16900</v>
      </c>
      <c r="F51" s="88">
        <v>907</v>
      </c>
      <c r="G51" s="108">
        <v>48212</v>
      </c>
      <c r="H51" s="86">
        <v>182</v>
      </c>
      <c r="I51" s="109">
        <v>57804</v>
      </c>
      <c r="J51" s="380">
        <v>3357</v>
      </c>
      <c r="K51" s="108">
        <v>665138</v>
      </c>
      <c r="L51" s="86">
        <v>4411</v>
      </c>
      <c r="M51" s="109">
        <v>825396</v>
      </c>
      <c r="N51" s="380">
        <v>46663</v>
      </c>
    </row>
    <row r="52" spans="1:14" ht="18" customHeight="1">
      <c r="A52" s="1448"/>
      <c r="B52" s="84" t="s">
        <v>108</v>
      </c>
      <c r="C52" s="108">
        <v>13973</v>
      </c>
      <c r="D52" s="89">
        <v>49</v>
      </c>
      <c r="E52" s="87">
        <v>16418</v>
      </c>
      <c r="F52" s="88">
        <v>892</v>
      </c>
      <c r="G52" s="108">
        <v>46110</v>
      </c>
      <c r="H52" s="86">
        <v>179</v>
      </c>
      <c r="I52" s="109">
        <v>55363</v>
      </c>
      <c r="J52" s="380">
        <v>3157</v>
      </c>
      <c r="K52" s="108">
        <v>629021</v>
      </c>
      <c r="L52" s="86">
        <v>4373</v>
      </c>
      <c r="M52" s="109">
        <v>781494</v>
      </c>
      <c r="N52" s="380">
        <v>44546</v>
      </c>
    </row>
    <row r="53" spans="1:14" ht="18" customHeight="1">
      <c r="A53" s="1448"/>
      <c r="B53" s="90" t="s">
        <v>109</v>
      </c>
      <c r="C53" s="110">
        <v>12946</v>
      </c>
      <c r="D53" s="95">
        <v>51</v>
      </c>
      <c r="E53" s="93">
        <v>15221</v>
      </c>
      <c r="F53" s="94">
        <v>793</v>
      </c>
      <c r="G53" s="110">
        <v>42729</v>
      </c>
      <c r="H53" s="92">
        <v>143</v>
      </c>
      <c r="I53" s="111">
        <v>51501</v>
      </c>
      <c r="J53" s="381">
        <v>2910</v>
      </c>
      <c r="K53" s="110">
        <v>573842</v>
      </c>
      <c r="L53" s="92">
        <v>4113</v>
      </c>
      <c r="M53" s="111">
        <v>711374</v>
      </c>
      <c r="N53" s="381">
        <v>41658</v>
      </c>
    </row>
    <row r="54" spans="1:14" ht="18" customHeight="1">
      <c r="A54" s="1448"/>
      <c r="B54" s="78" t="s">
        <v>110</v>
      </c>
      <c r="C54" s="112">
        <v>12769</v>
      </c>
      <c r="D54" s="83">
        <v>51</v>
      </c>
      <c r="E54" s="81">
        <v>14867</v>
      </c>
      <c r="F54" s="82">
        <v>851</v>
      </c>
      <c r="G54" s="112">
        <v>40607</v>
      </c>
      <c r="H54" s="80">
        <v>196</v>
      </c>
      <c r="I54" s="113">
        <v>48481</v>
      </c>
      <c r="J54" s="382">
        <v>2903</v>
      </c>
      <c r="K54" s="112">
        <v>536899</v>
      </c>
      <c r="L54" s="80">
        <v>4117</v>
      </c>
      <c r="M54" s="113">
        <v>666023</v>
      </c>
      <c r="N54" s="382">
        <v>38959</v>
      </c>
    </row>
    <row r="55" spans="1:14" ht="18" customHeight="1">
      <c r="A55" s="1468" t="s">
        <v>111</v>
      </c>
      <c r="B55" s="84" t="s">
        <v>112</v>
      </c>
      <c r="C55" s="108">
        <v>12173</v>
      </c>
      <c r="D55" s="89">
        <v>49</v>
      </c>
      <c r="E55" s="88">
        <v>14231</v>
      </c>
      <c r="F55" s="88">
        <v>935</v>
      </c>
      <c r="G55" s="108">
        <v>37920</v>
      </c>
      <c r="H55" s="86">
        <v>161</v>
      </c>
      <c r="I55" s="109">
        <v>45460</v>
      </c>
      <c r="J55" s="380">
        <v>2937</v>
      </c>
      <c r="K55" s="108">
        <v>499201</v>
      </c>
      <c r="L55" s="86">
        <v>3904</v>
      </c>
      <c r="M55" s="109">
        <v>618853</v>
      </c>
      <c r="N55" s="380">
        <v>37356</v>
      </c>
    </row>
    <row r="56" spans="1:14" ht="18" customHeight="1">
      <c r="A56" s="1468"/>
      <c r="B56" s="84" t="s">
        <v>113</v>
      </c>
      <c r="C56" s="108">
        <v>11332</v>
      </c>
      <c r="D56" s="89">
        <v>44</v>
      </c>
      <c r="E56" s="88">
        <v>13398</v>
      </c>
      <c r="F56" s="88">
        <v>908</v>
      </c>
      <c r="G56" s="108">
        <v>35997</v>
      </c>
      <c r="H56" s="86">
        <v>150</v>
      </c>
      <c r="I56" s="109">
        <v>43585</v>
      </c>
      <c r="J56" s="380">
        <v>3173</v>
      </c>
      <c r="K56" s="108">
        <v>472165</v>
      </c>
      <c r="L56" s="86">
        <v>3694</v>
      </c>
      <c r="M56" s="109">
        <v>580850</v>
      </c>
      <c r="N56" s="380">
        <v>36895</v>
      </c>
    </row>
    <row r="57" spans="1:14" ht="18" customHeight="1">
      <c r="A57" s="1468"/>
      <c r="B57" s="84" t="s">
        <v>114</v>
      </c>
      <c r="C57" s="108">
        <v>10885</v>
      </c>
      <c r="D57" s="89">
        <v>44</v>
      </c>
      <c r="E57" s="88">
        <v>12723</v>
      </c>
      <c r="F57" s="88">
        <v>1085</v>
      </c>
      <c r="G57" s="108">
        <v>34382</v>
      </c>
      <c r="H57" s="86">
        <v>147</v>
      </c>
      <c r="I57" s="109">
        <v>40933</v>
      </c>
      <c r="J57" s="380">
        <v>3243</v>
      </c>
      <c r="K57" s="108">
        <v>430601</v>
      </c>
      <c r="L57" s="86">
        <v>3532</v>
      </c>
      <c r="M57" s="109">
        <v>525846</v>
      </c>
      <c r="N57" s="380">
        <v>34558</v>
      </c>
    </row>
    <row r="58" spans="1:14" ht="18" customHeight="1">
      <c r="A58" s="1468"/>
      <c r="B58" s="84" t="s">
        <v>115</v>
      </c>
      <c r="C58" s="108">
        <v>10080</v>
      </c>
      <c r="D58" s="89">
        <v>34</v>
      </c>
      <c r="E58" s="88">
        <v>11700</v>
      </c>
      <c r="F58" s="88">
        <v>977</v>
      </c>
      <c r="G58" s="108">
        <v>30914</v>
      </c>
      <c r="H58" s="86">
        <v>130</v>
      </c>
      <c r="I58" s="109">
        <v>36664</v>
      </c>
      <c r="J58" s="380">
        <v>3053</v>
      </c>
      <c r="K58" s="108">
        <v>381237</v>
      </c>
      <c r="L58" s="86">
        <v>3215</v>
      </c>
      <c r="M58" s="109">
        <v>461775</v>
      </c>
      <c r="N58" s="380">
        <v>32025</v>
      </c>
    </row>
    <row r="59" spans="1:14" ht="18" customHeight="1">
      <c r="A59" s="1468"/>
      <c r="B59" s="84" t="s">
        <v>116</v>
      </c>
      <c r="C59" s="108">
        <v>8256</v>
      </c>
      <c r="D59" s="89">
        <v>37</v>
      </c>
      <c r="E59" s="88">
        <v>9493</v>
      </c>
      <c r="F59" s="88">
        <v>878</v>
      </c>
      <c r="G59" s="108">
        <v>25543</v>
      </c>
      <c r="H59" s="86">
        <v>124</v>
      </c>
      <c r="I59" s="109">
        <v>29888</v>
      </c>
      <c r="J59" s="380">
        <v>2727</v>
      </c>
      <c r="K59" s="108">
        <v>309178</v>
      </c>
      <c r="L59" s="86">
        <v>2839</v>
      </c>
      <c r="M59" s="109">
        <v>369476</v>
      </c>
      <c r="N59" s="380">
        <v>27775</v>
      </c>
    </row>
    <row r="60" spans="1:14" ht="18" customHeight="1" thickBot="1">
      <c r="A60" s="1469" t="s">
        <v>117</v>
      </c>
      <c r="B60" s="114" t="s">
        <v>118</v>
      </c>
      <c r="C60" s="108">
        <v>8296</v>
      </c>
      <c r="D60" s="89">
        <v>43</v>
      </c>
      <c r="E60" s="89">
        <v>9584</v>
      </c>
      <c r="F60" s="371">
        <v>879</v>
      </c>
      <c r="G60" s="108">
        <v>25388</v>
      </c>
      <c r="H60" s="86">
        <v>140</v>
      </c>
      <c r="I60" s="109">
        <v>29560</v>
      </c>
      <c r="J60" s="380">
        <v>2779</v>
      </c>
      <c r="K60" s="108">
        <v>305196</v>
      </c>
      <c r="L60" s="86">
        <v>2636</v>
      </c>
      <c r="M60" s="86">
        <v>362131</v>
      </c>
      <c r="N60" s="380">
        <v>27204</v>
      </c>
    </row>
    <row r="61" spans="1:14" ht="18" customHeight="1" thickBot="1">
      <c r="A61" s="1470"/>
      <c r="B61" s="115" t="s">
        <v>119</v>
      </c>
      <c r="C61" s="372">
        <v>8106</v>
      </c>
      <c r="D61" s="373">
        <v>40</v>
      </c>
      <c r="E61" s="373">
        <v>9278</v>
      </c>
      <c r="F61" s="374">
        <v>894</v>
      </c>
      <c r="G61" s="372">
        <v>25509</v>
      </c>
      <c r="H61" s="375">
        <v>141</v>
      </c>
      <c r="I61" s="376">
        <v>29760</v>
      </c>
      <c r="J61" s="383">
        <v>2808</v>
      </c>
      <c r="K61" s="372">
        <v>300839</v>
      </c>
      <c r="L61" s="375">
        <v>2610</v>
      </c>
      <c r="M61" s="375">
        <v>356601</v>
      </c>
      <c r="N61" s="383">
        <v>26207</v>
      </c>
    </row>
    <row r="62" spans="1:14" ht="18" customHeight="1">
      <c r="A62" s="2" t="s">
        <v>418</v>
      </c>
    </row>
    <row r="63" spans="1:14" ht="18" customHeight="1">
      <c r="A63" s="2" t="s">
        <v>419</v>
      </c>
    </row>
  </sheetData>
  <mergeCells count="25">
    <mergeCell ref="A50:A54"/>
    <mergeCell ref="A55:A59"/>
    <mergeCell ref="A60:A61"/>
    <mergeCell ref="A20:A24"/>
    <mergeCell ref="A25:A29"/>
    <mergeCell ref="A30:A34"/>
    <mergeCell ref="A35:A39"/>
    <mergeCell ref="A40:A44"/>
    <mergeCell ref="A45:A49"/>
    <mergeCell ref="A15:A19"/>
    <mergeCell ref="I4:N4"/>
    <mergeCell ref="A5:A8"/>
    <mergeCell ref="C5:F6"/>
    <mergeCell ref="G5:J6"/>
    <mergeCell ref="K5:N6"/>
    <mergeCell ref="C7:C8"/>
    <mergeCell ref="D7:D8"/>
    <mergeCell ref="E7:E8"/>
    <mergeCell ref="G7:G8"/>
    <mergeCell ref="H7:H8"/>
    <mergeCell ref="I7:I8"/>
    <mergeCell ref="K7:K8"/>
    <mergeCell ref="L7:L8"/>
    <mergeCell ref="M7:M8"/>
    <mergeCell ref="A10:A14"/>
  </mergeCells>
  <phoneticPr fontId="3"/>
  <printOptions horizontalCentered="1"/>
  <pageMargins left="0.59055118110236227" right="0.59055118110236227" top="0.78740157480314965" bottom="0.78740157480314965" header="0.51181102362204722" footer="0.51181102362204722"/>
  <pageSetup paperSize="9" scale="68" firstPageNumber="0" orientation="portrait" r:id="rId1"/>
  <headerFooter alignWithMargins="0">
    <oddFooter xml:space="preserve">&amp;C-2-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zoomScaleNormal="100" zoomScaleSheetLayoutView="100" workbookViewId="0">
      <selection activeCell="A12" sqref="A12:A15"/>
    </sheetView>
  </sheetViews>
  <sheetFormatPr defaultRowHeight="14.25"/>
  <cols>
    <col min="1" max="1" width="11.125" style="116" customWidth="1"/>
    <col min="2" max="2" width="1.125" style="116" customWidth="1"/>
    <col min="3" max="7" width="9" style="116"/>
    <col min="8" max="8" width="3.625" style="116" customWidth="1"/>
    <col min="9" max="9" width="11.625" style="116" bestFit="1" customWidth="1"/>
    <col min="10" max="10" width="3.625" style="116" customWidth="1"/>
    <col min="11" max="11" width="10.625" style="116" customWidth="1"/>
    <col min="12" max="16384" width="9" style="116"/>
  </cols>
  <sheetData>
    <row r="1" spans="1:11" ht="15" thickBot="1">
      <c r="A1" s="116" t="s">
        <v>133</v>
      </c>
      <c r="G1" s="1475" t="s">
        <v>132</v>
      </c>
      <c r="H1" s="1475"/>
      <c r="I1" s="1475"/>
      <c r="J1" s="1475"/>
      <c r="K1" s="1475"/>
    </row>
    <row r="2" spans="1:11" ht="17.25" customHeight="1">
      <c r="A2" s="133"/>
      <c r="B2" s="337"/>
      <c r="C2" s="132" t="s">
        <v>51</v>
      </c>
      <c r="D2" s="1476" t="s">
        <v>987</v>
      </c>
      <c r="E2" s="1477"/>
      <c r="F2" s="1478" t="s">
        <v>131</v>
      </c>
      <c r="G2" s="1477"/>
      <c r="H2" s="1479" t="s">
        <v>130</v>
      </c>
      <c r="I2" s="1480"/>
      <c r="J2" s="1480"/>
      <c r="K2" s="1481"/>
    </row>
    <row r="3" spans="1:11" ht="17.25" customHeight="1" thickBot="1">
      <c r="A3" s="131" t="s">
        <v>47</v>
      </c>
      <c r="B3" s="338"/>
      <c r="C3" s="130"/>
      <c r="D3" s="1482" t="s">
        <v>129</v>
      </c>
      <c r="E3" s="1483"/>
      <c r="F3" s="1484" t="s">
        <v>128</v>
      </c>
      <c r="G3" s="1483"/>
      <c r="H3" s="1485" t="s">
        <v>127</v>
      </c>
      <c r="I3" s="1486"/>
      <c r="J3" s="1485" t="s">
        <v>126</v>
      </c>
      <c r="K3" s="1487"/>
    </row>
    <row r="4" spans="1:11" ht="27" customHeight="1">
      <c r="A4" s="1504" t="s">
        <v>125</v>
      </c>
      <c r="B4" s="1512" t="s">
        <v>122</v>
      </c>
      <c r="C4" s="1513"/>
      <c r="D4" s="1510">
        <v>8106</v>
      </c>
      <c r="E4" s="1511"/>
      <c r="F4" s="1514">
        <v>25242</v>
      </c>
      <c r="G4" s="1515"/>
      <c r="H4" s="128"/>
      <c r="I4" s="129">
        <f t="shared" ref="I4:I15" si="0">D4-F4</f>
        <v>-17136</v>
      </c>
      <c r="J4" s="128"/>
      <c r="K4" s="127">
        <f t="shared" ref="K4:K15" si="1">(D4/F4-1)*100</f>
        <v>-67.88685524126457</v>
      </c>
    </row>
    <row r="5" spans="1:11" ht="24.75" customHeight="1">
      <c r="A5" s="1505"/>
      <c r="B5" s="1495" t="s">
        <v>124</v>
      </c>
      <c r="C5" s="1497"/>
      <c r="D5" s="1471">
        <v>40</v>
      </c>
      <c r="E5" s="1472"/>
      <c r="F5" s="1473">
        <v>280</v>
      </c>
      <c r="G5" s="1474"/>
      <c r="H5" s="125"/>
      <c r="I5" s="126">
        <f t="shared" si="0"/>
        <v>-240</v>
      </c>
      <c r="J5" s="125"/>
      <c r="K5" s="124">
        <f t="shared" si="1"/>
        <v>-85.714285714285722</v>
      </c>
    </row>
    <row r="6" spans="1:11" ht="27" customHeight="1">
      <c r="A6" s="1505"/>
      <c r="B6" s="1498" t="s">
        <v>123</v>
      </c>
      <c r="C6" s="1499"/>
      <c r="D6" s="1471">
        <v>9278</v>
      </c>
      <c r="E6" s="1472"/>
      <c r="F6" s="1473">
        <v>34642</v>
      </c>
      <c r="G6" s="1474"/>
      <c r="H6" s="125"/>
      <c r="I6" s="126">
        <f t="shared" si="0"/>
        <v>-25364</v>
      </c>
      <c r="J6" s="125"/>
      <c r="K6" s="124">
        <f t="shared" si="1"/>
        <v>-73.217481669649558</v>
      </c>
    </row>
    <row r="7" spans="1:11" ht="27" customHeight="1">
      <c r="A7" s="1506"/>
      <c r="B7" s="339"/>
      <c r="C7" s="1366" t="s">
        <v>986</v>
      </c>
      <c r="D7" s="1471">
        <v>894</v>
      </c>
      <c r="E7" s="1507"/>
      <c r="F7" s="1473">
        <v>2904</v>
      </c>
      <c r="G7" s="1508"/>
      <c r="H7" s="125"/>
      <c r="I7" s="126">
        <f t="shared" si="0"/>
        <v>-2010</v>
      </c>
      <c r="J7" s="125"/>
      <c r="K7" s="124">
        <f t="shared" si="1"/>
        <v>-69.214876033057848</v>
      </c>
    </row>
    <row r="8" spans="1:11" ht="27.75" customHeight="1">
      <c r="A8" s="1509" t="s">
        <v>49</v>
      </c>
      <c r="B8" s="1495" t="s">
        <v>122</v>
      </c>
      <c r="C8" s="1496"/>
      <c r="D8" s="1471">
        <v>25509</v>
      </c>
      <c r="E8" s="1472"/>
      <c r="F8" s="1473">
        <v>52968</v>
      </c>
      <c r="G8" s="1474"/>
      <c r="H8" s="125"/>
      <c r="I8" s="126">
        <f t="shared" si="0"/>
        <v>-27459</v>
      </c>
      <c r="J8" s="125"/>
      <c r="K8" s="124">
        <f t="shared" si="1"/>
        <v>-51.840734028092442</v>
      </c>
    </row>
    <row r="9" spans="1:11" ht="26.25" customHeight="1">
      <c r="A9" s="1505"/>
      <c r="B9" s="1495" t="s">
        <v>121</v>
      </c>
      <c r="C9" s="1497"/>
      <c r="D9" s="1471">
        <v>141</v>
      </c>
      <c r="E9" s="1472"/>
      <c r="F9" s="1473">
        <v>848</v>
      </c>
      <c r="G9" s="1474"/>
      <c r="H9" s="125"/>
      <c r="I9" s="126">
        <f t="shared" si="0"/>
        <v>-707</v>
      </c>
      <c r="J9" s="125"/>
      <c r="K9" s="124">
        <f t="shared" si="1"/>
        <v>-83.372641509433961</v>
      </c>
    </row>
    <row r="10" spans="1:11" ht="26.25" customHeight="1">
      <c r="A10" s="1505"/>
      <c r="B10" s="1498" t="s">
        <v>120</v>
      </c>
      <c r="C10" s="1499"/>
      <c r="D10" s="1471">
        <v>29760</v>
      </c>
      <c r="E10" s="1472"/>
      <c r="F10" s="1473">
        <v>74649</v>
      </c>
      <c r="G10" s="1474"/>
      <c r="H10" s="125"/>
      <c r="I10" s="126">
        <f t="shared" si="0"/>
        <v>-44889</v>
      </c>
      <c r="J10" s="125"/>
      <c r="K10" s="124">
        <f t="shared" si="1"/>
        <v>-60.133424426315152</v>
      </c>
    </row>
    <row r="11" spans="1:11" ht="26.25" customHeight="1">
      <c r="A11" s="1506"/>
      <c r="B11" s="339"/>
      <c r="C11" s="1366" t="s">
        <v>986</v>
      </c>
      <c r="D11" s="1471">
        <v>2808</v>
      </c>
      <c r="E11" s="1507"/>
      <c r="F11" s="1473">
        <v>7224</v>
      </c>
      <c r="G11" s="1508"/>
      <c r="H11" s="125"/>
      <c r="I11" s="126">
        <f t="shared" si="0"/>
        <v>-4416</v>
      </c>
      <c r="J11" s="125"/>
      <c r="K11" s="124">
        <f t="shared" si="1"/>
        <v>-61.129568106312291</v>
      </c>
    </row>
    <row r="12" spans="1:11" ht="27" customHeight="1">
      <c r="A12" s="1488" t="s">
        <v>50</v>
      </c>
      <c r="B12" s="1495" t="s">
        <v>122</v>
      </c>
      <c r="C12" s="1496"/>
      <c r="D12" s="1471">
        <v>300839</v>
      </c>
      <c r="E12" s="1472"/>
      <c r="F12" s="1473">
        <v>718080</v>
      </c>
      <c r="G12" s="1474"/>
      <c r="H12" s="125"/>
      <c r="I12" s="126">
        <f t="shared" si="0"/>
        <v>-417241</v>
      </c>
      <c r="J12" s="125"/>
      <c r="K12" s="124">
        <f t="shared" si="1"/>
        <v>-58.105085784313729</v>
      </c>
    </row>
    <row r="13" spans="1:11" ht="25.5" customHeight="1">
      <c r="A13" s="1489"/>
      <c r="B13" s="1495" t="s">
        <v>121</v>
      </c>
      <c r="C13" s="1497"/>
      <c r="D13" s="1471">
        <v>2610</v>
      </c>
      <c r="E13" s="1472"/>
      <c r="F13" s="1473">
        <v>16765</v>
      </c>
      <c r="G13" s="1474"/>
      <c r="H13" s="125"/>
      <c r="I13" s="126">
        <f t="shared" si="0"/>
        <v>-14155</v>
      </c>
      <c r="J13" s="125"/>
      <c r="K13" s="124">
        <f t="shared" si="1"/>
        <v>-84.431852072770653</v>
      </c>
    </row>
    <row r="14" spans="1:11" ht="27.75" customHeight="1">
      <c r="A14" s="1489"/>
      <c r="B14" s="1498" t="s">
        <v>120</v>
      </c>
      <c r="C14" s="1499"/>
      <c r="D14" s="1500">
        <v>356601</v>
      </c>
      <c r="E14" s="1501"/>
      <c r="F14" s="1502">
        <v>981096</v>
      </c>
      <c r="G14" s="1503"/>
      <c r="H14" s="122"/>
      <c r="I14" s="123">
        <f t="shared" si="0"/>
        <v>-624495</v>
      </c>
      <c r="J14" s="122"/>
      <c r="K14" s="121">
        <f t="shared" si="1"/>
        <v>-63.652792387289317</v>
      </c>
    </row>
    <row r="15" spans="1:11" ht="27.75" customHeight="1" thickBot="1">
      <c r="A15" s="1490"/>
      <c r="B15" s="340"/>
      <c r="C15" s="1367" t="s">
        <v>986</v>
      </c>
      <c r="D15" s="1491">
        <v>26027</v>
      </c>
      <c r="E15" s="1492"/>
      <c r="F15" s="1493">
        <v>126715</v>
      </c>
      <c r="G15" s="1494"/>
      <c r="H15" s="119"/>
      <c r="I15" s="120">
        <f t="shared" si="0"/>
        <v>-100688</v>
      </c>
      <c r="J15" s="119"/>
      <c r="K15" s="118">
        <f t="shared" si="1"/>
        <v>-79.460205974036228</v>
      </c>
    </row>
    <row r="19" spans="1:12">
      <c r="A19" s="117"/>
      <c r="B19" s="117"/>
      <c r="C19" s="117"/>
      <c r="D19" s="117"/>
      <c r="E19" s="117"/>
      <c r="F19" s="117"/>
      <c r="G19" s="117"/>
      <c r="H19" s="117"/>
      <c r="I19" s="117"/>
      <c r="J19" s="117"/>
      <c r="K19" s="117"/>
      <c r="L19" s="117"/>
    </row>
    <row r="20" spans="1:12">
      <c r="A20" s="117"/>
      <c r="B20" s="117"/>
      <c r="C20" s="117"/>
      <c r="D20" s="117"/>
      <c r="E20" s="117"/>
      <c r="F20" s="117"/>
      <c r="G20" s="117"/>
      <c r="H20" s="117"/>
      <c r="I20" s="117"/>
      <c r="J20" s="117"/>
      <c r="K20" s="117"/>
      <c r="L20" s="117"/>
    </row>
    <row r="21" spans="1:12">
      <c r="A21" s="117"/>
      <c r="B21" s="117"/>
      <c r="C21" s="117"/>
      <c r="D21" s="117"/>
      <c r="E21" s="117"/>
      <c r="F21" s="117"/>
      <c r="G21" s="117"/>
      <c r="H21" s="117"/>
      <c r="I21" s="117"/>
      <c r="J21" s="117"/>
      <c r="K21" s="117"/>
      <c r="L21" s="117"/>
    </row>
    <row r="22" spans="1:12">
      <c r="A22" s="117"/>
      <c r="B22" s="117"/>
      <c r="C22" s="117"/>
      <c r="D22" s="117"/>
      <c r="E22" s="117"/>
      <c r="F22" s="117"/>
      <c r="G22" s="117"/>
      <c r="H22" s="117"/>
      <c r="I22" s="117"/>
      <c r="J22" s="117"/>
      <c r="K22" s="117"/>
      <c r="L22" s="117"/>
    </row>
    <row r="23" spans="1:12">
      <c r="A23" s="117"/>
      <c r="B23" s="117"/>
      <c r="C23" s="117"/>
      <c r="D23" s="117"/>
      <c r="E23" s="117"/>
      <c r="F23" s="117"/>
      <c r="G23" s="117"/>
      <c r="H23" s="117"/>
      <c r="I23" s="117"/>
      <c r="J23" s="117"/>
      <c r="K23" s="117"/>
      <c r="L23" s="117"/>
    </row>
    <row r="24" spans="1:12">
      <c r="A24" s="117"/>
      <c r="B24" s="117"/>
      <c r="C24" s="117"/>
      <c r="D24" s="117"/>
      <c r="E24" s="117"/>
      <c r="F24" s="117"/>
      <c r="G24" s="117"/>
      <c r="H24" s="117"/>
      <c r="I24" s="117"/>
      <c r="J24" s="117"/>
      <c r="K24" s="117"/>
      <c r="L24" s="117"/>
    </row>
    <row r="25" spans="1:12">
      <c r="A25" s="117"/>
      <c r="B25" s="117"/>
      <c r="C25" s="117"/>
      <c r="D25" s="117"/>
      <c r="E25" s="117"/>
      <c r="F25" s="117"/>
      <c r="G25" s="117"/>
      <c r="H25" s="117"/>
      <c r="I25" s="117"/>
      <c r="J25" s="117"/>
      <c r="K25" s="117"/>
      <c r="L25" s="117"/>
    </row>
    <row r="26" spans="1:12">
      <c r="A26" s="117"/>
      <c r="B26" s="117"/>
      <c r="C26" s="117"/>
      <c r="D26" s="117"/>
      <c r="E26" s="117"/>
      <c r="F26" s="117"/>
      <c r="G26" s="117"/>
      <c r="H26" s="117"/>
      <c r="I26" s="117"/>
      <c r="J26" s="117"/>
      <c r="K26" s="117"/>
      <c r="L26" s="117"/>
    </row>
    <row r="27" spans="1:12">
      <c r="A27" s="117"/>
      <c r="B27" s="117"/>
      <c r="C27" s="117"/>
      <c r="D27" s="117"/>
      <c r="E27" s="117"/>
      <c r="F27" s="117"/>
      <c r="G27" s="117"/>
      <c r="H27" s="117"/>
      <c r="I27" s="117"/>
      <c r="J27" s="117"/>
      <c r="K27" s="117"/>
      <c r="L27" s="117"/>
    </row>
    <row r="28" spans="1:12">
      <c r="A28" s="117"/>
      <c r="B28" s="117"/>
      <c r="C28" s="117"/>
      <c r="D28" s="117"/>
      <c r="E28" s="117"/>
      <c r="F28" s="117"/>
      <c r="G28" s="117"/>
      <c r="H28" s="117"/>
      <c r="I28" s="117"/>
      <c r="J28" s="117"/>
      <c r="K28" s="117"/>
      <c r="L28" s="117"/>
    </row>
    <row r="29" spans="1:12">
      <c r="A29" s="117"/>
      <c r="B29" s="117"/>
      <c r="C29" s="117"/>
      <c r="D29" s="117"/>
      <c r="E29" s="117"/>
      <c r="F29" s="117"/>
      <c r="G29" s="117"/>
      <c r="H29" s="117"/>
      <c r="I29" s="117"/>
      <c r="J29" s="117"/>
      <c r="K29" s="117"/>
      <c r="L29" s="117"/>
    </row>
    <row r="30" spans="1:12">
      <c r="A30" s="117"/>
      <c r="B30" s="117"/>
      <c r="C30" s="117"/>
      <c r="D30" s="117"/>
      <c r="E30" s="117"/>
      <c r="F30" s="117"/>
      <c r="G30" s="117"/>
      <c r="H30" s="117"/>
      <c r="I30" s="117"/>
      <c r="J30" s="117"/>
      <c r="K30" s="117"/>
      <c r="L30" s="117"/>
    </row>
    <row r="31" spans="1:12">
      <c r="A31" s="117"/>
      <c r="B31" s="117"/>
      <c r="C31" s="117"/>
      <c r="D31" s="117"/>
      <c r="E31" s="117"/>
      <c r="F31" s="117"/>
      <c r="G31" s="117"/>
      <c r="H31" s="117"/>
      <c r="I31" s="117"/>
      <c r="J31" s="117"/>
      <c r="K31" s="117"/>
      <c r="L31" s="117"/>
    </row>
    <row r="32" spans="1:12">
      <c r="A32" s="117"/>
      <c r="B32" s="117"/>
      <c r="C32" s="117"/>
      <c r="D32" s="117"/>
      <c r="E32" s="117"/>
      <c r="F32" s="117"/>
      <c r="G32" s="117"/>
      <c r="H32" s="117"/>
      <c r="I32" s="117"/>
      <c r="J32" s="117"/>
      <c r="K32" s="117"/>
      <c r="L32" s="117"/>
    </row>
    <row r="33" spans="1:12">
      <c r="A33" s="117"/>
      <c r="B33" s="117"/>
      <c r="C33" s="117"/>
      <c r="D33" s="117"/>
      <c r="E33" s="117"/>
      <c r="F33" s="117"/>
      <c r="G33" s="117"/>
      <c r="H33" s="117"/>
      <c r="I33" s="117"/>
      <c r="J33" s="117"/>
      <c r="K33" s="117"/>
      <c r="L33" s="117"/>
    </row>
    <row r="34" spans="1:12">
      <c r="A34" s="117"/>
      <c r="B34" s="117"/>
      <c r="C34" s="117"/>
      <c r="D34" s="117"/>
      <c r="E34" s="117"/>
      <c r="F34" s="117"/>
      <c r="G34" s="117"/>
      <c r="H34" s="117"/>
      <c r="I34" s="117"/>
      <c r="J34" s="117"/>
      <c r="K34" s="117"/>
      <c r="L34" s="117"/>
    </row>
    <row r="35" spans="1:12">
      <c r="A35" s="117"/>
      <c r="B35" s="117"/>
      <c r="C35" s="117"/>
      <c r="D35" s="117"/>
      <c r="E35" s="117"/>
      <c r="F35" s="117"/>
      <c r="G35" s="117"/>
      <c r="H35" s="117"/>
      <c r="I35" s="117"/>
      <c r="J35" s="117"/>
      <c r="K35" s="117"/>
      <c r="L35" s="117"/>
    </row>
    <row r="36" spans="1:12">
      <c r="A36" s="117"/>
      <c r="B36" s="117"/>
      <c r="C36" s="117"/>
      <c r="D36" s="117"/>
      <c r="E36" s="117"/>
      <c r="F36" s="117"/>
      <c r="G36" s="117"/>
      <c r="H36" s="117"/>
      <c r="I36" s="117"/>
      <c r="J36" s="117"/>
      <c r="K36" s="117"/>
      <c r="L36" s="117"/>
    </row>
    <row r="37" spans="1:12">
      <c r="A37" s="117"/>
      <c r="B37" s="117"/>
      <c r="C37" s="117"/>
      <c r="D37" s="117"/>
      <c r="E37" s="117"/>
      <c r="F37" s="117"/>
      <c r="G37" s="117"/>
      <c r="H37" s="117"/>
      <c r="I37" s="117"/>
      <c r="J37" s="117"/>
      <c r="K37" s="117"/>
      <c r="L37" s="117"/>
    </row>
    <row r="38" spans="1:12">
      <c r="A38" s="117"/>
      <c r="B38" s="117"/>
      <c r="C38" s="117"/>
      <c r="D38" s="117"/>
      <c r="E38" s="117"/>
      <c r="F38" s="117"/>
      <c r="G38" s="117"/>
      <c r="H38" s="117"/>
      <c r="I38" s="117"/>
      <c r="J38" s="117"/>
      <c r="K38" s="117"/>
      <c r="L38" s="117"/>
    </row>
    <row r="39" spans="1:12">
      <c r="A39" s="117"/>
      <c r="B39" s="117"/>
      <c r="C39" s="117"/>
      <c r="D39" s="117"/>
      <c r="E39" s="117"/>
      <c r="F39" s="117"/>
      <c r="G39" s="117"/>
      <c r="H39" s="117"/>
      <c r="I39" s="117"/>
      <c r="J39" s="117"/>
      <c r="K39" s="117"/>
      <c r="L39" s="117"/>
    </row>
    <row r="40" spans="1:12">
      <c r="A40" s="117"/>
      <c r="B40" s="117"/>
      <c r="C40" s="117"/>
      <c r="D40" s="117"/>
      <c r="E40" s="117"/>
      <c r="F40" s="117"/>
      <c r="G40" s="117"/>
      <c r="H40" s="117"/>
      <c r="I40" s="117"/>
      <c r="J40" s="117"/>
      <c r="K40" s="117"/>
      <c r="L40" s="117"/>
    </row>
  </sheetData>
  <mergeCells count="44">
    <mergeCell ref="A4:A7"/>
    <mergeCell ref="D7:E7"/>
    <mergeCell ref="F7:G7"/>
    <mergeCell ref="A8:A11"/>
    <mergeCell ref="D11:E11"/>
    <mergeCell ref="F11:G11"/>
    <mergeCell ref="D4:E4"/>
    <mergeCell ref="B4:C4"/>
    <mergeCell ref="B5:C5"/>
    <mergeCell ref="B6:C6"/>
    <mergeCell ref="B8:C8"/>
    <mergeCell ref="B9:C9"/>
    <mergeCell ref="B10:C10"/>
    <mergeCell ref="D8:E8"/>
    <mergeCell ref="F8:G8"/>
    <mergeCell ref="F4:G4"/>
    <mergeCell ref="A12:A15"/>
    <mergeCell ref="D15:E15"/>
    <mergeCell ref="F15:G15"/>
    <mergeCell ref="B12:C12"/>
    <mergeCell ref="B13:C13"/>
    <mergeCell ref="B14:C14"/>
    <mergeCell ref="D13:E13"/>
    <mergeCell ref="F13:G13"/>
    <mergeCell ref="D14:E14"/>
    <mergeCell ref="F14:G14"/>
    <mergeCell ref="D5:E5"/>
    <mergeCell ref="F5:G5"/>
    <mergeCell ref="D6:E6"/>
    <mergeCell ref="F6:G6"/>
    <mergeCell ref="G1:K1"/>
    <mergeCell ref="D2:E2"/>
    <mergeCell ref="F2:G2"/>
    <mergeCell ref="H2:K2"/>
    <mergeCell ref="D3:E3"/>
    <mergeCell ref="F3:G3"/>
    <mergeCell ref="H3:I3"/>
    <mergeCell ref="J3:K3"/>
    <mergeCell ref="D9:E9"/>
    <mergeCell ref="F9:G9"/>
    <mergeCell ref="D10:E10"/>
    <mergeCell ref="F10:G10"/>
    <mergeCell ref="D12:E12"/>
    <mergeCell ref="F12:G12"/>
  </mergeCells>
  <phoneticPr fontId="3"/>
  <pageMargins left="0.98425196850393704" right="0.39370078740157483" top="0.98425196850393704" bottom="0.98425196850393704" header="0.51181102362204722" footer="0.51181102362204722"/>
  <pageSetup paperSize="9" scale="95" firstPageNumber="0" orientation="portrait" r:id="rId1"/>
  <headerFooter alignWithMargins="0">
    <oddFooter xml:space="preserve">&amp;C-3-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view="pageBreakPreview" zoomScaleNormal="100" zoomScaleSheetLayoutView="100" workbookViewId="0">
      <selection activeCell="C13" sqref="C13"/>
    </sheetView>
  </sheetViews>
  <sheetFormatPr defaultRowHeight="14.25"/>
  <cols>
    <col min="1" max="1" width="9.75" style="2" customWidth="1"/>
    <col min="2" max="2" width="16.5" style="2" customWidth="1"/>
    <col min="3" max="3" width="10.25" style="2" customWidth="1"/>
    <col min="4" max="6" width="14.125" style="2" customWidth="1"/>
    <col min="7" max="16384" width="9" style="2"/>
  </cols>
  <sheetData>
    <row r="1" spans="1:6" ht="16.5">
      <c r="A1" s="70" t="s">
        <v>134</v>
      </c>
      <c r="B1" s="134"/>
      <c r="C1" s="134"/>
      <c r="D1" s="134"/>
      <c r="E1" s="134"/>
    </row>
    <row r="3" spans="1:6" s="134" customFormat="1" ht="17.25" thickBot="1">
      <c r="A3" s="135" t="s">
        <v>135</v>
      </c>
    </row>
    <row r="4" spans="1:6">
      <c r="A4" s="136" t="s">
        <v>47</v>
      </c>
      <c r="B4" s="1516" t="s">
        <v>136</v>
      </c>
      <c r="C4" s="1517"/>
      <c r="D4" s="1518" t="s">
        <v>137</v>
      </c>
      <c r="E4" s="1519"/>
      <c r="F4" s="1520"/>
    </row>
    <row r="5" spans="1:6" ht="5.25" customHeight="1">
      <c r="A5" s="341"/>
      <c r="B5" s="342"/>
      <c r="C5" s="1462" t="s">
        <v>139</v>
      </c>
      <c r="D5" s="1462" t="s">
        <v>53</v>
      </c>
      <c r="E5" s="1464" t="s">
        <v>140</v>
      </c>
      <c r="F5" s="343"/>
    </row>
    <row r="6" spans="1:6" ht="15" thickBot="1">
      <c r="A6" s="137" t="s">
        <v>51</v>
      </c>
      <c r="B6" s="138" t="s">
        <v>138</v>
      </c>
      <c r="C6" s="1522"/>
      <c r="D6" s="1522"/>
      <c r="E6" s="1523"/>
      <c r="F6" s="958" t="s">
        <v>985</v>
      </c>
    </row>
    <row r="7" spans="1:6">
      <c r="A7" s="139" t="s">
        <v>55</v>
      </c>
      <c r="B7" s="140">
        <v>2980487</v>
      </c>
      <c r="C7" s="141">
        <v>100</v>
      </c>
      <c r="D7" s="142">
        <f>100000*280/B7</f>
        <v>9.3944378888416562</v>
      </c>
      <c r="E7" s="143">
        <f>100000*34642/B7</f>
        <v>1162.2932762330452</v>
      </c>
      <c r="F7" s="144">
        <f>100000*2904/B7</f>
        <v>97.433741532843456</v>
      </c>
    </row>
    <row r="8" spans="1:6">
      <c r="A8" s="145" t="s">
        <v>55</v>
      </c>
      <c r="B8" s="146">
        <v>2942404</v>
      </c>
      <c r="C8" s="147">
        <f>B8*100/B7</f>
        <v>98.722255792425869</v>
      </c>
      <c r="D8" s="147">
        <f>100000*222/B8</f>
        <v>7.5448510809528537</v>
      </c>
      <c r="E8" s="148">
        <f>100000*31519/B8</f>
        <v>1071.1989244169054</v>
      </c>
      <c r="F8" s="149">
        <f>100000*2744/B8</f>
        <v>93.257078225831663</v>
      </c>
    </row>
    <row r="9" spans="1:6">
      <c r="A9" s="139" t="s">
        <v>58</v>
      </c>
      <c r="B9" s="140">
        <v>2894509</v>
      </c>
      <c r="C9" s="147">
        <f>B9*100/B7</f>
        <v>97.115303639975622</v>
      </c>
      <c r="D9" s="147">
        <f>100000*228/B9</f>
        <v>7.876983626583991</v>
      </c>
      <c r="E9" s="150">
        <f>100000*27240/B9</f>
        <v>941.09225433398205</v>
      </c>
      <c r="F9" s="151">
        <f>100000*2392/B9</f>
        <v>82.639231731530288</v>
      </c>
    </row>
    <row r="10" spans="1:6">
      <c r="A10" s="145" t="s">
        <v>59</v>
      </c>
      <c r="B10" s="146">
        <v>2849102</v>
      </c>
      <c r="C10" s="147">
        <f>B10*100/B7</f>
        <v>95.591827778480493</v>
      </c>
      <c r="D10" s="147">
        <f>100000*244/B10</f>
        <v>8.5641019521238615</v>
      </c>
      <c r="E10" s="150">
        <f>100000*21997/B10</f>
        <v>772.06783049536307</v>
      </c>
      <c r="F10" s="151">
        <f>100000*2135/B10</f>
        <v>74.935892081083793</v>
      </c>
    </row>
    <row r="11" spans="1:6">
      <c r="A11" s="139" t="s">
        <v>60</v>
      </c>
      <c r="B11" s="140">
        <v>2810322</v>
      </c>
      <c r="C11" s="147">
        <f>B11*100/B7</f>
        <v>94.290698130875924</v>
      </c>
      <c r="D11" s="147">
        <f>100000*147/B11</f>
        <v>5.2307173341702482</v>
      </c>
      <c r="E11" s="150">
        <f>100000*17500/B11</f>
        <v>622.70444454407721</v>
      </c>
      <c r="F11" s="151">
        <f>100000*1743/B11</f>
        <v>62.021362676590087</v>
      </c>
    </row>
    <row r="12" spans="1:6">
      <c r="A12" s="145" t="s">
        <v>61</v>
      </c>
      <c r="B12" s="146">
        <v>2778987</v>
      </c>
      <c r="C12" s="147">
        <f>B12*100/B7</f>
        <v>93.239359876422881</v>
      </c>
      <c r="D12" s="142">
        <f>100000*130/B12</f>
        <v>4.677963588890484</v>
      </c>
      <c r="E12" s="152">
        <f>100000*16029/B12</f>
        <v>576.79291051019675</v>
      </c>
      <c r="F12" s="153">
        <f>100000*1466/B12</f>
        <v>52.753035548565002</v>
      </c>
    </row>
    <row r="13" spans="1:6">
      <c r="A13" s="139" t="s">
        <v>63</v>
      </c>
      <c r="B13" s="140">
        <v>2748781</v>
      </c>
      <c r="C13" s="147">
        <f>B13*100/B7</f>
        <v>92.225901337600192</v>
      </c>
      <c r="D13" s="147">
        <f>100000*110/B13</f>
        <v>4.0017738772204847</v>
      </c>
      <c r="E13" s="150">
        <f>100000*16367/B13</f>
        <v>595.42757316788789</v>
      </c>
      <c r="F13" s="384" t="s">
        <v>401</v>
      </c>
    </row>
    <row r="14" spans="1:6">
      <c r="A14" s="145" t="s">
        <v>65</v>
      </c>
      <c r="B14" s="146">
        <v>2720651</v>
      </c>
      <c r="C14" s="147">
        <f>B14*100/B7</f>
        <v>91.282095845410495</v>
      </c>
      <c r="D14" s="147">
        <f>100000*98/B14</f>
        <v>3.6020790612246847</v>
      </c>
      <c r="E14" s="150">
        <f>100000*16017/B14</f>
        <v>588.71939105750789</v>
      </c>
      <c r="F14" s="151">
        <f>100000*1304/B14</f>
        <v>47.929705059561115</v>
      </c>
    </row>
    <row r="15" spans="1:6">
      <c r="A15" s="139" t="s">
        <v>66</v>
      </c>
      <c r="B15" s="140">
        <v>2694091</v>
      </c>
      <c r="C15" s="147">
        <f>B15*100/B7</f>
        <v>90.390966308526089</v>
      </c>
      <c r="D15" s="147">
        <f>100000*118/B15</f>
        <v>4.3799559851541767</v>
      </c>
      <c r="E15" s="150">
        <f>100000*15854/B15</f>
        <v>588.47306939520604</v>
      </c>
      <c r="F15" s="151">
        <f>100000*1236/B15</f>
        <v>45.878183030936967</v>
      </c>
    </row>
    <row r="16" spans="1:6">
      <c r="A16" s="145" t="s">
        <v>67</v>
      </c>
      <c r="B16" s="146">
        <v>2671163</v>
      </c>
      <c r="C16" s="147">
        <f>B16*100/B7</f>
        <v>89.621696051685518</v>
      </c>
      <c r="D16" s="147">
        <f>100000*99/B16</f>
        <v>3.7062507978734356</v>
      </c>
      <c r="E16" s="150">
        <f>100000*15423/B16</f>
        <v>577.38895005658583</v>
      </c>
      <c r="F16" s="151">
        <f>100000*1111/B16</f>
        <v>41.592370065024113</v>
      </c>
    </row>
    <row r="17" spans="1:14">
      <c r="A17" s="139" t="s">
        <v>68</v>
      </c>
      <c r="B17" s="140">
        <v>2648180</v>
      </c>
      <c r="C17" s="147">
        <f>B17*100/B7</f>
        <v>88.850580458831061</v>
      </c>
      <c r="D17" s="142">
        <f>100000*104/B17</f>
        <v>3.9272254907143775</v>
      </c>
      <c r="E17" s="152">
        <f>100000*16163/B17</f>
        <v>610.34370775400464</v>
      </c>
      <c r="F17" s="153">
        <f>100000*1586/B17</f>
        <v>59.890188733394254</v>
      </c>
    </row>
    <row r="18" spans="1:14">
      <c r="A18" s="145" t="s">
        <v>70</v>
      </c>
      <c r="B18" s="146">
        <v>2635211</v>
      </c>
      <c r="C18" s="147">
        <f>B18*100/B7</f>
        <v>88.415450226758239</v>
      </c>
      <c r="D18" s="147">
        <f>100000*128/B18</f>
        <v>4.8572960571278729</v>
      </c>
      <c r="E18" s="150">
        <f>100000*17476/B18</f>
        <v>663.17270229973997</v>
      </c>
      <c r="F18" s="151">
        <f>100000*1620/B18</f>
        <v>61.475153223024648</v>
      </c>
    </row>
    <row r="19" spans="1:14">
      <c r="A19" s="139" t="s">
        <v>71</v>
      </c>
      <c r="B19" s="140">
        <v>2623124</v>
      </c>
      <c r="C19" s="147">
        <f>B19*100/B7</f>
        <v>88.009912474035289</v>
      </c>
      <c r="D19" s="147">
        <f>100000*131/B19</f>
        <v>4.9940452681611696</v>
      </c>
      <c r="E19" s="150">
        <f>100000*18448/B19</f>
        <v>703.28356570257449</v>
      </c>
      <c r="F19" s="151">
        <f>100000*1718/B19</f>
        <v>65.494425730541138</v>
      </c>
    </row>
    <row r="20" spans="1:14">
      <c r="A20" s="145" t="s">
        <v>72</v>
      </c>
      <c r="B20" s="146">
        <v>2624911</v>
      </c>
      <c r="C20" s="147">
        <f>B20*100/B7</f>
        <v>88.069869118704432</v>
      </c>
      <c r="D20" s="147">
        <v>4.5</v>
      </c>
      <c r="E20" s="150">
        <f>100000*19220/B20</f>
        <v>732.21530177594593</v>
      </c>
      <c r="F20" s="151">
        <f>100000*1829/B20</f>
        <v>69.678552910936787</v>
      </c>
    </row>
    <row r="21" spans="1:14">
      <c r="A21" s="139" t="s">
        <v>73</v>
      </c>
      <c r="B21" s="140">
        <v>2631317</v>
      </c>
      <c r="C21" s="147">
        <f>B21*100/B7</f>
        <v>88.284800436975573</v>
      </c>
      <c r="D21" s="147">
        <f>100000*138/B21</f>
        <v>5.2445220397238339</v>
      </c>
      <c r="E21" s="150">
        <f>100000*18863/B21</f>
        <v>716.86535677761367</v>
      </c>
      <c r="F21" s="151">
        <f>100000*1667/B21</f>
        <v>63.352306088548055</v>
      </c>
    </row>
    <row r="22" spans="1:14">
      <c r="A22" s="145" t="s">
        <v>74</v>
      </c>
      <c r="B22" s="146">
        <v>2636249</v>
      </c>
      <c r="C22" s="147">
        <f>B22*100/B7</f>
        <v>88.450276750074735</v>
      </c>
      <c r="D22" s="142">
        <f>100000*121/B22</f>
        <v>4.5898547519600763</v>
      </c>
      <c r="E22" s="152">
        <f>100000*19750/B22</f>
        <v>749.17050703480584</v>
      </c>
      <c r="F22" s="153">
        <f>100000*1775/B22</f>
        <v>67.330513923381289</v>
      </c>
    </row>
    <row r="23" spans="1:14">
      <c r="A23" s="139" t="s">
        <v>76</v>
      </c>
      <c r="B23" s="140">
        <v>2643780</v>
      </c>
      <c r="C23" s="147">
        <f>B23*100/B7</f>
        <v>88.702953577720692</v>
      </c>
      <c r="D23" s="147">
        <f>100000*134/B23</f>
        <v>5.0685004047235394</v>
      </c>
      <c r="E23" s="150">
        <f>100000*19970/B23</f>
        <v>755.35785882335142</v>
      </c>
      <c r="F23" s="151">
        <f>100000*1645/B23</f>
        <v>62.221516162464347</v>
      </c>
      <c r="G23" s="69"/>
      <c r="H23" s="69"/>
      <c r="I23" s="69"/>
      <c r="J23" s="69"/>
      <c r="K23" s="69"/>
      <c r="L23" s="69"/>
      <c r="M23" s="69"/>
      <c r="N23" s="69"/>
    </row>
    <row r="24" spans="1:14">
      <c r="A24" s="145" t="s">
        <v>77</v>
      </c>
      <c r="B24" s="146">
        <v>2649758</v>
      </c>
      <c r="C24" s="147">
        <f>B24*100/B7</f>
        <v>88.903524826647455</v>
      </c>
      <c r="D24" s="147">
        <f>100000*139/B24</f>
        <v>5.2457620658188411</v>
      </c>
      <c r="E24" s="150">
        <f>100000*20120/B24</f>
        <v>759.31462420341779</v>
      </c>
      <c r="F24" s="151">
        <f>100000*1660/B24</f>
        <v>62.647230426325727</v>
      </c>
      <c r="G24" s="69"/>
      <c r="H24" s="69"/>
      <c r="I24" s="69"/>
      <c r="J24" s="69"/>
      <c r="K24" s="69"/>
      <c r="L24" s="69"/>
      <c r="M24" s="69"/>
      <c r="N24" s="69"/>
    </row>
    <row r="25" spans="1:14">
      <c r="A25" s="139" t="s">
        <v>78</v>
      </c>
      <c r="B25" s="140">
        <v>2646399</v>
      </c>
      <c r="C25" s="147">
        <f>B25*100/B7</f>
        <v>88.790825123545247</v>
      </c>
      <c r="D25" s="147">
        <f>100000*145/B25</f>
        <v>5.4791435456255844</v>
      </c>
      <c r="E25" s="150">
        <f>100000*19807/B25</f>
        <v>748.45100833245476</v>
      </c>
      <c r="F25" s="151">
        <f>100000*1636/B25</f>
        <v>61.819854073403143</v>
      </c>
      <c r="G25" s="69"/>
      <c r="H25" s="154"/>
      <c r="I25" s="154"/>
      <c r="J25" s="69"/>
      <c r="K25" s="69"/>
      <c r="L25" s="69"/>
      <c r="M25" s="69"/>
      <c r="N25" s="69"/>
    </row>
    <row r="26" spans="1:14">
      <c r="A26" s="145" t="s">
        <v>141</v>
      </c>
      <c r="B26" s="146">
        <v>2637434</v>
      </c>
      <c r="C26" s="147">
        <f>B26*100/B7</f>
        <v>88.490035353282863</v>
      </c>
      <c r="D26" s="147">
        <f>100000*148/B26</f>
        <v>5.6115148284279339</v>
      </c>
      <c r="E26" s="150">
        <f>100000*20524/B26</f>
        <v>778.18061039631698</v>
      </c>
      <c r="F26" s="151">
        <f>100000*1587/B26</f>
        <v>60.17212184266981</v>
      </c>
      <c r="G26" s="69"/>
      <c r="H26" s="69"/>
      <c r="I26" s="69"/>
      <c r="J26" s="69"/>
      <c r="K26" s="69"/>
      <c r="L26" s="69"/>
      <c r="M26" s="69"/>
      <c r="N26" s="69"/>
    </row>
    <row r="27" spans="1:14">
      <c r="A27" s="139" t="s">
        <v>80</v>
      </c>
      <c r="B27" s="140">
        <v>2623801</v>
      </c>
      <c r="C27" s="147">
        <f>B27*100/B7</f>
        <v>88.032626882787952</v>
      </c>
      <c r="D27" s="142">
        <f>100000*164/B27</f>
        <v>6.2504740260408465</v>
      </c>
      <c r="E27" s="152">
        <f>100000*19896/B27</f>
        <v>758.28921476895539</v>
      </c>
      <c r="F27" s="153">
        <f>100000*1584/B27</f>
        <v>60.37043205639452</v>
      </c>
      <c r="G27" s="69"/>
      <c r="H27" s="69"/>
      <c r="I27" s="69"/>
      <c r="J27" s="69"/>
      <c r="K27" s="69"/>
      <c r="L27" s="69"/>
      <c r="M27" s="69"/>
      <c r="N27" s="69"/>
    </row>
    <row r="28" spans="1:14">
      <c r="A28" s="145" t="s">
        <v>82</v>
      </c>
      <c r="B28" s="146">
        <v>2613199</v>
      </c>
      <c r="C28" s="147">
        <f>B28*100/B7</f>
        <v>87.676913202439735</v>
      </c>
      <c r="D28" s="147">
        <f>100000*147/B28</f>
        <v>5.6252891570829471</v>
      </c>
      <c r="E28" s="150">
        <f>100000*19590/B28</f>
        <v>749.65588154595196</v>
      </c>
      <c r="F28" s="151">
        <f>100000*1686/B28</f>
        <v>64.518622577155426</v>
      </c>
      <c r="G28" s="69"/>
      <c r="H28" s="69"/>
      <c r="I28" s="69"/>
      <c r="J28" s="69"/>
      <c r="K28" s="69"/>
      <c r="L28" s="69"/>
      <c r="M28" s="69"/>
      <c r="N28" s="69"/>
    </row>
    <row r="29" spans="1:14">
      <c r="A29" s="139" t="s">
        <v>83</v>
      </c>
      <c r="B29" s="140">
        <v>2603272</v>
      </c>
      <c r="C29" s="147">
        <f>B29*100/B7</f>
        <v>87.343846827716405</v>
      </c>
      <c r="D29" s="147">
        <f>100000*157/B29</f>
        <v>6.0308719181092103</v>
      </c>
      <c r="E29" s="150">
        <f>100000*20232/B29</f>
        <v>777.17580030054489</v>
      </c>
      <c r="F29" s="151">
        <f>100000*1707/B29</f>
        <v>65.57132716058868</v>
      </c>
      <c r="G29" s="69"/>
      <c r="H29" s="69"/>
      <c r="I29" s="69"/>
      <c r="J29" s="69"/>
      <c r="K29" s="69"/>
      <c r="L29" s="69"/>
      <c r="M29" s="69"/>
      <c r="N29" s="69"/>
    </row>
    <row r="30" spans="1:14">
      <c r="A30" s="145" t="s">
        <v>84</v>
      </c>
      <c r="B30" s="146">
        <v>2595584</v>
      </c>
      <c r="C30" s="147">
        <f>B30*100/B7</f>
        <v>87.085902404539922</v>
      </c>
      <c r="D30" s="147">
        <f>100000*167/B30</f>
        <v>6.4340048328237502</v>
      </c>
      <c r="E30" s="150">
        <f>100000*19840/B30</f>
        <v>764.37518492948027</v>
      </c>
      <c r="F30" s="151">
        <f>100000*1636/B30</f>
        <v>63.030131176644637</v>
      </c>
      <c r="G30" s="69"/>
      <c r="H30" s="69"/>
      <c r="I30" s="69"/>
      <c r="J30" s="69"/>
      <c r="K30" s="69"/>
      <c r="L30" s="69"/>
      <c r="M30" s="69"/>
      <c r="N30" s="69"/>
    </row>
    <row r="31" spans="1:14">
      <c r="A31" s="139" t="s">
        <v>85</v>
      </c>
      <c r="B31" s="140">
        <v>2590270</v>
      </c>
      <c r="C31" s="147">
        <f>B31*100/B7</f>
        <v>86.907609394035276</v>
      </c>
      <c r="D31" s="147">
        <f>100000*156/B31</f>
        <v>6.022538190999394</v>
      </c>
      <c r="E31" s="150">
        <f>100000*19748/B31</f>
        <v>762.39156535805148</v>
      </c>
      <c r="F31" s="151">
        <f>100000*1700/B31</f>
        <v>65.630223876275451</v>
      </c>
      <c r="G31" s="69"/>
      <c r="H31" s="69"/>
      <c r="I31" s="69"/>
      <c r="J31" s="69"/>
      <c r="K31" s="69"/>
      <c r="L31" s="69"/>
      <c r="M31" s="69"/>
      <c r="N31" s="69"/>
    </row>
    <row r="32" spans="1:14">
      <c r="A32" s="145" t="s">
        <v>86</v>
      </c>
      <c r="B32" s="146">
        <v>2602421</v>
      </c>
      <c r="C32" s="147">
        <f>B32*100/B7</f>
        <v>87.315294446847105</v>
      </c>
      <c r="D32" s="147">
        <f>100000*159/B32</f>
        <v>6.1096955488754512</v>
      </c>
      <c r="E32" s="150">
        <f>100000*20621/B32</f>
        <v>792.37755920352629</v>
      </c>
      <c r="F32" s="151">
        <f>100000*1767/B32</f>
        <v>67.898314684672471</v>
      </c>
      <c r="G32" s="69"/>
      <c r="H32" s="69"/>
      <c r="I32" s="69"/>
      <c r="J32" s="69"/>
      <c r="K32" s="69"/>
      <c r="L32" s="69"/>
      <c r="M32" s="69"/>
      <c r="N32" s="69"/>
    </row>
    <row r="33" spans="1:14">
      <c r="A33" s="139" t="s">
        <v>88</v>
      </c>
      <c r="B33" s="140">
        <v>2600058</v>
      </c>
      <c r="C33" s="147">
        <f>B33*100/B7</f>
        <v>87.236012101378066</v>
      </c>
      <c r="D33" s="147">
        <f>100000*122/B33</f>
        <v>4.6922030200864748</v>
      </c>
      <c r="E33" s="150">
        <f>100000*20667/B33</f>
        <v>794.86688373874733</v>
      </c>
      <c r="F33" s="151">
        <f>100000*1676/B33</f>
        <v>64.460100505450256</v>
      </c>
      <c r="G33" s="69"/>
      <c r="H33" s="154"/>
      <c r="I33" s="154"/>
      <c r="J33" s="69"/>
      <c r="K33" s="69"/>
      <c r="L33" s="69"/>
      <c r="M33" s="69"/>
      <c r="N33" s="69"/>
    </row>
    <row r="34" spans="1:14">
      <c r="A34" s="145" t="s">
        <v>89</v>
      </c>
      <c r="B34" s="146">
        <v>2596502</v>
      </c>
      <c r="C34" s="147">
        <f>B34*100/B7</f>
        <v>87.11670274018978</v>
      </c>
      <c r="D34" s="147">
        <f>100000*132/B34</f>
        <v>5.0837626930385573</v>
      </c>
      <c r="E34" s="150">
        <f>100000*19764/B34</f>
        <v>761.17792322131857</v>
      </c>
      <c r="F34" s="151">
        <f>100000*1491/B34</f>
        <v>57.423410419094616</v>
      </c>
      <c r="G34" s="69"/>
      <c r="H34" s="69"/>
      <c r="I34" s="69"/>
      <c r="J34" s="69"/>
      <c r="K34" s="69"/>
      <c r="L34" s="69"/>
      <c r="M34" s="69"/>
      <c r="N34" s="69"/>
    </row>
    <row r="35" spans="1:14">
      <c r="A35" s="139" t="s">
        <v>90</v>
      </c>
      <c r="B35" s="140">
        <v>2596276</v>
      </c>
      <c r="C35" s="147">
        <f>B35*100/B7</f>
        <v>87.10912008675092</v>
      </c>
      <c r="D35" s="147">
        <f>100000*129/B35</f>
        <v>4.9686551044650109</v>
      </c>
      <c r="E35" s="150">
        <f>100000*20434/B35</f>
        <v>787.05037522975215</v>
      </c>
      <c r="F35" s="151">
        <f>100000*1617/B35</f>
        <v>62.281513983875364</v>
      </c>
      <c r="G35" s="69"/>
      <c r="H35" s="69"/>
      <c r="I35" s="69"/>
      <c r="J35" s="69"/>
      <c r="K35" s="69"/>
      <c r="L35" s="69"/>
      <c r="M35" s="69"/>
      <c r="N35" s="69"/>
    </row>
    <row r="36" spans="1:14">
      <c r="A36" s="145" t="s">
        <v>91</v>
      </c>
      <c r="B36" s="146">
        <v>2595155</v>
      </c>
      <c r="C36" s="147">
        <f>B36*100/B7</f>
        <v>87.071508783631671</v>
      </c>
      <c r="D36" s="147">
        <f>100000*117/B36</f>
        <v>4.5084012322963369</v>
      </c>
      <c r="E36" s="150">
        <f>100000*21146/B36</f>
        <v>814.82608938579779</v>
      </c>
      <c r="F36" s="151">
        <f>100000*1550/B36</f>
        <v>59.726682991960018</v>
      </c>
      <c r="G36" s="69"/>
      <c r="H36" s="69"/>
      <c r="I36" s="69"/>
      <c r="J36" s="69"/>
      <c r="K36" s="69"/>
      <c r="L36" s="69"/>
      <c r="M36" s="69"/>
      <c r="N36" s="69"/>
    </row>
    <row r="37" spans="1:14">
      <c r="A37" s="139" t="s">
        <v>92</v>
      </c>
      <c r="B37" s="140">
        <v>2598774</v>
      </c>
      <c r="C37" s="147">
        <f>B37*100/B7</f>
        <v>87.192931893344948</v>
      </c>
      <c r="D37" s="142">
        <f>100000*100/B37</f>
        <v>3.8479683112113636</v>
      </c>
      <c r="E37" s="152">
        <f>100000*23167/B37</f>
        <v>891.45881865833655</v>
      </c>
      <c r="F37" s="153">
        <f>100000*1630/B37</f>
        <v>62.721883472745226</v>
      </c>
      <c r="G37" s="69"/>
      <c r="H37" s="69"/>
      <c r="I37" s="69"/>
      <c r="J37" s="69"/>
      <c r="K37" s="69"/>
      <c r="L37" s="69"/>
      <c r="M37" s="69"/>
      <c r="N37" s="69"/>
    </row>
    <row r="38" spans="1:14">
      <c r="A38" s="145" t="s">
        <v>94</v>
      </c>
      <c r="B38" s="146">
        <v>2607059</v>
      </c>
      <c r="C38" s="147">
        <f>B38*100/B7</f>
        <v>87.470906600162991</v>
      </c>
      <c r="D38" s="147">
        <f>100000*101/B38</f>
        <v>3.8740972106883658</v>
      </c>
      <c r="E38" s="150">
        <f>100000*23349/B38</f>
        <v>895.60688883527382</v>
      </c>
      <c r="F38" s="151">
        <f>100000*1735/B38</f>
        <v>66.550085747963507</v>
      </c>
      <c r="G38" s="69"/>
      <c r="H38" s="69"/>
      <c r="I38" s="69"/>
      <c r="J38" s="69"/>
      <c r="K38" s="69"/>
      <c r="L38" s="69"/>
      <c r="M38" s="69"/>
      <c r="N38" s="69"/>
    </row>
    <row r="39" spans="1:14">
      <c r="A39" s="139" t="s">
        <v>95</v>
      </c>
      <c r="B39" s="140">
        <v>2614875</v>
      </c>
      <c r="C39" s="147">
        <f>B39*100/B7</f>
        <v>87.733145623517231</v>
      </c>
      <c r="D39" s="147">
        <f>100000*107/B39</f>
        <v>4.0919738037191067</v>
      </c>
      <c r="E39" s="150">
        <f>100000*23424/B39</f>
        <v>895.79807830202208</v>
      </c>
      <c r="F39" s="151">
        <f>100000*1699/B39</f>
        <v>64.97442516372675</v>
      </c>
      <c r="G39" s="69"/>
      <c r="H39" s="69"/>
      <c r="I39" s="69"/>
      <c r="J39" s="69"/>
      <c r="K39" s="69"/>
      <c r="L39" s="69"/>
      <c r="M39" s="69"/>
      <c r="N39" s="69"/>
    </row>
    <row r="40" spans="1:14">
      <c r="A40" s="145" t="s">
        <v>96</v>
      </c>
      <c r="B40" s="146">
        <v>2619955</v>
      </c>
      <c r="C40" s="147">
        <f>B40*100/B7</f>
        <v>87.903587568071927</v>
      </c>
      <c r="D40" s="147">
        <f>100000*86/B40</f>
        <v>3.2824991268934007</v>
      </c>
      <c r="E40" s="150">
        <f>100000*24161/B40</f>
        <v>922.19141168455178</v>
      </c>
      <c r="F40" s="151">
        <f>100000*1700/B40</f>
        <v>64.886610647892809</v>
      </c>
      <c r="G40" s="69"/>
      <c r="H40" s="154"/>
      <c r="I40" s="154"/>
      <c r="J40" s="69"/>
      <c r="K40" s="69"/>
      <c r="L40" s="69"/>
      <c r="M40" s="69"/>
      <c r="N40" s="69"/>
    </row>
    <row r="41" spans="1:14">
      <c r="A41" s="139" t="s">
        <v>97</v>
      </c>
      <c r="B41" s="155">
        <v>2624775</v>
      </c>
      <c r="C41" s="156">
        <f>B41*100/B7</f>
        <v>88.065306106015555</v>
      </c>
      <c r="D41" s="147">
        <f>100000*91/B41</f>
        <v>3.4669638349953806</v>
      </c>
      <c r="E41" s="150">
        <f>100000*24183/B41</f>
        <v>921.33611452410207</v>
      </c>
      <c r="F41" s="151">
        <f>100000*1525/B41</f>
        <v>58.100218113933572</v>
      </c>
      <c r="G41" s="69"/>
      <c r="H41" s="69"/>
      <c r="I41" s="69"/>
      <c r="J41" s="69"/>
      <c r="K41" s="69"/>
      <c r="L41" s="69"/>
      <c r="M41" s="69"/>
      <c r="N41" s="69"/>
    </row>
    <row r="42" spans="1:14">
      <c r="A42" s="145" t="s">
        <v>98</v>
      </c>
      <c r="B42" s="155">
        <v>2628811</v>
      </c>
      <c r="C42" s="147">
        <f>B42*100/B7</f>
        <v>88.20072021787044</v>
      </c>
      <c r="D42" s="147">
        <f>100000*80/B42</f>
        <v>3.043200899570186</v>
      </c>
      <c r="E42" s="157">
        <f>100000*23353/B42</f>
        <v>888.34838259578191</v>
      </c>
      <c r="F42" s="158">
        <f>100000*1542/B42</f>
        <v>58.657697339215332</v>
      </c>
      <c r="G42" s="69"/>
      <c r="H42" s="69"/>
      <c r="I42" s="69"/>
      <c r="J42" s="69"/>
      <c r="K42" s="69"/>
      <c r="L42" s="69"/>
      <c r="M42" s="69"/>
      <c r="N42" s="69"/>
    </row>
    <row r="43" spans="1:14">
      <c r="A43" s="159" t="s">
        <v>100</v>
      </c>
      <c r="B43" s="155">
        <v>2634944</v>
      </c>
      <c r="C43" s="147">
        <f>B43*100/B7</f>
        <v>88.406491959199954</v>
      </c>
      <c r="D43" s="147">
        <f>100000*75/B43</f>
        <v>2.8463603021544293</v>
      </c>
      <c r="E43" s="157">
        <f>100000*22100/B43</f>
        <v>838.72750236817183</v>
      </c>
      <c r="F43" s="158">
        <f>100000*1454/B43</f>
        <v>55.181438391100535</v>
      </c>
      <c r="G43" s="69"/>
      <c r="H43" s="69"/>
      <c r="I43" s="69"/>
      <c r="J43" s="69"/>
      <c r="K43" s="69"/>
      <c r="L43" s="69"/>
      <c r="M43" s="69"/>
      <c r="N43" s="69"/>
    </row>
    <row r="44" spans="1:14">
      <c r="A44" s="159" t="s">
        <v>101</v>
      </c>
      <c r="B44" s="155">
        <v>2642854</v>
      </c>
      <c r="C44" s="147">
        <f>B44*100/B7</f>
        <v>88.67188482955973</v>
      </c>
      <c r="D44" s="147">
        <f>100000*73/B44</f>
        <v>2.7621654468994503</v>
      </c>
      <c r="E44" s="157">
        <f>100000*20318/B44</f>
        <v>768.79010342606898</v>
      </c>
      <c r="F44" s="158">
        <f>100000*1535/B44</f>
        <v>58.081150150556937</v>
      </c>
      <c r="G44" s="69"/>
      <c r="H44" s="69"/>
      <c r="I44" s="69"/>
      <c r="J44" s="69"/>
      <c r="K44" s="69"/>
      <c r="L44" s="69"/>
      <c r="M44" s="69"/>
      <c r="N44" s="69"/>
    </row>
    <row r="45" spans="1:14">
      <c r="A45" s="159" t="s">
        <v>102</v>
      </c>
      <c r="B45" s="155">
        <v>2650670</v>
      </c>
      <c r="C45" s="147">
        <f>B45*100/B7</f>
        <v>88.93412385291397</v>
      </c>
      <c r="D45" s="147">
        <f>100000*61/B45</f>
        <v>2.3013049530873326</v>
      </c>
      <c r="E45" s="157">
        <f>100000*18741/B45</f>
        <v>707.02878894770004</v>
      </c>
      <c r="F45" s="158">
        <f>100000*1241/B45</f>
        <v>46.818351586579993</v>
      </c>
      <c r="G45" s="69"/>
      <c r="H45" s="69"/>
      <c r="I45" s="69"/>
      <c r="J45" s="69"/>
      <c r="K45" s="69"/>
      <c r="L45" s="69"/>
      <c r="M45" s="69"/>
      <c r="N45" s="69"/>
    </row>
    <row r="46" spans="1:14">
      <c r="A46" s="159" t="s">
        <v>103</v>
      </c>
      <c r="B46" s="155">
        <v>2659796</v>
      </c>
      <c r="C46" s="147">
        <f>B46*100/B7</f>
        <v>89.240315424962432</v>
      </c>
      <c r="D46" s="147">
        <f>100000*64/B46</f>
        <v>2.4061995732003507</v>
      </c>
      <c r="E46" s="157">
        <f>100000*18280/B46</f>
        <v>687.27075309535019</v>
      </c>
      <c r="F46" s="158">
        <f>100000*1094/B46</f>
        <v>41.130973954393497</v>
      </c>
    </row>
    <row r="47" spans="1:14">
      <c r="A47" s="159" t="s">
        <v>104</v>
      </c>
      <c r="B47" s="155">
        <v>2665314</v>
      </c>
      <c r="C47" s="147">
        <f>B47*100/B7</f>
        <v>89.425452954500386</v>
      </c>
      <c r="D47" s="147">
        <f>100000*62/B47</f>
        <v>2.3261799547820634</v>
      </c>
      <c r="E47" s="157">
        <v>675.53360745965404</v>
      </c>
      <c r="F47" s="158">
        <f>100000*1066/B47</f>
        <v>39.995287609639988</v>
      </c>
    </row>
    <row r="48" spans="1:14">
      <c r="A48" s="159" t="s">
        <v>106</v>
      </c>
      <c r="B48" s="155">
        <v>2670579</v>
      </c>
      <c r="C48" s="147">
        <f>B48*100/B7</f>
        <v>89.602101938374503</v>
      </c>
      <c r="D48" s="147">
        <f>100000*65/B48</f>
        <v>2.4339291217372714</v>
      </c>
      <c r="E48" s="157">
        <v>647.1</v>
      </c>
      <c r="F48" s="158">
        <f>100000*1016/B48</f>
        <v>38.044184425924115</v>
      </c>
    </row>
    <row r="49" spans="1:6">
      <c r="A49" s="159" t="s">
        <v>107</v>
      </c>
      <c r="B49" s="155">
        <v>2677375</v>
      </c>
      <c r="C49" s="147">
        <f t="shared" ref="C49:C59" si="0">B49*100/$B$7</f>
        <v>89.830118366562246</v>
      </c>
      <c r="D49" s="147">
        <f>100000*51/B49</f>
        <v>1.9048508333722396</v>
      </c>
      <c r="E49" s="157">
        <v>631.20000000000005</v>
      </c>
      <c r="F49" s="158">
        <f>100000*907/B49</f>
        <v>33.876464820953359</v>
      </c>
    </row>
    <row r="50" spans="1:6">
      <c r="A50" s="159" t="s">
        <v>108</v>
      </c>
      <c r="B50" s="160">
        <v>2683487</v>
      </c>
      <c r="C50" s="147">
        <f t="shared" si="0"/>
        <v>90.035185525050096</v>
      </c>
      <c r="D50" s="147">
        <f>100000*49/B50</f>
        <v>1.8259823878408952</v>
      </c>
      <c r="E50" s="157">
        <v>611.79999999999995</v>
      </c>
      <c r="F50" s="158">
        <f>100000*892/B50</f>
        <v>33.240332448042416</v>
      </c>
    </row>
    <row r="51" spans="1:6">
      <c r="A51" s="159" t="s">
        <v>109</v>
      </c>
      <c r="B51" s="160">
        <v>2686246</v>
      </c>
      <c r="C51" s="147">
        <f t="shared" si="0"/>
        <v>90.12775428981908</v>
      </c>
      <c r="D51" s="147">
        <f>100000*51/B51</f>
        <v>1.8985602956691234</v>
      </c>
      <c r="E51" s="157">
        <f>100000*15221/B51</f>
        <v>566.6271815760731</v>
      </c>
      <c r="F51" s="158">
        <f>100000*793/B51</f>
        <v>29.520751264031663</v>
      </c>
    </row>
    <row r="52" spans="1:6">
      <c r="A52" s="159" t="s">
        <v>110</v>
      </c>
      <c r="B52" s="161">
        <v>2691185</v>
      </c>
      <c r="C52" s="147">
        <f t="shared" si="0"/>
        <v>90.293465463865473</v>
      </c>
      <c r="D52" s="147">
        <f>100000*51/B52</f>
        <v>1.8950759609614352</v>
      </c>
      <c r="E52" s="157">
        <f>100000*14867/B52</f>
        <v>552.43322179634617</v>
      </c>
      <c r="F52" s="158">
        <f>100000*851/B52</f>
        <v>31.621757701532967</v>
      </c>
    </row>
    <row r="53" spans="1:6">
      <c r="A53" s="159" t="s">
        <v>112</v>
      </c>
      <c r="B53" s="161">
        <v>2705961</v>
      </c>
      <c r="C53" s="147">
        <f t="shared" si="0"/>
        <v>90.7892233718852</v>
      </c>
      <c r="D53" s="147">
        <f>100000*49/B53</f>
        <v>1.8108169334295654</v>
      </c>
      <c r="E53" s="157">
        <f>100000*14231/B53</f>
        <v>525.91297509461515</v>
      </c>
      <c r="F53" s="158">
        <f>100000*935/B53</f>
        <v>34.553343525645786</v>
      </c>
    </row>
    <row r="54" spans="1:6">
      <c r="A54" s="159" t="s">
        <v>113</v>
      </c>
      <c r="B54" s="161">
        <v>2713157</v>
      </c>
      <c r="C54" s="147">
        <f>B54*100/$B$7</f>
        <v>91.030660425628426</v>
      </c>
      <c r="D54" s="147">
        <f>100000*44/B54</f>
        <v>1.6217270139545923</v>
      </c>
      <c r="E54" s="157">
        <f>100000*13398/B54</f>
        <v>493.81587574917336</v>
      </c>
      <c r="F54" s="158">
        <f>100000*908/B54</f>
        <v>33.466548378881136</v>
      </c>
    </row>
    <row r="55" spans="1:6">
      <c r="A55" s="159" t="s">
        <v>114</v>
      </c>
      <c r="B55" s="161">
        <v>2725006</v>
      </c>
      <c r="C55" s="147">
        <f t="shared" si="0"/>
        <v>91.428212906145873</v>
      </c>
      <c r="D55" s="147">
        <f>100000*44/B55</f>
        <v>1.6146753438341053</v>
      </c>
      <c r="E55" s="157">
        <f>100000*12723/B55</f>
        <v>466.89805453639366</v>
      </c>
      <c r="F55" s="158">
        <f>100000*1085/B55</f>
        <v>39.816426092272827</v>
      </c>
    </row>
    <row r="56" spans="1:6">
      <c r="A56" s="159" t="s">
        <v>115</v>
      </c>
      <c r="B56" s="161">
        <v>2740202</v>
      </c>
      <c r="C56" s="147">
        <f t="shared" si="0"/>
        <v>91.938062470998872</v>
      </c>
      <c r="D56" s="147">
        <f>100000*34/B56</f>
        <v>1.2407844385194959</v>
      </c>
      <c r="E56" s="157">
        <f>100000*11700/B56</f>
        <v>426.97582149053244</v>
      </c>
      <c r="F56" s="158">
        <f>100000*977/B56</f>
        <v>35.654305777457282</v>
      </c>
    </row>
    <row r="57" spans="1:6">
      <c r="A57" s="159" t="s">
        <v>142</v>
      </c>
      <c r="B57" s="161">
        <v>2750995</v>
      </c>
      <c r="C57" s="147">
        <f t="shared" si="0"/>
        <v>92.300184500049824</v>
      </c>
      <c r="D57" s="147">
        <f>100000*'[1]2ページ（年次推移）'!D58/B57</f>
        <v>1.3449679116101629</v>
      </c>
      <c r="E57" s="157">
        <f>100000*'[1]2ページ（年次推移）'!E58/B57</f>
        <v>345.07514553825069</v>
      </c>
      <c r="F57" s="158">
        <f>100000*878/B57</f>
        <v>31.915725037668189</v>
      </c>
    </row>
    <row r="58" spans="1:6">
      <c r="A58" s="159" t="s">
        <v>143</v>
      </c>
      <c r="B58" s="162">
        <v>2753165</v>
      </c>
      <c r="C58" s="156">
        <f t="shared" si="0"/>
        <v>92.372991393688352</v>
      </c>
      <c r="D58" s="163">
        <f>100000*'[1]2ページ（年次推移）'!D59/B58</f>
        <v>1.5618388291293839</v>
      </c>
      <c r="E58" s="164">
        <f>100000*'[1]2ページ（年次推移）'!E59/B58</f>
        <v>348.10844972967476</v>
      </c>
      <c r="F58" s="165">
        <f>100000*879/B58</f>
        <v>31.926891414063451</v>
      </c>
    </row>
    <row r="59" spans="1:6">
      <c r="A59" s="159" t="s">
        <v>119</v>
      </c>
      <c r="B59" s="161">
        <v>2756807</v>
      </c>
      <c r="C59" s="147">
        <f t="shared" si="0"/>
        <v>92.495186189371069</v>
      </c>
      <c r="D59" s="166">
        <f>100000*40/B59</f>
        <v>1.450953947809912</v>
      </c>
      <c r="E59" s="166">
        <f>100000*9278/B59</f>
        <v>336.54876819450908</v>
      </c>
      <c r="F59" s="165">
        <f>100000*894/B59</f>
        <v>32.428820733551532</v>
      </c>
    </row>
    <row r="60" spans="1:6" ht="19.5" customHeight="1" thickBot="1">
      <c r="A60" s="167"/>
      <c r="B60" s="1469" t="s">
        <v>144</v>
      </c>
      <c r="C60" s="1521"/>
      <c r="D60" s="1521"/>
      <c r="E60" s="1521"/>
      <c r="F60" s="1446"/>
    </row>
    <row r="61" spans="1:6">
      <c r="B61" s="2" t="s">
        <v>1006</v>
      </c>
      <c r="C61" s="168"/>
    </row>
  </sheetData>
  <mergeCells count="6">
    <mergeCell ref="B4:C4"/>
    <mergeCell ref="D4:F4"/>
    <mergeCell ref="B60:F60"/>
    <mergeCell ref="C5:C6"/>
    <mergeCell ref="D5:D6"/>
    <mergeCell ref="E5:E6"/>
  </mergeCells>
  <phoneticPr fontId="3"/>
  <printOptions horizontalCentered="1"/>
  <pageMargins left="0.98425196850393704" right="0.78740157480314965" top="0.98425196850393704" bottom="0.98425196850393704" header="0.51181102362204722" footer="0.51181102362204722"/>
  <pageSetup paperSize="9" scale="88" firstPageNumber="0" orientation="portrait" r:id="rId1"/>
  <headerFooter alignWithMargins="0">
    <oddFooter xml:space="preserve">&amp;C-4-
</oddFooter>
  </headerFooter>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view="pageBreakPreview" topLeftCell="A22" zoomScaleNormal="100" zoomScaleSheetLayoutView="100" workbookViewId="0">
      <selection activeCell="Q6" sqref="Q6:Q7"/>
    </sheetView>
  </sheetViews>
  <sheetFormatPr defaultRowHeight="14.25"/>
  <cols>
    <col min="1" max="1" width="2.875" style="2" customWidth="1"/>
    <col min="2" max="3" width="1.5" style="2" customWidth="1"/>
    <col min="4" max="4" width="9" style="2"/>
    <col min="5" max="16" width="6.625" style="2" customWidth="1"/>
    <col min="17" max="17" width="7.625" style="2" customWidth="1"/>
    <col min="18" max="16384" width="9" style="2"/>
  </cols>
  <sheetData>
    <row r="1" spans="1:33" s="170" customFormat="1" ht="21.75" customHeight="1">
      <c r="A1" s="169" t="s">
        <v>145</v>
      </c>
    </row>
    <row r="3" spans="1:33" ht="15">
      <c r="A3" s="70" t="s">
        <v>146</v>
      </c>
      <c r="B3" s="70"/>
      <c r="C3" s="70"/>
      <c r="D3" s="70"/>
      <c r="E3" s="70"/>
      <c r="F3" s="70"/>
      <c r="G3" s="70"/>
      <c r="H3" s="70"/>
      <c r="I3" s="70"/>
      <c r="J3" s="70"/>
      <c r="K3" s="70"/>
      <c r="L3" s="70"/>
      <c r="M3" s="70"/>
      <c r="N3" s="70"/>
      <c r="O3" s="70"/>
      <c r="P3" s="70"/>
      <c r="Q3" s="70"/>
    </row>
    <row r="4" spans="1:33">
      <c r="R4" s="171"/>
      <c r="S4" s="171"/>
      <c r="T4" s="171"/>
      <c r="U4" s="171"/>
      <c r="V4" s="171"/>
      <c r="W4" s="171"/>
      <c r="X4" s="171"/>
      <c r="Y4" s="171"/>
      <c r="Z4" s="171"/>
      <c r="AA4" s="171"/>
      <c r="AB4" s="171"/>
      <c r="AC4" s="171"/>
      <c r="AD4" s="171"/>
      <c r="AE4" s="172"/>
      <c r="AF4" s="172"/>
      <c r="AG4" s="172"/>
    </row>
    <row r="5" spans="1:33" ht="15" thickBot="1">
      <c r="A5" s="2" t="s">
        <v>147</v>
      </c>
      <c r="L5" s="1394" t="s">
        <v>983</v>
      </c>
      <c r="M5" s="1394"/>
      <c r="N5" s="1394"/>
      <c r="O5" s="1394"/>
      <c r="P5" s="1394"/>
      <c r="Q5" s="1394"/>
      <c r="R5" s="171"/>
      <c r="S5" s="171"/>
      <c r="T5" s="171"/>
      <c r="U5" s="171"/>
      <c r="V5" s="171"/>
      <c r="W5" s="171"/>
      <c r="X5" s="171"/>
      <c r="Y5" s="171"/>
      <c r="Z5" s="171"/>
      <c r="AA5" s="171"/>
      <c r="AB5" s="171"/>
      <c r="AC5" s="171"/>
      <c r="AD5" s="171"/>
      <c r="AE5" s="172"/>
      <c r="AF5" s="172"/>
      <c r="AG5" s="172"/>
    </row>
    <row r="6" spans="1:33">
      <c r="A6" s="173"/>
      <c r="B6" s="174"/>
      <c r="C6" s="174"/>
      <c r="D6" s="175" t="s">
        <v>148</v>
      </c>
      <c r="E6" s="1542">
        <v>1</v>
      </c>
      <c r="F6" s="1544">
        <v>2</v>
      </c>
      <c r="G6" s="1544">
        <v>3</v>
      </c>
      <c r="H6" s="1544">
        <v>4</v>
      </c>
      <c r="I6" s="1544">
        <v>5</v>
      </c>
      <c r="J6" s="1544">
        <v>6</v>
      </c>
      <c r="K6" s="1544">
        <v>7</v>
      </c>
      <c r="L6" s="1544">
        <v>8</v>
      </c>
      <c r="M6" s="1544">
        <v>9</v>
      </c>
      <c r="N6" s="1544">
        <v>10</v>
      </c>
      <c r="O6" s="1544">
        <v>11</v>
      </c>
      <c r="P6" s="1438">
        <v>12</v>
      </c>
      <c r="Q6" s="1546" t="s">
        <v>149</v>
      </c>
    </row>
    <row r="7" spans="1:33" ht="15" thickBot="1">
      <c r="A7" s="176" t="s">
        <v>150</v>
      </c>
      <c r="B7" s="177"/>
      <c r="C7" s="177"/>
      <c r="D7" s="177"/>
      <c r="E7" s="1543"/>
      <c r="F7" s="1545"/>
      <c r="G7" s="1545"/>
      <c r="H7" s="1545"/>
      <c r="I7" s="1545"/>
      <c r="J7" s="1545"/>
      <c r="K7" s="1545"/>
      <c r="L7" s="1545"/>
      <c r="M7" s="1545"/>
      <c r="N7" s="1545"/>
      <c r="O7" s="1545"/>
      <c r="P7" s="1439"/>
      <c r="Q7" s="1547"/>
    </row>
    <row r="8" spans="1:33" ht="24" customHeight="1">
      <c r="A8" s="1529" t="s">
        <v>151</v>
      </c>
      <c r="B8" s="1539" t="s">
        <v>152</v>
      </c>
      <c r="C8" s="1540"/>
      <c r="D8" s="1541"/>
      <c r="E8" s="385">
        <v>587</v>
      </c>
      <c r="F8" s="386">
        <v>534</v>
      </c>
      <c r="G8" s="386">
        <v>763</v>
      </c>
      <c r="H8" s="386">
        <v>653</v>
      </c>
      <c r="I8" s="386">
        <v>687</v>
      </c>
      <c r="J8" s="386">
        <v>658</v>
      </c>
      <c r="K8" s="386">
        <v>668</v>
      </c>
      <c r="L8" s="386">
        <v>672</v>
      </c>
      <c r="M8" s="386">
        <v>638</v>
      </c>
      <c r="N8" s="386">
        <v>747</v>
      </c>
      <c r="O8" s="386">
        <v>710</v>
      </c>
      <c r="P8" s="387">
        <v>789</v>
      </c>
      <c r="Q8" s="178">
        <f t="shared" ref="Q8:Q20" si="0">SUM(E8:P8)</f>
        <v>8106</v>
      </c>
      <c r="S8" s="179"/>
    </row>
    <row r="9" spans="1:33" ht="24" customHeight="1">
      <c r="A9" s="1530"/>
      <c r="B9" s="1524" t="s">
        <v>153</v>
      </c>
      <c r="C9" s="1535"/>
      <c r="D9" s="1536"/>
      <c r="E9" s="388">
        <v>0</v>
      </c>
      <c r="F9" s="389">
        <v>2</v>
      </c>
      <c r="G9" s="389">
        <v>3</v>
      </c>
      <c r="H9" s="389">
        <v>2</v>
      </c>
      <c r="I9" s="389">
        <v>2</v>
      </c>
      <c r="J9" s="389">
        <v>7</v>
      </c>
      <c r="K9" s="389">
        <v>3</v>
      </c>
      <c r="L9" s="389">
        <v>6</v>
      </c>
      <c r="M9" s="389">
        <v>2</v>
      </c>
      <c r="N9" s="389">
        <v>3</v>
      </c>
      <c r="O9" s="389">
        <v>6</v>
      </c>
      <c r="P9" s="390">
        <v>4</v>
      </c>
      <c r="Q9" s="180">
        <f t="shared" si="0"/>
        <v>40</v>
      </c>
      <c r="S9" s="179"/>
    </row>
    <row r="10" spans="1:33" ht="24" customHeight="1">
      <c r="A10" s="1530"/>
      <c r="B10" s="181"/>
      <c r="C10" s="1524" t="s">
        <v>154</v>
      </c>
      <c r="D10" s="1528"/>
      <c r="E10" s="391">
        <v>0</v>
      </c>
      <c r="F10" s="389">
        <v>0</v>
      </c>
      <c r="G10" s="389">
        <v>0</v>
      </c>
      <c r="H10" s="389">
        <v>0</v>
      </c>
      <c r="I10" s="389">
        <v>0</v>
      </c>
      <c r="J10" s="389">
        <v>0</v>
      </c>
      <c r="K10" s="389">
        <v>0</v>
      </c>
      <c r="L10" s="389">
        <v>1</v>
      </c>
      <c r="M10" s="389">
        <v>0</v>
      </c>
      <c r="N10" s="389">
        <v>0</v>
      </c>
      <c r="O10" s="389">
        <v>0</v>
      </c>
      <c r="P10" s="392">
        <v>0</v>
      </c>
      <c r="Q10" s="182">
        <f t="shared" si="0"/>
        <v>1</v>
      </c>
      <c r="S10" s="179"/>
    </row>
    <row r="11" spans="1:33" ht="24" customHeight="1">
      <c r="A11" s="1530"/>
      <c r="B11" s="183"/>
      <c r="C11" s="1537" t="s">
        <v>155</v>
      </c>
      <c r="D11" s="1538"/>
      <c r="E11" s="391">
        <v>0</v>
      </c>
      <c r="F11" s="389">
        <v>1</v>
      </c>
      <c r="G11" s="389">
        <v>0</v>
      </c>
      <c r="H11" s="389">
        <v>1</v>
      </c>
      <c r="I11" s="389">
        <v>2</v>
      </c>
      <c r="J11" s="389">
        <v>3</v>
      </c>
      <c r="K11" s="389">
        <v>1</v>
      </c>
      <c r="L11" s="389">
        <v>2</v>
      </c>
      <c r="M11" s="389">
        <v>2</v>
      </c>
      <c r="N11" s="389">
        <v>0</v>
      </c>
      <c r="O11" s="389">
        <v>2</v>
      </c>
      <c r="P11" s="392">
        <v>3</v>
      </c>
      <c r="Q11" s="180">
        <f t="shared" si="0"/>
        <v>17</v>
      </c>
    </row>
    <row r="12" spans="1:33" ht="24" customHeight="1">
      <c r="A12" s="1530"/>
      <c r="B12" s="1524" t="s">
        <v>156</v>
      </c>
      <c r="C12" s="1535"/>
      <c r="D12" s="1536"/>
      <c r="E12" s="388">
        <v>669</v>
      </c>
      <c r="F12" s="389">
        <v>602</v>
      </c>
      <c r="G12" s="389">
        <v>862</v>
      </c>
      <c r="H12" s="389">
        <v>750</v>
      </c>
      <c r="I12" s="389">
        <v>812</v>
      </c>
      <c r="J12" s="389">
        <v>747</v>
      </c>
      <c r="K12" s="389">
        <v>764</v>
      </c>
      <c r="L12" s="389">
        <v>775</v>
      </c>
      <c r="M12" s="389">
        <v>730</v>
      </c>
      <c r="N12" s="389">
        <v>853</v>
      </c>
      <c r="O12" s="389">
        <v>817</v>
      </c>
      <c r="P12" s="390">
        <v>897</v>
      </c>
      <c r="Q12" s="182">
        <f t="shared" si="0"/>
        <v>9278</v>
      </c>
    </row>
    <row r="13" spans="1:33" ht="24" customHeight="1">
      <c r="A13" s="1530"/>
      <c r="B13" s="181"/>
      <c r="C13" s="1524" t="s">
        <v>154</v>
      </c>
      <c r="D13" s="1528"/>
      <c r="E13" s="391">
        <v>24</v>
      </c>
      <c r="F13" s="389">
        <v>29</v>
      </c>
      <c r="G13" s="389">
        <v>37</v>
      </c>
      <c r="H13" s="389">
        <v>35</v>
      </c>
      <c r="I13" s="389">
        <v>32</v>
      </c>
      <c r="J13" s="389">
        <v>34</v>
      </c>
      <c r="K13" s="389">
        <v>35</v>
      </c>
      <c r="L13" s="389">
        <v>34</v>
      </c>
      <c r="M13" s="389">
        <v>28</v>
      </c>
      <c r="N13" s="389">
        <v>28</v>
      </c>
      <c r="O13" s="389">
        <v>35</v>
      </c>
      <c r="P13" s="392">
        <v>30</v>
      </c>
      <c r="Q13" s="180">
        <f t="shared" si="0"/>
        <v>381</v>
      </c>
    </row>
    <row r="14" spans="1:33" ht="24" customHeight="1">
      <c r="A14" s="1530"/>
      <c r="B14" s="181"/>
      <c r="C14" s="1537" t="s">
        <v>155</v>
      </c>
      <c r="D14" s="1538"/>
      <c r="E14" s="391">
        <v>95</v>
      </c>
      <c r="F14" s="389">
        <v>81</v>
      </c>
      <c r="G14" s="389">
        <v>113</v>
      </c>
      <c r="H14" s="389">
        <v>122</v>
      </c>
      <c r="I14" s="389">
        <v>104</v>
      </c>
      <c r="J14" s="389">
        <v>92</v>
      </c>
      <c r="K14" s="389">
        <v>99</v>
      </c>
      <c r="L14" s="389">
        <v>77</v>
      </c>
      <c r="M14" s="389">
        <v>96</v>
      </c>
      <c r="N14" s="389">
        <v>114</v>
      </c>
      <c r="O14" s="389">
        <v>100</v>
      </c>
      <c r="P14" s="392">
        <v>107</v>
      </c>
      <c r="Q14" s="180">
        <f>SUM(E14:P14)</f>
        <v>1200</v>
      </c>
    </row>
    <row r="15" spans="1:33" ht="24" customHeight="1">
      <c r="A15" s="1530"/>
      <c r="B15" s="184"/>
      <c r="C15" s="1524" t="s">
        <v>984</v>
      </c>
      <c r="D15" s="1525"/>
      <c r="E15" s="391">
        <v>69</v>
      </c>
      <c r="F15" s="389">
        <v>58</v>
      </c>
      <c r="G15" s="389">
        <v>73</v>
      </c>
      <c r="H15" s="389">
        <v>84</v>
      </c>
      <c r="I15" s="389">
        <v>71</v>
      </c>
      <c r="J15" s="389">
        <v>64</v>
      </c>
      <c r="K15" s="389">
        <v>60</v>
      </c>
      <c r="L15" s="389">
        <v>68</v>
      </c>
      <c r="M15" s="389">
        <v>82</v>
      </c>
      <c r="N15" s="389">
        <v>77</v>
      </c>
      <c r="O15" s="389">
        <v>92</v>
      </c>
      <c r="P15" s="392">
        <v>96</v>
      </c>
      <c r="Q15" s="180">
        <f t="shared" ref="Q15:Q17" si="1">SUM(E15:P15)</f>
        <v>894</v>
      </c>
    </row>
    <row r="16" spans="1:33" ht="24" customHeight="1">
      <c r="A16" s="1530"/>
      <c r="B16" s="184"/>
      <c r="C16" s="184"/>
      <c r="D16" s="185" t="s">
        <v>154</v>
      </c>
      <c r="E16" s="393">
        <v>0</v>
      </c>
      <c r="F16" s="394">
        <v>1</v>
      </c>
      <c r="G16" s="394">
        <v>1</v>
      </c>
      <c r="H16" s="394">
        <v>0</v>
      </c>
      <c r="I16" s="394">
        <v>1</v>
      </c>
      <c r="J16" s="394">
        <v>0</v>
      </c>
      <c r="K16" s="394">
        <v>1</v>
      </c>
      <c r="L16" s="394">
        <v>1</v>
      </c>
      <c r="M16" s="394">
        <v>1</v>
      </c>
      <c r="N16" s="394">
        <v>3</v>
      </c>
      <c r="O16" s="394">
        <v>2</v>
      </c>
      <c r="P16" s="395">
        <v>0</v>
      </c>
      <c r="Q16" s="182">
        <f t="shared" si="1"/>
        <v>11</v>
      </c>
    </row>
    <row r="17" spans="1:17" ht="24" customHeight="1" thickBot="1">
      <c r="A17" s="1531"/>
      <c r="B17" s="184"/>
      <c r="C17" s="186"/>
      <c r="D17" s="187" t="s">
        <v>155</v>
      </c>
      <c r="E17" s="396">
        <v>23</v>
      </c>
      <c r="F17" s="397">
        <v>20</v>
      </c>
      <c r="G17" s="397">
        <v>16</v>
      </c>
      <c r="H17" s="397">
        <v>33</v>
      </c>
      <c r="I17" s="397">
        <v>24</v>
      </c>
      <c r="J17" s="397">
        <v>23</v>
      </c>
      <c r="K17" s="397">
        <v>21</v>
      </c>
      <c r="L17" s="397">
        <v>17</v>
      </c>
      <c r="M17" s="397">
        <v>24</v>
      </c>
      <c r="N17" s="397">
        <v>23</v>
      </c>
      <c r="O17" s="397">
        <v>25</v>
      </c>
      <c r="P17" s="398">
        <v>28</v>
      </c>
      <c r="Q17" s="188">
        <f t="shared" si="1"/>
        <v>277</v>
      </c>
    </row>
    <row r="18" spans="1:17" ht="24" customHeight="1">
      <c r="A18" s="1529" t="s">
        <v>157</v>
      </c>
      <c r="B18" s="1539" t="s">
        <v>152</v>
      </c>
      <c r="C18" s="1540"/>
      <c r="D18" s="1541"/>
      <c r="E18" s="399">
        <f>E28-E8</f>
        <v>1325</v>
      </c>
      <c r="F18" s="400">
        <f t="shared" ref="F18:P18" si="2">F28-F8</f>
        <v>1197</v>
      </c>
      <c r="G18" s="400">
        <f t="shared" si="2"/>
        <v>1381</v>
      </c>
      <c r="H18" s="400">
        <f t="shared" si="2"/>
        <v>1375</v>
      </c>
      <c r="I18" s="400">
        <f t="shared" si="2"/>
        <v>1405</v>
      </c>
      <c r="J18" s="400">
        <f t="shared" si="2"/>
        <v>1541</v>
      </c>
      <c r="K18" s="400">
        <f t="shared" si="2"/>
        <v>1427</v>
      </c>
      <c r="L18" s="400">
        <f t="shared" si="2"/>
        <v>1448</v>
      </c>
      <c r="M18" s="400">
        <f t="shared" si="2"/>
        <v>1366</v>
      </c>
      <c r="N18" s="400">
        <f t="shared" si="2"/>
        <v>1637</v>
      </c>
      <c r="O18" s="400">
        <f t="shared" si="2"/>
        <v>1611</v>
      </c>
      <c r="P18" s="401">
        <f t="shared" si="2"/>
        <v>1690</v>
      </c>
      <c r="Q18" s="178">
        <f t="shared" si="0"/>
        <v>17403</v>
      </c>
    </row>
    <row r="19" spans="1:17" ht="24" customHeight="1">
      <c r="A19" s="1530"/>
      <c r="B19" s="1524" t="s">
        <v>153</v>
      </c>
      <c r="C19" s="1535"/>
      <c r="D19" s="1536"/>
      <c r="E19" s="391">
        <f t="shared" ref="E19:P27" si="3">E29-E9</f>
        <v>5</v>
      </c>
      <c r="F19" s="389">
        <f t="shared" si="3"/>
        <v>6</v>
      </c>
      <c r="G19" s="389">
        <f t="shared" si="3"/>
        <v>13</v>
      </c>
      <c r="H19" s="389">
        <f t="shared" si="3"/>
        <v>14</v>
      </c>
      <c r="I19" s="389">
        <f t="shared" si="3"/>
        <v>7</v>
      </c>
      <c r="J19" s="389">
        <f t="shared" si="3"/>
        <v>9</v>
      </c>
      <c r="K19" s="389">
        <f t="shared" si="3"/>
        <v>7</v>
      </c>
      <c r="L19" s="389">
        <f t="shared" si="3"/>
        <v>10</v>
      </c>
      <c r="M19" s="389">
        <f t="shared" si="3"/>
        <v>6</v>
      </c>
      <c r="N19" s="389">
        <f t="shared" si="3"/>
        <v>8</v>
      </c>
      <c r="O19" s="389">
        <f t="shared" si="3"/>
        <v>7</v>
      </c>
      <c r="P19" s="392">
        <f t="shared" si="3"/>
        <v>9</v>
      </c>
      <c r="Q19" s="180">
        <f t="shared" si="0"/>
        <v>101</v>
      </c>
    </row>
    <row r="20" spans="1:17" ht="24" customHeight="1">
      <c r="A20" s="1530"/>
      <c r="B20" s="181"/>
      <c r="C20" s="1537" t="s">
        <v>154</v>
      </c>
      <c r="D20" s="1538"/>
      <c r="E20" s="391">
        <f t="shared" si="3"/>
        <v>0</v>
      </c>
      <c r="F20" s="389">
        <f t="shared" si="3"/>
        <v>0</v>
      </c>
      <c r="G20" s="389">
        <f t="shared" si="3"/>
        <v>2</v>
      </c>
      <c r="H20" s="389">
        <f t="shared" si="3"/>
        <v>1</v>
      </c>
      <c r="I20" s="389">
        <f t="shared" si="3"/>
        <v>0</v>
      </c>
      <c r="J20" s="389">
        <f t="shared" si="3"/>
        <v>0</v>
      </c>
      <c r="K20" s="389">
        <f t="shared" si="3"/>
        <v>0</v>
      </c>
      <c r="L20" s="389">
        <f t="shared" si="3"/>
        <v>1</v>
      </c>
      <c r="M20" s="389">
        <f t="shared" si="3"/>
        <v>0</v>
      </c>
      <c r="N20" s="389">
        <f t="shared" si="3"/>
        <v>0</v>
      </c>
      <c r="O20" s="389">
        <f t="shared" si="3"/>
        <v>0</v>
      </c>
      <c r="P20" s="392">
        <f t="shared" si="3"/>
        <v>0</v>
      </c>
      <c r="Q20" s="182">
        <f t="shared" si="0"/>
        <v>4</v>
      </c>
    </row>
    <row r="21" spans="1:17" ht="24" customHeight="1">
      <c r="A21" s="1530"/>
      <c r="B21" s="183"/>
      <c r="C21" s="1537" t="s">
        <v>155</v>
      </c>
      <c r="D21" s="1538"/>
      <c r="E21" s="391">
        <f t="shared" si="3"/>
        <v>2</v>
      </c>
      <c r="F21" s="389">
        <f t="shared" si="3"/>
        <v>2</v>
      </c>
      <c r="G21" s="389">
        <f t="shared" si="3"/>
        <v>5</v>
      </c>
      <c r="H21" s="389">
        <f t="shared" si="3"/>
        <v>5</v>
      </c>
      <c r="I21" s="389">
        <f t="shared" si="3"/>
        <v>3</v>
      </c>
      <c r="J21" s="389">
        <f t="shared" si="3"/>
        <v>3</v>
      </c>
      <c r="K21" s="389">
        <f t="shared" si="3"/>
        <v>1</v>
      </c>
      <c r="L21" s="389">
        <f t="shared" si="3"/>
        <v>4</v>
      </c>
      <c r="M21" s="389">
        <f t="shared" si="3"/>
        <v>3</v>
      </c>
      <c r="N21" s="389">
        <f t="shared" si="3"/>
        <v>6</v>
      </c>
      <c r="O21" s="389">
        <f t="shared" si="3"/>
        <v>3</v>
      </c>
      <c r="P21" s="392">
        <f t="shared" si="3"/>
        <v>3</v>
      </c>
      <c r="Q21" s="180">
        <f t="shared" ref="Q21:Q31" si="4">SUM(E21:P21)</f>
        <v>40</v>
      </c>
    </row>
    <row r="22" spans="1:17" ht="24" customHeight="1">
      <c r="A22" s="1530"/>
      <c r="B22" s="1524" t="s">
        <v>156</v>
      </c>
      <c r="C22" s="1535"/>
      <c r="D22" s="1536"/>
      <c r="E22" s="391">
        <f t="shared" si="3"/>
        <v>1546</v>
      </c>
      <c r="F22" s="389">
        <f t="shared" si="3"/>
        <v>1391</v>
      </c>
      <c r="G22" s="389">
        <f t="shared" si="3"/>
        <v>1601</v>
      </c>
      <c r="H22" s="389">
        <f t="shared" si="3"/>
        <v>1600</v>
      </c>
      <c r="I22" s="389">
        <f t="shared" si="3"/>
        <v>1664</v>
      </c>
      <c r="J22" s="389">
        <f t="shared" si="3"/>
        <v>1797</v>
      </c>
      <c r="K22" s="389">
        <f t="shared" si="3"/>
        <v>1675</v>
      </c>
      <c r="L22" s="389">
        <f t="shared" si="3"/>
        <v>1714</v>
      </c>
      <c r="M22" s="389">
        <f t="shared" si="3"/>
        <v>1609</v>
      </c>
      <c r="N22" s="389">
        <f t="shared" si="3"/>
        <v>1948</v>
      </c>
      <c r="O22" s="389">
        <f t="shared" si="3"/>
        <v>1955</v>
      </c>
      <c r="P22" s="402">
        <f t="shared" si="3"/>
        <v>1982</v>
      </c>
      <c r="Q22" s="182">
        <f t="shared" si="4"/>
        <v>20482</v>
      </c>
    </row>
    <row r="23" spans="1:17" ht="24" customHeight="1">
      <c r="A23" s="1530"/>
      <c r="B23" s="181"/>
      <c r="C23" s="1537" t="s">
        <v>154</v>
      </c>
      <c r="D23" s="1538"/>
      <c r="E23" s="391">
        <f t="shared" si="3"/>
        <v>61</v>
      </c>
      <c r="F23" s="389">
        <f t="shared" si="3"/>
        <v>65</v>
      </c>
      <c r="G23" s="389">
        <f t="shared" si="3"/>
        <v>94</v>
      </c>
      <c r="H23" s="389">
        <f t="shared" si="3"/>
        <v>103</v>
      </c>
      <c r="I23" s="389">
        <f t="shared" si="3"/>
        <v>111</v>
      </c>
      <c r="J23" s="389">
        <f t="shared" si="3"/>
        <v>115</v>
      </c>
      <c r="K23" s="389">
        <f t="shared" si="3"/>
        <v>102</v>
      </c>
      <c r="L23" s="389">
        <f t="shared" si="3"/>
        <v>114</v>
      </c>
      <c r="M23" s="389">
        <f t="shared" si="3"/>
        <v>84</v>
      </c>
      <c r="N23" s="389">
        <f t="shared" si="3"/>
        <v>118</v>
      </c>
      <c r="O23" s="389">
        <f t="shared" si="3"/>
        <v>128</v>
      </c>
      <c r="P23" s="402">
        <f t="shared" si="3"/>
        <v>99</v>
      </c>
      <c r="Q23" s="180">
        <f t="shared" si="4"/>
        <v>1194</v>
      </c>
    </row>
    <row r="24" spans="1:17" ht="24" customHeight="1">
      <c r="A24" s="1530"/>
      <c r="B24" s="181"/>
      <c r="C24" s="1524" t="s">
        <v>155</v>
      </c>
      <c r="D24" s="1528"/>
      <c r="E24" s="403">
        <f t="shared" si="3"/>
        <v>249</v>
      </c>
      <c r="F24" s="404">
        <f t="shared" si="3"/>
        <v>227</v>
      </c>
      <c r="G24" s="404">
        <f t="shared" si="3"/>
        <v>230</v>
      </c>
      <c r="H24" s="404">
        <f t="shared" si="3"/>
        <v>228</v>
      </c>
      <c r="I24" s="404">
        <f t="shared" si="3"/>
        <v>211</v>
      </c>
      <c r="J24" s="404">
        <f t="shared" si="3"/>
        <v>255</v>
      </c>
      <c r="K24" s="404">
        <f t="shared" si="3"/>
        <v>241</v>
      </c>
      <c r="L24" s="404">
        <f t="shared" si="3"/>
        <v>267</v>
      </c>
      <c r="M24" s="404">
        <f t="shared" si="3"/>
        <v>222</v>
      </c>
      <c r="N24" s="404">
        <f t="shared" si="3"/>
        <v>271</v>
      </c>
      <c r="O24" s="404">
        <f t="shared" si="3"/>
        <v>299</v>
      </c>
      <c r="P24" s="405">
        <f t="shared" si="3"/>
        <v>296</v>
      </c>
      <c r="Q24" s="189">
        <f t="shared" si="4"/>
        <v>2996</v>
      </c>
    </row>
    <row r="25" spans="1:17" ht="24" customHeight="1">
      <c r="A25" s="1530"/>
      <c r="B25" s="181"/>
      <c r="C25" s="1524" t="s">
        <v>984</v>
      </c>
      <c r="D25" s="1525"/>
      <c r="E25" s="391">
        <f t="shared" si="3"/>
        <v>154</v>
      </c>
      <c r="F25" s="389">
        <f t="shared" si="3"/>
        <v>155</v>
      </c>
      <c r="G25" s="389">
        <f t="shared" si="3"/>
        <v>168</v>
      </c>
      <c r="H25" s="389">
        <f t="shared" si="3"/>
        <v>154</v>
      </c>
      <c r="I25" s="389">
        <f t="shared" si="3"/>
        <v>142</v>
      </c>
      <c r="J25" s="389">
        <f t="shared" si="3"/>
        <v>149</v>
      </c>
      <c r="K25" s="389">
        <f t="shared" si="3"/>
        <v>151</v>
      </c>
      <c r="L25" s="389">
        <f t="shared" si="3"/>
        <v>170</v>
      </c>
      <c r="M25" s="389">
        <f t="shared" si="3"/>
        <v>151</v>
      </c>
      <c r="N25" s="389">
        <f t="shared" si="3"/>
        <v>170</v>
      </c>
      <c r="O25" s="389">
        <f t="shared" si="3"/>
        <v>167</v>
      </c>
      <c r="P25" s="392">
        <f t="shared" si="3"/>
        <v>183</v>
      </c>
      <c r="Q25" s="180">
        <f t="shared" si="4"/>
        <v>1914</v>
      </c>
    </row>
    <row r="26" spans="1:17" ht="24" customHeight="1">
      <c r="A26" s="1530"/>
      <c r="B26" s="184"/>
      <c r="C26" s="344"/>
      <c r="D26" s="185" t="s">
        <v>154</v>
      </c>
      <c r="E26" s="393">
        <f t="shared" si="3"/>
        <v>4</v>
      </c>
      <c r="F26" s="394">
        <f t="shared" si="3"/>
        <v>6</v>
      </c>
      <c r="G26" s="394">
        <f t="shared" si="3"/>
        <v>11</v>
      </c>
      <c r="H26" s="394">
        <f t="shared" si="3"/>
        <v>2</v>
      </c>
      <c r="I26" s="394">
        <f t="shared" si="3"/>
        <v>8</v>
      </c>
      <c r="J26" s="394">
        <f t="shared" si="3"/>
        <v>10</v>
      </c>
      <c r="K26" s="394">
        <f t="shared" si="3"/>
        <v>4</v>
      </c>
      <c r="L26" s="394">
        <f t="shared" si="3"/>
        <v>9</v>
      </c>
      <c r="M26" s="394">
        <f t="shared" si="3"/>
        <v>3</v>
      </c>
      <c r="N26" s="394">
        <f t="shared" si="3"/>
        <v>5</v>
      </c>
      <c r="O26" s="394">
        <f t="shared" si="3"/>
        <v>8</v>
      </c>
      <c r="P26" s="395">
        <f t="shared" si="3"/>
        <v>6</v>
      </c>
      <c r="Q26" s="182">
        <f t="shared" si="4"/>
        <v>76</v>
      </c>
    </row>
    <row r="27" spans="1:17" ht="24" customHeight="1" thickBot="1">
      <c r="A27" s="1531"/>
      <c r="B27" s="186"/>
      <c r="C27" s="186"/>
      <c r="D27" s="187" t="s">
        <v>155</v>
      </c>
      <c r="E27" s="396">
        <f t="shared" si="3"/>
        <v>57</v>
      </c>
      <c r="F27" s="397">
        <f t="shared" si="3"/>
        <v>51</v>
      </c>
      <c r="G27" s="397">
        <f t="shared" si="3"/>
        <v>55</v>
      </c>
      <c r="H27" s="397">
        <f t="shared" si="3"/>
        <v>55</v>
      </c>
      <c r="I27" s="397">
        <f t="shared" si="3"/>
        <v>39</v>
      </c>
      <c r="J27" s="397">
        <f t="shared" si="3"/>
        <v>43</v>
      </c>
      <c r="K27" s="397">
        <f t="shared" si="3"/>
        <v>48</v>
      </c>
      <c r="L27" s="397">
        <f t="shared" si="3"/>
        <v>59</v>
      </c>
      <c r="M27" s="397">
        <f t="shared" si="3"/>
        <v>53</v>
      </c>
      <c r="N27" s="397">
        <f t="shared" si="3"/>
        <v>53</v>
      </c>
      <c r="O27" s="397">
        <f t="shared" si="3"/>
        <v>54</v>
      </c>
      <c r="P27" s="398">
        <f t="shared" si="3"/>
        <v>60</v>
      </c>
      <c r="Q27" s="188">
        <f t="shared" si="4"/>
        <v>627</v>
      </c>
    </row>
    <row r="28" spans="1:17" ht="24" customHeight="1">
      <c r="A28" s="1529" t="s">
        <v>158</v>
      </c>
      <c r="B28" s="1532" t="s">
        <v>152</v>
      </c>
      <c r="C28" s="1533"/>
      <c r="D28" s="1534"/>
      <c r="E28" s="406">
        <v>1912</v>
      </c>
      <c r="F28" s="407">
        <v>1731</v>
      </c>
      <c r="G28" s="407">
        <v>2144</v>
      </c>
      <c r="H28" s="407">
        <v>2028</v>
      </c>
      <c r="I28" s="407">
        <v>2092</v>
      </c>
      <c r="J28" s="407">
        <v>2199</v>
      </c>
      <c r="K28" s="407">
        <v>2095</v>
      </c>
      <c r="L28" s="407">
        <v>2120</v>
      </c>
      <c r="M28" s="407">
        <v>2004</v>
      </c>
      <c r="N28" s="407">
        <v>2384</v>
      </c>
      <c r="O28" s="407">
        <v>2321</v>
      </c>
      <c r="P28" s="408">
        <v>2479</v>
      </c>
      <c r="Q28" s="182">
        <f t="shared" si="4"/>
        <v>25509</v>
      </c>
    </row>
    <row r="29" spans="1:17" ht="24" customHeight="1">
      <c r="A29" s="1530"/>
      <c r="B29" s="1524" t="s">
        <v>153</v>
      </c>
      <c r="C29" s="1535"/>
      <c r="D29" s="1536"/>
      <c r="E29" s="391">
        <v>5</v>
      </c>
      <c r="F29" s="389">
        <v>8</v>
      </c>
      <c r="G29" s="389">
        <v>16</v>
      </c>
      <c r="H29" s="389">
        <v>16</v>
      </c>
      <c r="I29" s="389">
        <v>9</v>
      </c>
      <c r="J29" s="389">
        <v>16</v>
      </c>
      <c r="K29" s="389">
        <v>10</v>
      </c>
      <c r="L29" s="389">
        <v>16</v>
      </c>
      <c r="M29" s="389">
        <v>8</v>
      </c>
      <c r="N29" s="389">
        <v>11</v>
      </c>
      <c r="O29" s="389">
        <v>13</v>
      </c>
      <c r="P29" s="392">
        <v>13</v>
      </c>
      <c r="Q29" s="180">
        <f t="shared" si="4"/>
        <v>141</v>
      </c>
    </row>
    <row r="30" spans="1:17" ht="24" customHeight="1">
      <c r="A30" s="1530"/>
      <c r="B30" s="181"/>
      <c r="C30" s="1524" t="s">
        <v>154</v>
      </c>
      <c r="D30" s="1528"/>
      <c r="E30" s="391">
        <v>0</v>
      </c>
      <c r="F30" s="389">
        <v>0</v>
      </c>
      <c r="G30" s="389">
        <v>2</v>
      </c>
      <c r="H30" s="389">
        <v>1</v>
      </c>
      <c r="I30" s="389">
        <v>0</v>
      </c>
      <c r="J30" s="389">
        <v>0</v>
      </c>
      <c r="K30" s="389">
        <v>0</v>
      </c>
      <c r="L30" s="389">
        <v>2</v>
      </c>
      <c r="M30" s="389">
        <v>0</v>
      </c>
      <c r="N30" s="389">
        <v>0</v>
      </c>
      <c r="O30" s="389">
        <v>0</v>
      </c>
      <c r="P30" s="392">
        <v>0</v>
      </c>
      <c r="Q30" s="182">
        <f t="shared" si="4"/>
        <v>5</v>
      </c>
    </row>
    <row r="31" spans="1:17" ht="24" customHeight="1">
      <c r="A31" s="1530"/>
      <c r="B31" s="183"/>
      <c r="C31" s="1537" t="s">
        <v>155</v>
      </c>
      <c r="D31" s="1538"/>
      <c r="E31" s="391">
        <v>2</v>
      </c>
      <c r="F31" s="389">
        <v>3</v>
      </c>
      <c r="G31" s="389">
        <v>5</v>
      </c>
      <c r="H31" s="389">
        <v>6</v>
      </c>
      <c r="I31" s="389">
        <v>5</v>
      </c>
      <c r="J31" s="389">
        <v>6</v>
      </c>
      <c r="K31" s="389">
        <v>2</v>
      </c>
      <c r="L31" s="389">
        <v>6</v>
      </c>
      <c r="M31" s="389">
        <v>5</v>
      </c>
      <c r="N31" s="389">
        <v>6</v>
      </c>
      <c r="O31" s="389">
        <v>5</v>
      </c>
      <c r="P31" s="392">
        <v>6</v>
      </c>
      <c r="Q31" s="180">
        <f t="shared" si="4"/>
        <v>57</v>
      </c>
    </row>
    <row r="32" spans="1:17" ht="24" customHeight="1">
      <c r="A32" s="1530"/>
      <c r="B32" s="1524" t="s">
        <v>156</v>
      </c>
      <c r="C32" s="1535"/>
      <c r="D32" s="1536"/>
      <c r="E32" s="391">
        <v>2215</v>
      </c>
      <c r="F32" s="389">
        <v>1993</v>
      </c>
      <c r="G32" s="389">
        <v>2463</v>
      </c>
      <c r="H32" s="389">
        <v>2350</v>
      </c>
      <c r="I32" s="389">
        <v>2476</v>
      </c>
      <c r="J32" s="389">
        <v>2544</v>
      </c>
      <c r="K32" s="389">
        <v>2439</v>
      </c>
      <c r="L32" s="389">
        <v>2489</v>
      </c>
      <c r="M32" s="389">
        <v>2339</v>
      </c>
      <c r="N32" s="389">
        <v>2801</v>
      </c>
      <c r="O32" s="389">
        <v>2772</v>
      </c>
      <c r="P32" s="392">
        <v>2879</v>
      </c>
      <c r="Q32" s="182">
        <f>SUM(E32:P32)</f>
        <v>29760</v>
      </c>
    </row>
    <row r="33" spans="1:17" ht="24" customHeight="1">
      <c r="A33" s="1530"/>
      <c r="B33" s="181"/>
      <c r="C33" s="1524" t="s">
        <v>154</v>
      </c>
      <c r="D33" s="1528"/>
      <c r="E33" s="391">
        <v>85</v>
      </c>
      <c r="F33" s="389">
        <v>94</v>
      </c>
      <c r="G33" s="389">
        <v>131</v>
      </c>
      <c r="H33" s="389">
        <v>138</v>
      </c>
      <c r="I33" s="389">
        <v>143</v>
      </c>
      <c r="J33" s="389">
        <v>149</v>
      </c>
      <c r="K33" s="389">
        <v>137</v>
      </c>
      <c r="L33" s="389">
        <v>148</v>
      </c>
      <c r="M33" s="389">
        <v>112</v>
      </c>
      <c r="N33" s="389">
        <v>146</v>
      </c>
      <c r="O33" s="389">
        <v>163</v>
      </c>
      <c r="P33" s="392">
        <v>129</v>
      </c>
      <c r="Q33" s="180">
        <f>SUM(E33:P33)</f>
        <v>1575</v>
      </c>
    </row>
    <row r="34" spans="1:17" ht="24" customHeight="1">
      <c r="A34" s="1530"/>
      <c r="B34" s="181"/>
      <c r="C34" s="1524" t="s">
        <v>155</v>
      </c>
      <c r="D34" s="1528"/>
      <c r="E34" s="403">
        <v>344</v>
      </c>
      <c r="F34" s="404">
        <v>308</v>
      </c>
      <c r="G34" s="404">
        <v>343</v>
      </c>
      <c r="H34" s="404">
        <v>350</v>
      </c>
      <c r="I34" s="404">
        <v>315</v>
      </c>
      <c r="J34" s="404">
        <v>347</v>
      </c>
      <c r="K34" s="404">
        <v>340</v>
      </c>
      <c r="L34" s="404">
        <v>344</v>
      </c>
      <c r="M34" s="404">
        <v>318</v>
      </c>
      <c r="N34" s="404">
        <v>385</v>
      </c>
      <c r="O34" s="404">
        <v>399</v>
      </c>
      <c r="P34" s="409">
        <v>403</v>
      </c>
      <c r="Q34" s="182">
        <f>SUM(E34:P34)</f>
        <v>4196</v>
      </c>
    </row>
    <row r="35" spans="1:17" ht="24" customHeight="1">
      <c r="A35" s="1530"/>
      <c r="B35" s="181"/>
      <c r="C35" s="1524" t="s">
        <v>984</v>
      </c>
      <c r="D35" s="1525"/>
      <c r="E35" s="391">
        <v>223</v>
      </c>
      <c r="F35" s="389">
        <v>213</v>
      </c>
      <c r="G35" s="389">
        <v>241</v>
      </c>
      <c r="H35" s="389">
        <v>238</v>
      </c>
      <c r="I35" s="389">
        <v>213</v>
      </c>
      <c r="J35" s="389">
        <v>213</v>
      </c>
      <c r="K35" s="389">
        <v>211</v>
      </c>
      <c r="L35" s="389">
        <v>238</v>
      </c>
      <c r="M35" s="389">
        <v>233</v>
      </c>
      <c r="N35" s="389">
        <v>247</v>
      </c>
      <c r="O35" s="389">
        <v>259</v>
      </c>
      <c r="P35" s="392">
        <v>279</v>
      </c>
      <c r="Q35" s="180">
        <f t="shared" ref="Q35:Q37" si="5">SUM(E35:P35)</f>
        <v>2808</v>
      </c>
    </row>
    <row r="36" spans="1:17" ht="24" customHeight="1">
      <c r="A36" s="1530"/>
      <c r="B36" s="184"/>
      <c r="C36" s="184"/>
      <c r="D36" s="185" t="s">
        <v>154</v>
      </c>
      <c r="E36" s="393">
        <v>4</v>
      </c>
      <c r="F36" s="394">
        <v>7</v>
      </c>
      <c r="G36" s="394">
        <v>12</v>
      </c>
      <c r="H36" s="394">
        <v>2</v>
      </c>
      <c r="I36" s="394">
        <v>9</v>
      </c>
      <c r="J36" s="394">
        <v>10</v>
      </c>
      <c r="K36" s="394">
        <v>5</v>
      </c>
      <c r="L36" s="394">
        <v>10</v>
      </c>
      <c r="M36" s="394">
        <v>4</v>
      </c>
      <c r="N36" s="394">
        <v>8</v>
      </c>
      <c r="O36" s="394">
        <v>10</v>
      </c>
      <c r="P36" s="395">
        <v>6</v>
      </c>
      <c r="Q36" s="182">
        <f t="shared" si="5"/>
        <v>87</v>
      </c>
    </row>
    <row r="37" spans="1:17" ht="24" customHeight="1" thickBot="1">
      <c r="A37" s="1531"/>
      <c r="B37" s="186"/>
      <c r="C37" s="186"/>
      <c r="D37" s="187" t="s">
        <v>155</v>
      </c>
      <c r="E37" s="396">
        <v>80</v>
      </c>
      <c r="F37" s="397">
        <v>71</v>
      </c>
      <c r="G37" s="397">
        <v>71</v>
      </c>
      <c r="H37" s="397">
        <v>88</v>
      </c>
      <c r="I37" s="397">
        <v>63</v>
      </c>
      <c r="J37" s="397">
        <v>66</v>
      </c>
      <c r="K37" s="397">
        <v>69</v>
      </c>
      <c r="L37" s="397">
        <v>76</v>
      </c>
      <c r="M37" s="397">
        <v>77</v>
      </c>
      <c r="N37" s="397">
        <v>76</v>
      </c>
      <c r="O37" s="397">
        <v>79</v>
      </c>
      <c r="P37" s="398">
        <v>88</v>
      </c>
      <c r="Q37" s="188">
        <f t="shared" si="5"/>
        <v>904</v>
      </c>
    </row>
    <row r="38" spans="1:17">
      <c r="A38" s="1526" t="s">
        <v>159</v>
      </c>
      <c r="B38" s="1526"/>
      <c r="C38" s="191"/>
      <c r="D38" s="43" t="s">
        <v>160</v>
      </c>
      <c r="E38" s="172"/>
      <c r="F38" s="172"/>
      <c r="G38" s="172"/>
      <c r="H38" s="172"/>
      <c r="I38" s="172"/>
    </row>
    <row r="39" spans="1:17">
      <c r="A39" s="172"/>
      <c r="B39" s="172"/>
      <c r="C39" s="172"/>
      <c r="D39" s="1527" t="s">
        <v>161</v>
      </c>
      <c r="E39" s="1527"/>
      <c r="F39" s="1527"/>
      <c r="G39" s="1527"/>
      <c r="H39" s="1527"/>
      <c r="I39" s="1527"/>
    </row>
  </sheetData>
  <mergeCells count="43">
    <mergeCell ref="L5:Q5"/>
    <mergeCell ref="E6:E7"/>
    <mergeCell ref="F6:F7"/>
    <mergeCell ref="G6:G7"/>
    <mergeCell ref="H6:H7"/>
    <mergeCell ref="I6:I7"/>
    <mergeCell ref="J6:J7"/>
    <mergeCell ref="K6:K7"/>
    <mergeCell ref="L6:L7"/>
    <mergeCell ref="M6:M7"/>
    <mergeCell ref="N6:N7"/>
    <mergeCell ref="O6:O7"/>
    <mergeCell ref="P6:P7"/>
    <mergeCell ref="Q6:Q7"/>
    <mergeCell ref="C20:D20"/>
    <mergeCell ref="C21:D21"/>
    <mergeCell ref="B22:D22"/>
    <mergeCell ref="C23:D23"/>
    <mergeCell ref="A8:A17"/>
    <mergeCell ref="B8:D8"/>
    <mergeCell ref="B9:D9"/>
    <mergeCell ref="C10:D10"/>
    <mergeCell ref="C11:D11"/>
    <mergeCell ref="B12:D12"/>
    <mergeCell ref="C13:D13"/>
    <mergeCell ref="C14:D14"/>
    <mergeCell ref="C15:D15"/>
    <mergeCell ref="C35:D35"/>
    <mergeCell ref="A38:B38"/>
    <mergeCell ref="D39:I39"/>
    <mergeCell ref="C24:D24"/>
    <mergeCell ref="C25:D25"/>
    <mergeCell ref="A28:A37"/>
    <mergeCell ref="B28:D28"/>
    <mergeCell ref="B29:D29"/>
    <mergeCell ref="C30:D30"/>
    <mergeCell ref="C31:D31"/>
    <mergeCell ref="B32:D32"/>
    <mergeCell ref="C33:D33"/>
    <mergeCell ref="C34:D34"/>
    <mergeCell ref="A18:A27"/>
    <mergeCell ref="B18:D18"/>
    <mergeCell ref="B19:D19"/>
  </mergeCells>
  <phoneticPr fontId="3"/>
  <pageMargins left="0.78740157480314965" right="0.19685039370078741" top="0.98425196850393704" bottom="0.98425196850393704" header="0.51181102362204722" footer="0.51181102362204722"/>
  <pageSetup paperSize="9" scale="89" firstPageNumber="0" orientation="portrait" r:id="rId1"/>
  <headerFooter alignWithMargins="0">
    <oddFooter xml:space="preserve">&amp;C-5-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view="pageBreakPreview" zoomScaleNormal="100" zoomScaleSheetLayoutView="100" workbookViewId="0">
      <selection activeCell="L14" sqref="L14"/>
    </sheetView>
  </sheetViews>
  <sheetFormatPr defaultRowHeight="14.25"/>
  <cols>
    <col min="1" max="1" width="1.25" style="2" customWidth="1"/>
    <col min="2" max="2" width="9.125" style="2" customWidth="1"/>
    <col min="3" max="15" width="7.125" style="2" customWidth="1"/>
    <col min="16" max="17" width="9" style="2"/>
    <col min="18" max="18" width="9.5" style="2" customWidth="1"/>
    <col min="19" max="16384" width="9" style="2"/>
  </cols>
  <sheetData>
    <row r="1" spans="1:21" ht="18.75" customHeight="1">
      <c r="A1" s="70" t="s">
        <v>162</v>
      </c>
      <c r="B1" s="70"/>
    </row>
    <row r="2" spans="1:21" ht="13.5" customHeight="1"/>
    <row r="3" spans="1:21" ht="15" thickBot="1">
      <c r="A3" s="2" t="s">
        <v>163</v>
      </c>
      <c r="K3" s="1394" t="s">
        <v>164</v>
      </c>
      <c r="L3" s="1394"/>
      <c r="M3" s="1394"/>
      <c r="N3" s="1394"/>
      <c r="O3" s="1394"/>
    </row>
    <row r="4" spans="1:21">
      <c r="A4" s="1548" t="s">
        <v>165</v>
      </c>
      <c r="B4" s="1549"/>
      <c r="C4" s="1578" t="s">
        <v>166</v>
      </c>
      <c r="D4" s="1558" t="s">
        <v>167</v>
      </c>
      <c r="E4" s="1558" t="s">
        <v>168</v>
      </c>
      <c r="F4" s="1558" t="s">
        <v>169</v>
      </c>
      <c r="G4" s="1558" t="s">
        <v>170</v>
      </c>
      <c r="H4" s="1558" t="s">
        <v>171</v>
      </c>
      <c r="I4" s="1558" t="s">
        <v>172</v>
      </c>
      <c r="J4" s="1558" t="s">
        <v>173</v>
      </c>
      <c r="K4" s="1560" t="s">
        <v>174</v>
      </c>
      <c r="L4" s="1558" t="s">
        <v>175</v>
      </c>
      <c r="M4" s="1560" t="s">
        <v>176</v>
      </c>
      <c r="N4" s="1558" t="s">
        <v>177</v>
      </c>
      <c r="O4" s="1562" t="s">
        <v>178</v>
      </c>
    </row>
    <row r="5" spans="1:21" ht="20.100000000000001" customHeight="1" thickBot="1">
      <c r="A5" s="137" t="s">
        <v>179</v>
      </c>
      <c r="B5" s="6"/>
      <c r="C5" s="1579"/>
      <c r="D5" s="1559"/>
      <c r="E5" s="1559"/>
      <c r="F5" s="1559"/>
      <c r="G5" s="1559"/>
      <c r="H5" s="1559"/>
      <c r="I5" s="1559"/>
      <c r="J5" s="1559"/>
      <c r="K5" s="1561"/>
      <c r="L5" s="1559"/>
      <c r="M5" s="1561"/>
      <c r="N5" s="1559"/>
      <c r="O5" s="1563"/>
      <c r="Q5" s="192"/>
      <c r="R5" s="193" t="s">
        <v>180</v>
      </c>
      <c r="S5" s="193" t="s">
        <v>181</v>
      </c>
      <c r="T5" s="193" t="s">
        <v>182</v>
      </c>
      <c r="U5" s="193" t="s">
        <v>183</v>
      </c>
    </row>
    <row r="6" spans="1:21" ht="24" customHeight="1">
      <c r="A6" s="1570" t="s">
        <v>184</v>
      </c>
      <c r="B6" s="1571"/>
      <c r="C6" s="410">
        <v>842</v>
      </c>
      <c r="D6" s="411">
        <v>222</v>
      </c>
      <c r="E6" s="411">
        <v>166</v>
      </c>
      <c r="F6" s="411">
        <v>126</v>
      </c>
      <c r="G6" s="411">
        <v>745</v>
      </c>
      <c r="H6" s="411">
        <v>324</v>
      </c>
      <c r="I6" s="411">
        <v>134</v>
      </c>
      <c r="J6" s="411">
        <v>118</v>
      </c>
      <c r="K6" s="411">
        <v>345</v>
      </c>
      <c r="L6" s="411">
        <v>326</v>
      </c>
      <c r="M6" s="411">
        <v>228</v>
      </c>
      <c r="N6" s="411">
        <v>524</v>
      </c>
      <c r="O6" s="412">
        <v>417</v>
      </c>
      <c r="Q6" s="193" t="s">
        <v>185</v>
      </c>
      <c r="R6" s="194">
        <f>C10</f>
        <v>142738</v>
      </c>
      <c r="S6" s="194">
        <f>C6</f>
        <v>842</v>
      </c>
      <c r="T6" s="194">
        <f>C7</f>
        <v>0</v>
      </c>
      <c r="U6" s="194">
        <f>C8</f>
        <v>974</v>
      </c>
    </row>
    <row r="7" spans="1:21" ht="24" customHeight="1">
      <c r="A7" s="1580" t="s">
        <v>186</v>
      </c>
      <c r="B7" s="1581"/>
      <c r="C7" s="413">
        <v>0</v>
      </c>
      <c r="D7" s="414">
        <v>2</v>
      </c>
      <c r="E7" s="414">
        <v>0</v>
      </c>
      <c r="F7" s="414">
        <v>0</v>
      </c>
      <c r="G7" s="414">
        <v>1</v>
      </c>
      <c r="H7" s="414">
        <v>5</v>
      </c>
      <c r="I7" s="414">
        <v>1</v>
      </c>
      <c r="J7" s="414">
        <v>2</v>
      </c>
      <c r="K7" s="414">
        <v>1</v>
      </c>
      <c r="L7" s="414">
        <v>1</v>
      </c>
      <c r="M7" s="414">
        <v>1</v>
      </c>
      <c r="N7" s="414">
        <v>1</v>
      </c>
      <c r="O7" s="415">
        <v>4</v>
      </c>
      <c r="Q7" s="193" t="s">
        <v>187</v>
      </c>
      <c r="R7" s="194">
        <f>D10</f>
        <v>107826</v>
      </c>
      <c r="S7" s="194">
        <f>D6</f>
        <v>222</v>
      </c>
      <c r="T7" s="194">
        <f>D7</f>
        <v>2</v>
      </c>
      <c r="U7" s="194">
        <f>D8</f>
        <v>238</v>
      </c>
    </row>
    <row r="8" spans="1:21" ht="24" customHeight="1">
      <c r="A8" s="1582" t="s">
        <v>188</v>
      </c>
      <c r="B8" s="1581"/>
      <c r="C8" s="416">
        <v>974</v>
      </c>
      <c r="D8" s="417">
        <v>238</v>
      </c>
      <c r="E8" s="417">
        <v>189</v>
      </c>
      <c r="F8" s="417">
        <v>157</v>
      </c>
      <c r="G8" s="417">
        <v>863</v>
      </c>
      <c r="H8" s="417">
        <v>364</v>
      </c>
      <c r="I8" s="417">
        <v>157</v>
      </c>
      <c r="J8" s="417">
        <v>132</v>
      </c>
      <c r="K8" s="417">
        <v>414</v>
      </c>
      <c r="L8" s="417">
        <v>380</v>
      </c>
      <c r="M8" s="417">
        <v>266</v>
      </c>
      <c r="N8" s="417">
        <v>587</v>
      </c>
      <c r="O8" s="418">
        <v>464</v>
      </c>
      <c r="Q8" s="193" t="s">
        <v>189</v>
      </c>
      <c r="R8" s="194">
        <f>E10</f>
        <v>80348</v>
      </c>
      <c r="S8" s="194">
        <f>E6</f>
        <v>166</v>
      </c>
      <c r="T8" s="194">
        <f>E7</f>
        <v>0</v>
      </c>
      <c r="U8" s="194">
        <f>E8</f>
        <v>189</v>
      </c>
    </row>
    <row r="9" spans="1:21" ht="29.25" customHeight="1" thickBot="1">
      <c r="A9" s="345"/>
      <c r="B9" s="346" t="s">
        <v>397</v>
      </c>
      <c r="C9" s="419">
        <v>68</v>
      </c>
      <c r="D9" s="420">
        <v>30</v>
      </c>
      <c r="E9" s="420">
        <v>27</v>
      </c>
      <c r="F9" s="420">
        <v>17</v>
      </c>
      <c r="G9" s="420">
        <v>84</v>
      </c>
      <c r="H9" s="420">
        <v>38</v>
      </c>
      <c r="I9" s="420">
        <v>22</v>
      </c>
      <c r="J9" s="420">
        <v>17</v>
      </c>
      <c r="K9" s="420">
        <v>31</v>
      </c>
      <c r="L9" s="420">
        <v>24</v>
      </c>
      <c r="M9" s="420">
        <v>34</v>
      </c>
      <c r="N9" s="420">
        <v>48</v>
      </c>
      <c r="O9" s="421">
        <v>72</v>
      </c>
      <c r="Q9" s="193" t="s">
        <v>190</v>
      </c>
      <c r="R9" s="194">
        <f>F10</f>
        <v>64687</v>
      </c>
      <c r="S9" s="194">
        <f>F6</f>
        <v>126</v>
      </c>
      <c r="T9" s="194">
        <f>F7</f>
        <v>0</v>
      </c>
      <c r="U9" s="194">
        <f>F8</f>
        <v>157</v>
      </c>
    </row>
    <row r="10" spans="1:21" ht="24" customHeight="1" thickBot="1">
      <c r="A10" s="1583" t="s">
        <v>191</v>
      </c>
      <c r="B10" s="1584"/>
      <c r="C10" s="197">
        <v>142738</v>
      </c>
      <c r="D10" s="198">
        <v>107826</v>
      </c>
      <c r="E10" s="198">
        <v>80348</v>
      </c>
      <c r="F10" s="198">
        <v>64687</v>
      </c>
      <c r="G10" s="198">
        <v>110271</v>
      </c>
      <c r="H10" s="198">
        <v>108402</v>
      </c>
      <c r="I10" s="198">
        <v>79469</v>
      </c>
      <c r="J10" s="198">
        <v>60345</v>
      </c>
      <c r="K10" s="198">
        <v>84310</v>
      </c>
      <c r="L10" s="198">
        <v>79113</v>
      </c>
      <c r="M10" s="198">
        <v>95436</v>
      </c>
      <c r="N10" s="198">
        <v>184414</v>
      </c>
      <c r="O10" s="199">
        <v>175806</v>
      </c>
      <c r="Q10" s="193" t="s">
        <v>192</v>
      </c>
      <c r="R10" s="194">
        <f>G10</f>
        <v>110271</v>
      </c>
      <c r="S10" s="194">
        <f>G6</f>
        <v>745</v>
      </c>
      <c r="T10" s="194">
        <f>G7</f>
        <v>1</v>
      </c>
      <c r="U10" s="194">
        <f>G8</f>
        <v>863</v>
      </c>
    </row>
    <row r="11" spans="1:21" ht="20.100000000000001" customHeight="1" thickBot="1">
      <c r="C11" s="179"/>
      <c r="D11" s="179"/>
      <c r="E11" s="179"/>
      <c r="F11" s="179"/>
      <c r="G11" s="179"/>
      <c r="H11" s="179"/>
      <c r="I11" s="179"/>
      <c r="J11" s="179"/>
      <c r="K11" s="179"/>
      <c r="L11" s="179"/>
      <c r="M11" s="179"/>
      <c r="N11" s="179"/>
      <c r="O11" s="179"/>
      <c r="Q11" s="193" t="s">
        <v>193</v>
      </c>
      <c r="R11" s="194">
        <f>H10</f>
        <v>108402</v>
      </c>
      <c r="S11" s="194">
        <f>H6</f>
        <v>324</v>
      </c>
      <c r="T11" s="194">
        <f>H7</f>
        <v>5</v>
      </c>
      <c r="U11" s="194">
        <f>H8</f>
        <v>364</v>
      </c>
    </row>
    <row r="12" spans="1:21" ht="20.100000000000001" customHeight="1">
      <c r="A12" s="1585" t="s">
        <v>165</v>
      </c>
      <c r="B12" s="1457"/>
      <c r="C12" s="1566" t="s">
        <v>194</v>
      </c>
      <c r="D12" s="1568" t="s">
        <v>195</v>
      </c>
      <c r="E12" s="1568" t="s">
        <v>196</v>
      </c>
      <c r="F12" s="1568" t="s">
        <v>197</v>
      </c>
      <c r="G12" s="1568" t="s">
        <v>198</v>
      </c>
      <c r="H12" s="1564" t="s">
        <v>199</v>
      </c>
      <c r="I12" s="1564" t="s">
        <v>200</v>
      </c>
      <c r="J12" s="1568" t="s">
        <v>201</v>
      </c>
      <c r="K12" s="1564" t="s">
        <v>202</v>
      </c>
      <c r="L12" s="1568" t="s">
        <v>203</v>
      </c>
      <c r="M12" s="1568" t="s">
        <v>204</v>
      </c>
      <c r="N12" s="1574" t="s">
        <v>1001</v>
      </c>
      <c r="O12" s="1575"/>
      <c r="Q12" s="193" t="s">
        <v>205</v>
      </c>
      <c r="R12" s="194">
        <f>I10</f>
        <v>79469</v>
      </c>
      <c r="S12" s="194">
        <f>I6</f>
        <v>134</v>
      </c>
      <c r="T12" s="194">
        <f>I7</f>
        <v>1</v>
      </c>
      <c r="U12" s="194">
        <f>I8</f>
        <v>157</v>
      </c>
    </row>
    <row r="13" spans="1:21" ht="20.100000000000001" customHeight="1" thickBot="1">
      <c r="A13" s="6" t="s">
        <v>179</v>
      </c>
      <c r="B13" s="6"/>
      <c r="C13" s="1567"/>
      <c r="D13" s="1569"/>
      <c r="E13" s="1569"/>
      <c r="F13" s="1569"/>
      <c r="G13" s="1569"/>
      <c r="H13" s="1565"/>
      <c r="I13" s="1565"/>
      <c r="J13" s="1569"/>
      <c r="K13" s="1565"/>
      <c r="L13" s="1569"/>
      <c r="M13" s="1569"/>
      <c r="N13" s="1576"/>
      <c r="O13" s="1577"/>
      <c r="Q13" s="200" t="s">
        <v>206</v>
      </c>
      <c r="R13" s="194">
        <f>J10</f>
        <v>60345</v>
      </c>
      <c r="S13" s="194">
        <f>J6</f>
        <v>118</v>
      </c>
      <c r="T13" s="194">
        <f>J7</f>
        <v>2</v>
      </c>
      <c r="U13" s="194">
        <f>J8</f>
        <v>132</v>
      </c>
    </row>
    <row r="14" spans="1:21" ht="24" customHeight="1">
      <c r="A14" s="1570" t="s">
        <v>184</v>
      </c>
      <c r="B14" s="1571"/>
      <c r="C14" s="410">
        <v>307</v>
      </c>
      <c r="D14" s="411">
        <v>316</v>
      </c>
      <c r="E14" s="411">
        <v>141</v>
      </c>
      <c r="F14" s="411">
        <v>419</v>
      </c>
      <c r="G14" s="411">
        <v>249</v>
      </c>
      <c r="H14" s="411">
        <v>192</v>
      </c>
      <c r="I14" s="411">
        <v>350</v>
      </c>
      <c r="J14" s="411">
        <v>356</v>
      </c>
      <c r="K14" s="411">
        <v>289</v>
      </c>
      <c r="L14" s="411">
        <v>691</v>
      </c>
      <c r="M14" s="411">
        <v>279</v>
      </c>
      <c r="N14" s="1550">
        <f>SUM(C6:O6)+SUM(C14:M14)</f>
        <v>8106</v>
      </c>
      <c r="O14" s="1551"/>
      <c r="Q14" s="193" t="s">
        <v>207</v>
      </c>
      <c r="R14" s="194">
        <f>K10</f>
        <v>84310</v>
      </c>
      <c r="S14" s="194">
        <f>K6</f>
        <v>345</v>
      </c>
      <c r="T14" s="194">
        <f>K7</f>
        <v>1</v>
      </c>
      <c r="U14" s="194">
        <f>K8</f>
        <v>414</v>
      </c>
    </row>
    <row r="15" spans="1:21" ht="24" customHeight="1">
      <c r="A15" s="1580" t="s">
        <v>186</v>
      </c>
      <c r="B15" s="1581"/>
      <c r="C15" s="413">
        <v>0</v>
      </c>
      <c r="D15" s="414">
        <v>2</v>
      </c>
      <c r="E15" s="414">
        <v>0</v>
      </c>
      <c r="F15" s="414">
        <v>1</v>
      </c>
      <c r="G15" s="414">
        <v>2</v>
      </c>
      <c r="H15" s="414">
        <v>0</v>
      </c>
      <c r="I15" s="414">
        <v>3</v>
      </c>
      <c r="J15" s="414">
        <v>0</v>
      </c>
      <c r="K15" s="414">
        <v>3</v>
      </c>
      <c r="L15" s="414">
        <v>4</v>
      </c>
      <c r="M15" s="414">
        <v>6</v>
      </c>
      <c r="N15" s="1552">
        <f>SUM(C7:O7)+SUM(C15:M15)</f>
        <v>40</v>
      </c>
      <c r="O15" s="1553"/>
      <c r="P15" s="201"/>
      <c r="Q15" s="193" t="s">
        <v>208</v>
      </c>
      <c r="R15" s="194">
        <f>L10</f>
        <v>79113</v>
      </c>
      <c r="S15" s="194">
        <f>L6</f>
        <v>326</v>
      </c>
      <c r="T15" s="194">
        <f>L7</f>
        <v>1</v>
      </c>
      <c r="U15" s="194">
        <f>L8</f>
        <v>380</v>
      </c>
    </row>
    <row r="16" spans="1:21" ht="24" customHeight="1">
      <c r="A16" s="1582" t="s">
        <v>188</v>
      </c>
      <c r="B16" s="1581"/>
      <c r="C16" s="422">
        <v>356</v>
      </c>
      <c r="D16" s="417">
        <v>360</v>
      </c>
      <c r="E16" s="417">
        <v>162</v>
      </c>
      <c r="F16" s="417">
        <v>472</v>
      </c>
      <c r="G16" s="417">
        <v>286</v>
      </c>
      <c r="H16" s="417">
        <v>210</v>
      </c>
      <c r="I16" s="417">
        <v>400</v>
      </c>
      <c r="J16" s="417">
        <v>398</v>
      </c>
      <c r="K16" s="417">
        <v>336</v>
      </c>
      <c r="L16" s="417">
        <v>784</v>
      </c>
      <c r="M16" s="417">
        <v>329</v>
      </c>
      <c r="N16" s="1554">
        <f>SUM(C8:O8)+SUM(C16:M16)</f>
        <v>9278</v>
      </c>
      <c r="O16" s="1555"/>
      <c r="Q16" s="193" t="s">
        <v>209</v>
      </c>
      <c r="R16" s="194">
        <f>M10</f>
        <v>95436</v>
      </c>
      <c r="S16" s="194">
        <f>M6</f>
        <v>228</v>
      </c>
      <c r="T16" s="194">
        <f>M7</f>
        <v>1</v>
      </c>
      <c r="U16" s="194">
        <f>M8</f>
        <v>266</v>
      </c>
    </row>
    <row r="17" spans="1:21" ht="30" customHeight="1" thickBot="1">
      <c r="A17" s="347"/>
      <c r="B17" s="346" t="s">
        <v>397</v>
      </c>
      <c r="C17" s="423">
        <v>28</v>
      </c>
      <c r="D17" s="420">
        <v>40</v>
      </c>
      <c r="E17" s="420">
        <v>19</v>
      </c>
      <c r="F17" s="420">
        <v>35</v>
      </c>
      <c r="G17" s="420">
        <v>21</v>
      </c>
      <c r="H17" s="420">
        <v>25</v>
      </c>
      <c r="I17" s="420">
        <v>40</v>
      </c>
      <c r="J17" s="420">
        <v>39</v>
      </c>
      <c r="K17" s="420">
        <v>40</v>
      </c>
      <c r="L17" s="420">
        <v>61</v>
      </c>
      <c r="M17" s="424">
        <v>34</v>
      </c>
      <c r="N17" s="1556">
        <f>SUM(C9:O9)+SUM(C17:M17)</f>
        <v>894</v>
      </c>
      <c r="O17" s="1557"/>
      <c r="Q17" s="193" t="s">
        <v>210</v>
      </c>
      <c r="R17" s="194">
        <f>N10</f>
        <v>184414</v>
      </c>
      <c r="S17" s="194">
        <f>N6</f>
        <v>524</v>
      </c>
      <c r="T17" s="194">
        <f>N7</f>
        <v>1</v>
      </c>
      <c r="U17" s="194">
        <f>N8</f>
        <v>587</v>
      </c>
    </row>
    <row r="18" spans="1:21" ht="24" customHeight="1" thickBot="1">
      <c r="A18" s="1583" t="s">
        <v>191</v>
      </c>
      <c r="B18" s="1584"/>
      <c r="C18" s="202">
        <v>85514</v>
      </c>
      <c r="D18" s="198">
        <v>126741</v>
      </c>
      <c r="E18" s="198">
        <v>88872</v>
      </c>
      <c r="F18" s="198">
        <v>168069</v>
      </c>
      <c r="G18" s="198">
        <v>111612</v>
      </c>
      <c r="H18" s="198">
        <v>111563</v>
      </c>
      <c r="I18" s="198">
        <v>117595</v>
      </c>
      <c r="J18" s="198">
        <v>152080</v>
      </c>
      <c r="K18" s="198">
        <v>127384</v>
      </c>
      <c r="L18" s="198">
        <v>188208</v>
      </c>
      <c r="M18" s="203">
        <v>106004</v>
      </c>
      <c r="N18" s="1572">
        <f>SUM(C10:O10)+SUM(C18:M18)</f>
        <v>2756807</v>
      </c>
      <c r="O18" s="1573"/>
      <c r="Q18" s="193" t="s">
        <v>211</v>
      </c>
      <c r="R18" s="194">
        <f>O10</f>
        <v>175806</v>
      </c>
      <c r="S18" s="194">
        <f>O6</f>
        <v>417</v>
      </c>
      <c r="T18" s="194">
        <f>O7</f>
        <v>4</v>
      </c>
      <c r="U18" s="194">
        <f>O8</f>
        <v>464</v>
      </c>
    </row>
    <row r="19" spans="1:21">
      <c r="A19" s="2" t="s">
        <v>212</v>
      </c>
      <c r="H19" s="204"/>
      <c r="Q19" s="193" t="s">
        <v>213</v>
      </c>
      <c r="R19" s="194">
        <f>C18</f>
        <v>85514</v>
      </c>
      <c r="S19" s="194">
        <f>C14</f>
        <v>307</v>
      </c>
      <c r="T19" s="194">
        <f>C15</f>
        <v>0</v>
      </c>
      <c r="U19" s="194">
        <f>C16</f>
        <v>356</v>
      </c>
    </row>
    <row r="20" spans="1:21">
      <c r="A20" s="2" t="s">
        <v>214</v>
      </c>
      <c r="Q20" s="193" t="s">
        <v>215</v>
      </c>
      <c r="R20" s="194">
        <f>D18</f>
        <v>126741</v>
      </c>
      <c r="S20" s="194">
        <f>D14</f>
        <v>316</v>
      </c>
      <c r="T20" s="194">
        <f>D15</f>
        <v>2</v>
      </c>
      <c r="U20" s="194">
        <f>D16</f>
        <v>360</v>
      </c>
    </row>
    <row r="21" spans="1:21">
      <c r="Q21" s="193" t="s">
        <v>216</v>
      </c>
      <c r="R21" s="194">
        <f>E18</f>
        <v>88872</v>
      </c>
      <c r="S21" s="194">
        <f>E14</f>
        <v>141</v>
      </c>
      <c r="T21" s="194">
        <f>E15</f>
        <v>0</v>
      </c>
      <c r="U21" s="194">
        <f>E16</f>
        <v>162</v>
      </c>
    </row>
    <row r="22" spans="1:21">
      <c r="Q22" s="193" t="s">
        <v>217</v>
      </c>
      <c r="R22" s="194">
        <f>F18</f>
        <v>168069</v>
      </c>
      <c r="S22" s="194">
        <f>F14</f>
        <v>419</v>
      </c>
      <c r="T22" s="194">
        <f>F15</f>
        <v>1</v>
      </c>
      <c r="U22" s="194">
        <f>F16</f>
        <v>472</v>
      </c>
    </row>
    <row r="23" spans="1:21">
      <c r="Q23" s="193" t="s">
        <v>218</v>
      </c>
      <c r="R23" s="194">
        <f>G18</f>
        <v>111612</v>
      </c>
      <c r="S23" s="194">
        <f>G14</f>
        <v>249</v>
      </c>
      <c r="T23" s="194">
        <f>G15</f>
        <v>2</v>
      </c>
      <c r="U23" s="194">
        <f>G16</f>
        <v>286</v>
      </c>
    </row>
    <row r="24" spans="1:21">
      <c r="Q24" s="193" t="s">
        <v>219</v>
      </c>
      <c r="R24" s="194">
        <f>H18</f>
        <v>111563</v>
      </c>
      <c r="S24" s="194">
        <f>H14</f>
        <v>192</v>
      </c>
      <c r="T24" s="194">
        <f>H15</f>
        <v>0</v>
      </c>
      <c r="U24" s="194">
        <f>H16</f>
        <v>210</v>
      </c>
    </row>
    <row r="25" spans="1:21">
      <c r="Q25" s="193" t="s">
        <v>220</v>
      </c>
      <c r="R25" s="194">
        <f>I18</f>
        <v>117595</v>
      </c>
      <c r="S25" s="194">
        <f>I14</f>
        <v>350</v>
      </c>
      <c r="T25" s="194">
        <f>I15</f>
        <v>3</v>
      </c>
      <c r="U25" s="194">
        <f>I16</f>
        <v>400</v>
      </c>
    </row>
    <row r="26" spans="1:21">
      <c r="Q26" s="193" t="s">
        <v>221</v>
      </c>
      <c r="R26" s="194">
        <f>J18</f>
        <v>152080</v>
      </c>
      <c r="S26" s="194">
        <f>J14</f>
        <v>356</v>
      </c>
      <c r="T26" s="194">
        <f>J15</f>
        <v>0</v>
      </c>
      <c r="U26" s="194">
        <f>J16</f>
        <v>398</v>
      </c>
    </row>
    <row r="27" spans="1:21">
      <c r="Q27" s="193" t="s">
        <v>222</v>
      </c>
      <c r="R27" s="194">
        <f>K18</f>
        <v>127384</v>
      </c>
      <c r="S27" s="194">
        <f>K14</f>
        <v>289</v>
      </c>
      <c r="T27" s="194">
        <f>K15</f>
        <v>3</v>
      </c>
      <c r="U27" s="194">
        <f>K16</f>
        <v>336</v>
      </c>
    </row>
    <row r="28" spans="1:21">
      <c r="Q28" s="193" t="s">
        <v>223</v>
      </c>
      <c r="R28" s="194">
        <f>L18</f>
        <v>188208</v>
      </c>
      <c r="S28" s="194">
        <f>L14</f>
        <v>691</v>
      </c>
      <c r="T28" s="194">
        <f>L15</f>
        <v>4</v>
      </c>
      <c r="U28" s="194">
        <f>L16</f>
        <v>784</v>
      </c>
    </row>
    <row r="29" spans="1:21">
      <c r="Q29" s="193" t="s">
        <v>224</v>
      </c>
      <c r="R29" s="194">
        <f>M18</f>
        <v>106004</v>
      </c>
      <c r="S29" s="194">
        <f>M14</f>
        <v>279</v>
      </c>
      <c r="T29" s="194">
        <f>M15</f>
        <v>6</v>
      </c>
      <c r="U29" s="194">
        <f>M16</f>
        <v>329</v>
      </c>
    </row>
    <row r="30" spans="1:21">
      <c r="Q30" s="193" t="s">
        <v>225</v>
      </c>
      <c r="R30" s="194">
        <f>SUM(R6:R29)</f>
        <v>2756807</v>
      </c>
      <c r="S30" s="194">
        <f>SUM(S6:S29)</f>
        <v>8106</v>
      </c>
      <c r="T30" s="194">
        <f>SUM(T6:T29)</f>
        <v>40</v>
      </c>
      <c r="U30" s="194">
        <f>SUM(U6:U29)</f>
        <v>9278</v>
      </c>
    </row>
  </sheetData>
  <mergeCells count="41">
    <mergeCell ref="A15:B15"/>
    <mergeCell ref="A16:B16"/>
    <mergeCell ref="A18:B18"/>
    <mergeCell ref="A6:B6"/>
    <mergeCell ref="A7:B7"/>
    <mergeCell ref="A8:B8"/>
    <mergeCell ref="A10:B10"/>
    <mergeCell ref="A12:B12"/>
    <mergeCell ref="K3:O3"/>
    <mergeCell ref="C4:C5"/>
    <mergeCell ref="D4:D5"/>
    <mergeCell ref="E4:E5"/>
    <mergeCell ref="F4:F5"/>
    <mergeCell ref="G4:G5"/>
    <mergeCell ref="H4:H5"/>
    <mergeCell ref="I4:I5"/>
    <mergeCell ref="J4:J5"/>
    <mergeCell ref="K4:K5"/>
    <mergeCell ref="N18:O18"/>
    <mergeCell ref="I12:I13"/>
    <mergeCell ref="J12:J13"/>
    <mergeCell ref="K12:K13"/>
    <mergeCell ref="L12:L13"/>
    <mergeCell ref="M12:M13"/>
    <mergeCell ref="N12:O13"/>
    <mergeCell ref="A4:B4"/>
    <mergeCell ref="N14:O14"/>
    <mergeCell ref="N15:O15"/>
    <mergeCell ref="N16:O16"/>
    <mergeCell ref="N17:O17"/>
    <mergeCell ref="L4:L5"/>
    <mergeCell ref="M4:M5"/>
    <mergeCell ref="N4:N5"/>
    <mergeCell ref="O4:O5"/>
    <mergeCell ref="H12:H13"/>
    <mergeCell ref="C12:C13"/>
    <mergeCell ref="D12:D13"/>
    <mergeCell ref="E12:E13"/>
    <mergeCell ref="F12:F13"/>
    <mergeCell ref="G12:G13"/>
    <mergeCell ref="A14:B14"/>
  </mergeCells>
  <phoneticPr fontId="3"/>
  <pageMargins left="0.59055118110236227" right="0.78740157480314965" top="0.98425196850393704" bottom="0.98425196850393704" header="0.51181102362204722" footer="0.51181102362204722"/>
  <pageSetup paperSize="9" scale="87" firstPageNumber="0" orientation="portrait" r:id="rId1"/>
  <headerFooter alignWithMargins="0">
    <oddFooter>&amp;C－6－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topLeftCell="A19" zoomScaleNormal="100" zoomScaleSheetLayoutView="100" workbookViewId="0">
      <selection activeCell="I14" sqref="I14"/>
    </sheetView>
  </sheetViews>
  <sheetFormatPr defaultRowHeight="14.25"/>
  <cols>
    <col min="1" max="1" width="11.75" style="2" customWidth="1"/>
    <col min="2" max="2" width="10.375" style="2" customWidth="1"/>
    <col min="3" max="3" width="11" style="2" customWidth="1"/>
    <col min="4" max="4" width="10.875" style="2" customWidth="1"/>
    <col min="5" max="5" width="10.75" style="2" customWidth="1"/>
    <col min="6" max="6" width="10.375" style="2" customWidth="1"/>
    <col min="7" max="9" width="10.75" style="2" customWidth="1"/>
    <col min="10" max="16384" width="9" style="2"/>
  </cols>
  <sheetData>
    <row r="1" spans="1:15" ht="15">
      <c r="A1" s="70" t="s">
        <v>226</v>
      </c>
      <c r="B1" s="70"/>
    </row>
    <row r="2" spans="1:15">
      <c r="A2" s="69" t="s">
        <v>227</v>
      </c>
      <c r="B2" s="69"/>
      <c r="C2" s="69"/>
      <c r="D2" s="69"/>
      <c r="E2" s="69"/>
      <c r="F2" s="69"/>
      <c r="G2" s="69"/>
      <c r="H2" s="69"/>
    </row>
    <row r="3" spans="1:15" ht="15" thickBot="1"/>
    <row r="4" spans="1:15" ht="5.25" customHeight="1" thickBot="1">
      <c r="A4" s="1586" t="s">
        <v>228</v>
      </c>
      <c r="B4" s="1425" t="s">
        <v>229</v>
      </c>
      <c r="C4" s="1590"/>
      <c r="D4" s="1425" t="s">
        <v>230</v>
      </c>
      <c r="E4" s="1590"/>
      <c r="F4" s="1425" t="s">
        <v>231</v>
      </c>
      <c r="G4" s="1453"/>
      <c r="H4" s="349"/>
      <c r="I4" s="348"/>
      <c r="J4" s="9"/>
      <c r="K4" s="9"/>
      <c r="L4" s="9"/>
      <c r="M4" s="9"/>
      <c r="N4" s="9"/>
      <c r="O4" s="9"/>
    </row>
    <row r="5" spans="1:15" ht="18" customHeight="1">
      <c r="A5" s="1587"/>
      <c r="B5" s="1591"/>
      <c r="C5" s="1456"/>
      <c r="D5" s="1591"/>
      <c r="E5" s="1456"/>
      <c r="F5" s="1591"/>
      <c r="G5" s="1456"/>
      <c r="H5" s="1589" t="s">
        <v>980</v>
      </c>
      <c r="I5" s="1405"/>
      <c r="J5" s="9"/>
      <c r="K5" s="9"/>
      <c r="L5" s="9"/>
      <c r="M5" s="9"/>
      <c r="N5" s="9"/>
      <c r="O5" s="9"/>
    </row>
    <row r="6" spans="1:15" ht="18" customHeight="1" thickBot="1">
      <c r="A6" s="1588"/>
      <c r="B6" s="1331" t="s">
        <v>981</v>
      </c>
      <c r="C6" s="1332" t="s">
        <v>935</v>
      </c>
      <c r="D6" s="1331" t="s">
        <v>981</v>
      </c>
      <c r="E6" s="1332" t="s">
        <v>982</v>
      </c>
      <c r="F6" s="1331" t="s">
        <v>981</v>
      </c>
      <c r="G6" s="1332" t="s">
        <v>935</v>
      </c>
      <c r="H6" s="1331" t="s">
        <v>981</v>
      </c>
      <c r="I6" s="1332" t="s">
        <v>935</v>
      </c>
      <c r="J6" s="9"/>
      <c r="K6" s="9"/>
      <c r="L6" s="9"/>
      <c r="M6" s="9"/>
      <c r="N6" s="9"/>
      <c r="O6" s="9"/>
    </row>
    <row r="7" spans="1:15" ht="18" customHeight="1">
      <c r="A7" s="205" t="s">
        <v>232</v>
      </c>
      <c r="B7" s="425">
        <v>1759</v>
      </c>
      <c r="C7" s="206">
        <v>1780</v>
      </c>
      <c r="D7" s="426">
        <v>6</v>
      </c>
      <c r="E7" s="207">
        <v>8</v>
      </c>
      <c r="F7" s="427">
        <v>2170</v>
      </c>
      <c r="G7" s="208">
        <v>2185</v>
      </c>
      <c r="H7" s="427">
        <v>151</v>
      </c>
      <c r="I7" s="208">
        <v>158</v>
      </c>
      <c r="J7" s="9"/>
      <c r="K7" s="9"/>
      <c r="L7" s="9"/>
      <c r="M7" s="9"/>
      <c r="N7" s="9"/>
      <c r="O7" s="9"/>
    </row>
    <row r="8" spans="1:15" ht="18" customHeight="1">
      <c r="A8" s="195" t="s">
        <v>233</v>
      </c>
      <c r="B8" s="428">
        <v>2145</v>
      </c>
      <c r="C8" s="209">
        <v>2218</v>
      </c>
      <c r="D8" s="429">
        <v>14</v>
      </c>
      <c r="E8" s="210">
        <v>20</v>
      </c>
      <c r="F8" s="430">
        <v>2481</v>
      </c>
      <c r="G8" s="209">
        <v>2619</v>
      </c>
      <c r="H8" s="430">
        <v>217</v>
      </c>
      <c r="I8" s="209">
        <v>236</v>
      </c>
      <c r="J8" s="9"/>
      <c r="K8" s="9"/>
      <c r="L8" s="9"/>
      <c r="M8" s="9"/>
      <c r="N8" s="9"/>
      <c r="O8" s="9"/>
    </row>
    <row r="9" spans="1:15" ht="18" customHeight="1">
      <c r="A9" s="211" t="s">
        <v>234</v>
      </c>
      <c r="B9" s="431">
        <v>501</v>
      </c>
      <c r="C9" s="208">
        <v>479</v>
      </c>
      <c r="D9" s="432">
        <v>4</v>
      </c>
      <c r="E9" s="212">
        <v>3</v>
      </c>
      <c r="F9" s="427">
        <v>583</v>
      </c>
      <c r="G9" s="208">
        <v>560</v>
      </c>
      <c r="H9" s="427">
        <v>54</v>
      </c>
      <c r="I9" s="208">
        <v>53</v>
      </c>
      <c r="J9" s="9"/>
      <c r="K9" s="9"/>
      <c r="L9" s="9"/>
      <c r="M9" s="9"/>
      <c r="N9" s="9"/>
      <c r="O9" s="9"/>
    </row>
    <row r="10" spans="1:15" ht="18" customHeight="1">
      <c r="A10" s="195" t="s">
        <v>235</v>
      </c>
      <c r="B10" s="428">
        <v>345</v>
      </c>
      <c r="C10" s="209">
        <v>361</v>
      </c>
      <c r="D10" s="429">
        <v>1</v>
      </c>
      <c r="E10" s="210">
        <v>3</v>
      </c>
      <c r="F10" s="430">
        <v>413</v>
      </c>
      <c r="G10" s="209">
        <v>416</v>
      </c>
      <c r="H10" s="430">
        <v>38</v>
      </c>
      <c r="I10" s="209">
        <v>43</v>
      </c>
      <c r="J10" s="9"/>
      <c r="K10" s="9"/>
      <c r="L10" s="9"/>
      <c r="M10" s="9"/>
      <c r="N10" s="9"/>
      <c r="O10" s="9"/>
    </row>
    <row r="11" spans="1:15" ht="18" customHeight="1" thickBot="1">
      <c r="A11" s="196" t="s">
        <v>236</v>
      </c>
      <c r="B11" s="433">
        <v>3356</v>
      </c>
      <c r="C11" s="213">
        <v>3458</v>
      </c>
      <c r="D11" s="434">
        <v>15</v>
      </c>
      <c r="E11" s="214">
        <v>9</v>
      </c>
      <c r="F11" s="435">
        <v>3631</v>
      </c>
      <c r="G11" s="213">
        <v>3804</v>
      </c>
      <c r="H11" s="435">
        <v>434</v>
      </c>
      <c r="I11" s="213">
        <v>389</v>
      </c>
      <c r="J11" s="9"/>
      <c r="K11" s="9"/>
      <c r="L11" s="9"/>
      <c r="M11" s="9"/>
      <c r="N11" s="9"/>
      <c r="O11" s="9"/>
    </row>
    <row r="12" spans="1:15" ht="18" customHeight="1" thickBot="1">
      <c r="A12" s="215" t="s">
        <v>1001</v>
      </c>
      <c r="B12" s="216">
        <f t="shared" ref="B12:G12" si="0">SUM(B7:B11)</f>
        <v>8106</v>
      </c>
      <c r="C12" s="217">
        <f>SUM(C7:C11)</f>
        <v>8296</v>
      </c>
      <c r="D12" s="216">
        <f t="shared" si="0"/>
        <v>40</v>
      </c>
      <c r="E12" s="217">
        <f t="shared" si="0"/>
        <v>43</v>
      </c>
      <c r="F12" s="218">
        <f t="shared" si="0"/>
        <v>9278</v>
      </c>
      <c r="G12" s="217">
        <f t="shared" si="0"/>
        <v>9584</v>
      </c>
      <c r="H12" s="218">
        <f t="shared" ref="H12:I12" si="1">SUM(H7:H11)</f>
        <v>894</v>
      </c>
      <c r="I12" s="217">
        <f t="shared" si="1"/>
        <v>879</v>
      </c>
      <c r="J12" s="9"/>
      <c r="K12" s="9"/>
      <c r="L12" s="9"/>
      <c r="M12" s="9"/>
      <c r="N12" s="9"/>
      <c r="O12" s="9"/>
    </row>
    <row r="13" spans="1:15">
      <c r="I13" s="140"/>
      <c r="J13" s="9"/>
      <c r="K13" s="9"/>
      <c r="L13" s="9"/>
      <c r="M13" s="9"/>
      <c r="N13" s="9"/>
      <c r="O13" s="9"/>
    </row>
    <row r="14" spans="1:15">
      <c r="C14" s="2" t="s">
        <v>237</v>
      </c>
      <c r="I14" s="140"/>
      <c r="J14" s="9"/>
      <c r="K14" s="9"/>
      <c r="L14" s="9"/>
      <c r="M14" s="9"/>
      <c r="N14" s="9"/>
      <c r="O14" s="9"/>
    </row>
    <row r="15" spans="1:15">
      <c r="I15" s="140"/>
      <c r="J15" s="9"/>
      <c r="K15" s="9"/>
      <c r="L15" s="9"/>
      <c r="M15" s="9"/>
      <c r="N15" s="9"/>
      <c r="O15" s="9"/>
    </row>
    <row r="16" spans="1:15">
      <c r="I16" s="140"/>
      <c r="J16" s="9"/>
      <c r="K16" s="9"/>
      <c r="L16" s="9"/>
      <c r="M16" s="9"/>
      <c r="N16" s="9"/>
      <c r="O16" s="9"/>
    </row>
    <row r="17" spans="9:9">
      <c r="I17" s="140"/>
    </row>
  </sheetData>
  <mergeCells count="5">
    <mergeCell ref="A4:A6"/>
    <mergeCell ref="H5:I5"/>
    <mergeCell ref="B4:C5"/>
    <mergeCell ref="D4:E5"/>
    <mergeCell ref="F4:G5"/>
  </mergeCells>
  <phoneticPr fontId="3"/>
  <printOptions horizontalCentered="1"/>
  <pageMargins left="0.78740157480314965" right="0.39370078740157483" top="0.98425196850393704" bottom="0.98425196850393704" header="0.51181102362204722" footer="0.51181102362204722"/>
  <pageSetup paperSize="9" scale="92" firstPageNumber="0" orientation="portrait" r:id="rId1"/>
  <headerFooter alignWithMargins="0">
    <oddFooter>&amp;C－7－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topLeftCell="A13" zoomScaleNormal="100" zoomScaleSheetLayoutView="100" workbookViewId="0">
      <selection activeCell="P43" sqref="P43"/>
    </sheetView>
  </sheetViews>
  <sheetFormatPr defaultRowHeight="14.25"/>
  <cols>
    <col min="1" max="1" width="3" style="2" customWidth="1"/>
    <col min="2" max="2" width="4.125" style="2" customWidth="1"/>
    <col min="3" max="3" width="15.875" style="2" customWidth="1"/>
    <col min="4" max="5" width="7.125" style="2" customWidth="1"/>
    <col min="6" max="7" width="7.625" style="2" customWidth="1"/>
    <col min="8" max="8" width="3" style="2" customWidth="1"/>
    <col min="9" max="9" width="3.875" style="2" customWidth="1"/>
    <col min="10" max="10" width="15.875" style="2" customWidth="1"/>
    <col min="11" max="11" width="7.625" style="2" bestFit="1" customWidth="1"/>
    <col min="12" max="12" width="7.125" style="2" customWidth="1"/>
    <col min="13" max="14" width="7.625" style="2" customWidth="1"/>
    <col min="15" max="15" width="13.375" style="2" customWidth="1"/>
    <col min="16" max="16384" width="9" style="2"/>
  </cols>
  <sheetData>
    <row r="1" spans="1:21" ht="16.5" customHeight="1" thickBot="1">
      <c r="A1" s="2" t="s">
        <v>238</v>
      </c>
      <c r="D1" s="219"/>
      <c r="F1" s="219"/>
      <c r="G1" s="219"/>
      <c r="H1" s="1394" t="s">
        <v>979</v>
      </c>
      <c r="I1" s="1394"/>
      <c r="J1" s="1394"/>
      <c r="K1" s="1394"/>
      <c r="L1" s="1394"/>
      <c r="M1" s="1394"/>
      <c r="N1" s="1450"/>
      <c r="O1" s="220"/>
    </row>
    <row r="2" spans="1:21" ht="6" customHeight="1">
      <c r="A2" s="351"/>
      <c r="B2" s="1441" t="s">
        <v>239</v>
      </c>
      <c r="C2" s="1595"/>
      <c r="D2" s="1598" t="s">
        <v>240</v>
      </c>
      <c r="E2" s="1600" t="s">
        <v>241</v>
      </c>
      <c r="F2" s="1602" t="s">
        <v>242</v>
      </c>
      <c r="G2" s="352"/>
      <c r="H2" s="351"/>
      <c r="I2" s="1441" t="s">
        <v>239</v>
      </c>
      <c r="J2" s="1595"/>
      <c r="K2" s="1598" t="s">
        <v>243</v>
      </c>
      <c r="L2" s="1598" t="s">
        <v>244</v>
      </c>
      <c r="M2" s="1602" t="s">
        <v>245</v>
      </c>
      <c r="N2" s="352"/>
    </row>
    <row r="3" spans="1:21" ht="20.25" customHeight="1">
      <c r="A3" s="350"/>
      <c r="B3" s="1596"/>
      <c r="C3" s="1597"/>
      <c r="D3" s="1599"/>
      <c r="E3" s="1601"/>
      <c r="F3" s="1599"/>
      <c r="G3" s="1365" t="s">
        <v>978</v>
      </c>
      <c r="H3" s="350"/>
      <c r="I3" s="1596"/>
      <c r="J3" s="1597"/>
      <c r="K3" s="1599"/>
      <c r="L3" s="1599"/>
      <c r="M3" s="1603"/>
      <c r="N3" s="1365" t="s">
        <v>978</v>
      </c>
    </row>
    <row r="4" spans="1:21" ht="15.95" customHeight="1">
      <c r="A4" s="1604" t="s">
        <v>246</v>
      </c>
      <c r="B4" s="1606" t="s">
        <v>247</v>
      </c>
      <c r="C4" s="221" t="s">
        <v>248</v>
      </c>
      <c r="D4" s="436">
        <v>226</v>
      </c>
      <c r="E4" s="436">
        <v>0</v>
      </c>
      <c r="F4" s="437">
        <v>281</v>
      </c>
      <c r="G4" s="438">
        <v>20</v>
      </c>
      <c r="H4" s="1604" t="s">
        <v>246</v>
      </c>
      <c r="I4" s="1606" t="s">
        <v>249</v>
      </c>
      <c r="J4" s="222" t="s">
        <v>250</v>
      </c>
      <c r="K4" s="436">
        <v>124</v>
      </c>
      <c r="L4" s="436">
        <v>1</v>
      </c>
      <c r="M4" s="437">
        <v>141</v>
      </c>
      <c r="N4" s="438">
        <v>16</v>
      </c>
      <c r="O4" s="223"/>
      <c r="P4" s="223"/>
      <c r="Q4" s="223"/>
    </row>
    <row r="5" spans="1:21" ht="15.95" customHeight="1">
      <c r="A5" s="1604"/>
      <c r="B5" s="1607"/>
      <c r="C5" s="221" t="s">
        <v>251</v>
      </c>
      <c r="D5" s="436">
        <v>124</v>
      </c>
      <c r="E5" s="436">
        <v>0</v>
      </c>
      <c r="F5" s="437">
        <v>157</v>
      </c>
      <c r="G5" s="438">
        <v>12</v>
      </c>
      <c r="H5" s="1604"/>
      <c r="I5" s="1606"/>
      <c r="J5" s="224" t="s">
        <v>252</v>
      </c>
      <c r="K5" s="444">
        <v>145</v>
      </c>
      <c r="L5" s="444">
        <v>0</v>
      </c>
      <c r="M5" s="445">
        <v>182</v>
      </c>
      <c r="N5" s="438">
        <v>13</v>
      </c>
      <c r="O5" s="223"/>
      <c r="P5" s="223"/>
      <c r="Q5" s="223"/>
    </row>
    <row r="6" spans="1:21" ht="15.95" customHeight="1">
      <c r="A6" s="1604"/>
      <c r="B6" s="1607"/>
      <c r="C6" s="221" t="s">
        <v>253</v>
      </c>
      <c r="D6" s="436">
        <v>302</v>
      </c>
      <c r="E6" s="436">
        <v>0</v>
      </c>
      <c r="F6" s="437">
        <v>372</v>
      </c>
      <c r="G6" s="438">
        <v>28</v>
      </c>
      <c r="H6" s="1604"/>
      <c r="I6" s="1606"/>
      <c r="J6" s="225" t="s">
        <v>254</v>
      </c>
      <c r="K6" s="436">
        <v>68</v>
      </c>
      <c r="L6" s="436">
        <v>1</v>
      </c>
      <c r="M6" s="437">
        <v>78</v>
      </c>
      <c r="N6" s="438">
        <v>11</v>
      </c>
      <c r="O6" s="223"/>
      <c r="P6" s="223"/>
      <c r="Q6" s="223"/>
    </row>
    <row r="7" spans="1:21" ht="15.95" customHeight="1">
      <c r="A7" s="1604"/>
      <c r="B7" s="1607"/>
      <c r="C7" s="221" t="s">
        <v>255</v>
      </c>
      <c r="D7" s="436">
        <v>137</v>
      </c>
      <c r="E7" s="436">
        <v>0</v>
      </c>
      <c r="F7" s="437">
        <v>186</v>
      </c>
      <c r="G7" s="438">
        <v>11</v>
      </c>
      <c r="H7" s="1604"/>
      <c r="I7" s="1606"/>
      <c r="J7" s="225" t="s">
        <v>256</v>
      </c>
      <c r="K7" s="436">
        <v>44</v>
      </c>
      <c r="L7" s="436">
        <v>0</v>
      </c>
      <c r="M7" s="437">
        <v>49</v>
      </c>
      <c r="N7" s="438">
        <v>4</v>
      </c>
      <c r="O7" s="223"/>
      <c r="P7" s="223"/>
      <c r="Q7" s="223"/>
    </row>
    <row r="8" spans="1:21" ht="15.95" customHeight="1">
      <c r="A8" s="1604"/>
      <c r="B8" s="1607"/>
      <c r="C8" s="221" t="s">
        <v>257</v>
      </c>
      <c r="D8" s="436">
        <v>112</v>
      </c>
      <c r="E8" s="436">
        <v>0</v>
      </c>
      <c r="F8" s="437">
        <v>134</v>
      </c>
      <c r="G8" s="438">
        <v>13</v>
      </c>
      <c r="H8" s="1604"/>
      <c r="I8" s="1606"/>
      <c r="J8" s="225" t="s">
        <v>258</v>
      </c>
      <c r="K8" s="436">
        <v>50</v>
      </c>
      <c r="L8" s="436">
        <v>2</v>
      </c>
      <c r="M8" s="437">
        <v>56</v>
      </c>
      <c r="N8" s="438">
        <v>2</v>
      </c>
      <c r="O8" s="223"/>
      <c r="P8" s="223"/>
      <c r="Q8" s="223"/>
    </row>
    <row r="9" spans="1:21" ht="15.95" customHeight="1">
      <c r="A9" s="1604"/>
      <c r="B9" s="1607"/>
      <c r="C9" s="221" t="s">
        <v>259</v>
      </c>
      <c r="D9" s="436">
        <v>32</v>
      </c>
      <c r="E9" s="436">
        <v>0</v>
      </c>
      <c r="F9" s="437">
        <v>33</v>
      </c>
      <c r="G9" s="438">
        <v>4</v>
      </c>
      <c r="H9" s="1604"/>
      <c r="I9" s="1606"/>
      <c r="J9" s="225" t="s">
        <v>260</v>
      </c>
      <c r="K9" s="436">
        <v>23</v>
      </c>
      <c r="L9" s="436">
        <v>0</v>
      </c>
      <c r="M9" s="437">
        <v>27</v>
      </c>
      <c r="N9" s="438">
        <v>4</v>
      </c>
      <c r="O9" s="223"/>
      <c r="P9" s="223"/>
      <c r="Q9" s="223"/>
    </row>
    <row r="10" spans="1:21" ht="15.95" customHeight="1">
      <c r="A10" s="1604"/>
      <c r="B10" s="1607"/>
      <c r="C10" s="221" t="s">
        <v>261</v>
      </c>
      <c r="D10" s="436">
        <v>67</v>
      </c>
      <c r="E10" s="436">
        <v>3</v>
      </c>
      <c r="F10" s="437">
        <v>72</v>
      </c>
      <c r="G10" s="438">
        <v>5</v>
      </c>
      <c r="H10" s="1604"/>
      <c r="I10" s="1606"/>
      <c r="J10" s="225" t="s">
        <v>262</v>
      </c>
      <c r="K10" s="436">
        <v>11</v>
      </c>
      <c r="L10" s="436">
        <v>0</v>
      </c>
      <c r="M10" s="437">
        <v>11</v>
      </c>
      <c r="N10" s="438">
        <v>0</v>
      </c>
      <c r="O10" s="226"/>
      <c r="P10" s="227"/>
      <c r="Q10" s="227"/>
      <c r="R10" s="227"/>
      <c r="S10" s="223"/>
      <c r="T10" s="223"/>
      <c r="U10" s="223"/>
    </row>
    <row r="11" spans="1:21" ht="15.95" customHeight="1">
      <c r="A11" s="1604"/>
      <c r="B11" s="1607"/>
      <c r="C11" s="221" t="s">
        <v>263</v>
      </c>
      <c r="D11" s="436">
        <v>107</v>
      </c>
      <c r="E11" s="436">
        <v>0</v>
      </c>
      <c r="F11" s="437">
        <v>124</v>
      </c>
      <c r="G11" s="438">
        <v>11</v>
      </c>
      <c r="H11" s="1604"/>
      <c r="I11" s="1606"/>
      <c r="J11" s="225" t="s">
        <v>264</v>
      </c>
      <c r="K11" s="436">
        <v>24</v>
      </c>
      <c r="L11" s="436">
        <v>0</v>
      </c>
      <c r="M11" s="437">
        <v>25</v>
      </c>
      <c r="N11" s="438">
        <v>3</v>
      </c>
      <c r="O11" s="226"/>
      <c r="P11" s="227"/>
      <c r="Q11" s="227"/>
      <c r="R11" s="227"/>
      <c r="S11" s="223"/>
      <c r="T11" s="223"/>
      <c r="U11" s="223"/>
    </row>
    <row r="12" spans="1:21" ht="15.95" customHeight="1">
      <c r="A12" s="1604"/>
      <c r="B12" s="1607"/>
      <c r="C12" s="221" t="s">
        <v>265</v>
      </c>
      <c r="D12" s="436">
        <v>114</v>
      </c>
      <c r="E12" s="436">
        <v>0</v>
      </c>
      <c r="F12" s="437">
        <v>138</v>
      </c>
      <c r="G12" s="438">
        <v>9</v>
      </c>
      <c r="H12" s="1604"/>
      <c r="I12" s="1606"/>
      <c r="J12" s="225" t="s">
        <v>266</v>
      </c>
      <c r="K12" s="436">
        <v>12</v>
      </c>
      <c r="L12" s="436">
        <v>0</v>
      </c>
      <c r="M12" s="437">
        <v>14</v>
      </c>
      <c r="N12" s="438">
        <v>1</v>
      </c>
      <c r="S12" s="223"/>
      <c r="T12" s="223"/>
      <c r="U12" s="223"/>
    </row>
    <row r="13" spans="1:21" ht="15.95" customHeight="1">
      <c r="A13" s="1604"/>
      <c r="B13" s="1607"/>
      <c r="C13" s="221" t="s">
        <v>267</v>
      </c>
      <c r="D13" s="436">
        <v>53</v>
      </c>
      <c r="E13" s="436">
        <v>1</v>
      </c>
      <c r="F13" s="437">
        <v>70</v>
      </c>
      <c r="G13" s="438">
        <v>2</v>
      </c>
      <c r="H13" s="1604"/>
      <c r="I13" s="1606" t="s">
        <v>268</v>
      </c>
      <c r="J13" s="222" t="s">
        <v>269</v>
      </c>
      <c r="K13" s="436">
        <v>13</v>
      </c>
      <c r="L13" s="436">
        <v>0</v>
      </c>
      <c r="M13" s="437">
        <v>15</v>
      </c>
      <c r="N13" s="438">
        <v>1</v>
      </c>
      <c r="S13" s="223"/>
      <c r="T13" s="223"/>
      <c r="U13" s="223"/>
    </row>
    <row r="14" spans="1:21" ht="15.95" customHeight="1">
      <c r="A14" s="1604"/>
      <c r="B14" s="1607"/>
      <c r="C14" s="221" t="s">
        <v>270</v>
      </c>
      <c r="D14" s="436">
        <v>160</v>
      </c>
      <c r="E14" s="436">
        <v>0</v>
      </c>
      <c r="F14" s="437">
        <v>215</v>
      </c>
      <c r="G14" s="438">
        <v>6</v>
      </c>
      <c r="H14" s="1604"/>
      <c r="I14" s="1606"/>
      <c r="J14" s="222" t="s">
        <v>271</v>
      </c>
      <c r="K14" s="436">
        <v>13</v>
      </c>
      <c r="L14" s="436">
        <v>0</v>
      </c>
      <c r="M14" s="437">
        <v>15</v>
      </c>
      <c r="N14" s="438">
        <v>1</v>
      </c>
      <c r="S14" s="223"/>
      <c r="T14" s="223"/>
      <c r="U14" s="223"/>
    </row>
    <row r="15" spans="1:21" ht="15.95" customHeight="1">
      <c r="A15" s="1604"/>
      <c r="B15" s="1607"/>
      <c r="C15" s="221" t="s">
        <v>272</v>
      </c>
      <c r="D15" s="436">
        <v>325</v>
      </c>
      <c r="E15" s="436">
        <v>2</v>
      </c>
      <c r="F15" s="437">
        <v>388</v>
      </c>
      <c r="G15" s="438">
        <v>30</v>
      </c>
      <c r="H15" s="1604"/>
      <c r="I15" s="1606"/>
      <c r="J15" s="222" t="s">
        <v>273</v>
      </c>
      <c r="K15" s="436">
        <v>16</v>
      </c>
      <c r="L15" s="436">
        <v>0</v>
      </c>
      <c r="M15" s="437">
        <v>20</v>
      </c>
      <c r="N15" s="438">
        <v>1</v>
      </c>
      <c r="S15" s="223"/>
      <c r="T15" s="223"/>
      <c r="U15" s="223"/>
    </row>
    <row r="16" spans="1:21" ht="15.95" customHeight="1">
      <c r="A16" s="1604"/>
      <c r="B16" s="1606" t="s">
        <v>274</v>
      </c>
      <c r="C16" s="225" t="s">
        <v>275</v>
      </c>
      <c r="D16" s="436">
        <v>112</v>
      </c>
      <c r="E16" s="436">
        <v>0</v>
      </c>
      <c r="F16" s="437">
        <v>131</v>
      </c>
      <c r="G16" s="438">
        <v>5</v>
      </c>
      <c r="H16" s="1604"/>
      <c r="I16" s="1606"/>
      <c r="J16" s="222" t="s">
        <v>276</v>
      </c>
      <c r="K16" s="436">
        <v>37</v>
      </c>
      <c r="L16" s="436">
        <v>0</v>
      </c>
      <c r="M16" s="437">
        <v>45</v>
      </c>
      <c r="N16" s="438">
        <v>7</v>
      </c>
      <c r="S16" s="223"/>
      <c r="T16" s="223"/>
      <c r="U16" s="223"/>
    </row>
    <row r="17" spans="1:23" ht="15.95" customHeight="1">
      <c r="A17" s="1604"/>
      <c r="B17" s="1606"/>
      <c r="C17" s="225" t="s">
        <v>277</v>
      </c>
      <c r="D17" s="436">
        <v>187</v>
      </c>
      <c r="E17" s="436">
        <v>0</v>
      </c>
      <c r="F17" s="437">
        <v>224</v>
      </c>
      <c r="G17" s="438">
        <v>19</v>
      </c>
      <c r="H17" s="1604"/>
      <c r="I17" s="1606"/>
      <c r="J17" s="222" t="s">
        <v>278</v>
      </c>
      <c r="K17" s="436">
        <v>23</v>
      </c>
      <c r="L17" s="436">
        <v>0</v>
      </c>
      <c r="M17" s="437">
        <v>26</v>
      </c>
      <c r="N17" s="438">
        <v>4</v>
      </c>
      <c r="S17" s="223"/>
      <c r="T17" s="223"/>
      <c r="U17" s="223"/>
    </row>
    <row r="18" spans="1:23" ht="15.95" customHeight="1">
      <c r="A18" s="1604"/>
      <c r="B18" s="1606"/>
      <c r="C18" s="225" t="s">
        <v>279</v>
      </c>
      <c r="D18" s="436">
        <v>97</v>
      </c>
      <c r="E18" s="436">
        <v>0</v>
      </c>
      <c r="F18" s="437">
        <v>110</v>
      </c>
      <c r="G18" s="438">
        <v>18</v>
      </c>
      <c r="H18" s="1604"/>
      <c r="I18" s="1606"/>
      <c r="J18" s="222" t="s">
        <v>280</v>
      </c>
      <c r="K18" s="436">
        <v>16</v>
      </c>
      <c r="L18" s="436">
        <v>0</v>
      </c>
      <c r="M18" s="437">
        <v>19</v>
      </c>
      <c r="N18" s="438">
        <v>2</v>
      </c>
      <c r="O18" s="228"/>
      <c r="S18" s="223"/>
      <c r="T18" s="223"/>
      <c r="U18" s="223"/>
      <c r="W18" s="2">
        <v>1157</v>
      </c>
    </row>
    <row r="19" spans="1:23" ht="15.95" customHeight="1">
      <c r="A19" s="1604"/>
      <c r="B19" s="1606"/>
      <c r="C19" s="225" t="s">
        <v>281</v>
      </c>
      <c r="D19" s="436">
        <v>84</v>
      </c>
      <c r="E19" s="436">
        <v>1</v>
      </c>
      <c r="F19" s="437">
        <v>103</v>
      </c>
      <c r="G19" s="438">
        <v>5</v>
      </c>
      <c r="H19" s="1604"/>
      <c r="I19" s="1606"/>
      <c r="J19" s="222" t="s">
        <v>282</v>
      </c>
      <c r="K19" s="436">
        <v>8</v>
      </c>
      <c r="L19" s="436">
        <v>0</v>
      </c>
      <c r="M19" s="437">
        <v>9</v>
      </c>
      <c r="N19" s="438">
        <v>1</v>
      </c>
      <c r="S19" s="223"/>
      <c r="T19" s="223"/>
      <c r="U19" s="223"/>
      <c r="W19" s="2">
        <v>1056</v>
      </c>
    </row>
    <row r="20" spans="1:23" ht="15.95" customHeight="1">
      <c r="A20" s="1604"/>
      <c r="B20" s="1606"/>
      <c r="C20" s="225" t="s">
        <v>283</v>
      </c>
      <c r="D20" s="436">
        <v>41</v>
      </c>
      <c r="E20" s="436">
        <v>1</v>
      </c>
      <c r="F20" s="437">
        <v>51</v>
      </c>
      <c r="G20" s="438">
        <v>6</v>
      </c>
      <c r="H20" s="1604"/>
      <c r="I20" s="1606"/>
      <c r="J20" s="222" t="s">
        <v>284</v>
      </c>
      <c r="K20" s="436">
        <v>16</v>
      </c>
      <c r="L20" s="436">
        <v>0</v>
      </c>
      <c r="M20" s="437">
        <v>18</v>
      </c>
      <c r="N20" s="438">
        <v>2</v>
      </c>
      <c r="S20" s="223"/>
      <c r="T20" s="223"/>
      <c r="U20" s="223"/>
      <c r="W20" s="2">
        <v>1345</v>
      </c>
    </row>
    <row r="21" spans="1:23" ht="15.95" customHeight="1">
      <c r="A21" s="1604"/>
      <c r="B21" s="1606"/>
      <c r="C21" s="225" t="s">
        <v>285</v>
      </c>
      <c r="D21" s="436">
        <v>111</v>
      </c>
      <c r="E21" s="436">
        <v>0</v>
      </c>
      <c r="F21" s="437">
        <v>123</v>
      </c>
      <c r="G21" s="438">
        <v>13</v>
      </c>
      <c r="H21" s="1604"/>
      <c r="I21" s="1606"/>
      <c r="J21" s="222" t="s">
        <v>286</v>
      </c>
      <c r="K21" s="436">
        <v>15</v>
      </c>
      <c r="L21" s="436">
        <v>0</v>
      </c>
      <c r="M21" s="437">
        <v>19</v>
      </c>
      <c r="N21" s="438">
        <v>0</v>
      </c>
      <c r="S21" s="223"/>
      <c r="T21" s="223"/>
      <c r="U21" s="223"/>
      <c r="W21" s="2">
        <v>1311</v>
      </c>
    </row>
    <row r="22" spans="1:23" ht="15.95" customHeight="1">
      <c r="A22" s="1604"/>
      <c r="B22" s="1606"/>
      <c r="C22" s="225" t="s">
        <v>287</v>
      </c>
      <c r="D22" s="436">
        <v>142</v>
      </c>
      <c r="E22" s="436">
        <v>2</v>
      </c>
      <c r="F22" s="437">
        <v>171</v>
      </c>
      <c r="G22" s="438">
        <v>18</v>
      </c>
      <c r="H22" s="1604"/>
      <c r="I22" s="1606"/>
      <c r="J22" s="222" t="s">
        <v>288</v>
      </c>
      <c r="K22" s="436">
        <v>6</v>
      </c>
      <c r="L22" s="436">
        <v>0</v>
      </c>
      <c r="M22" s="437">
        <v>7</v>
      </c>
      <c r="N22" s="438">
        <v>0</v>
      </c>
      <c r="S22" s="223"/>
      <c r="T22" s="223"/>
      <c r="U22" s="223"/>
      <c r="W22" s="2">
        <v>1183</v>
      </c>
    </row>
    <row r="23" spans="1:23" ht="15.95" customHeight="1">
      <c r="A23" s="1604"/>
      <c r="B23" s="1606"/>
      <c r="C23" s="225" t="s">
        <v>289</v>
      </c>
      <c r="D23" s="436">
        <v>132</v>
      </c>
      <c r="E23" s="436">
        <v>3</v>
      </c>
      <c r="F23" s="437">
        <v>142</v>
      </c>
      <c r="G23" s="438">
        <v>10</v>
      </c>
      <c r="H23" s="1604"/>
      <c r="I23" s="1606"/>
      <c r="J23" s="222" t="s">
        <v>290</v>
      </c>
      <c r="K23" s="436">
        <v>14</v>
      </c>
      <c r="L23" s="436">
        <v>0</v>
      </c>
      <c r="M23" s="437">
        <v>17</v>
      </c>
      <c r="N23" s="438">
        <v>0</v>
      </c>
      <c r="S23" s="223"/>
      <c r="T23" s="223"/>
      <c r="U23" s="223"/>
      <c r="W23" s="2">
        <v>1253</v>
      </c>
    </row>
    <row r="24" spans="1:23" ht="15.95" customHeight="1">
      <c r="A24" s="1604"/>
      <c r="B24" s="1606"/>
      <c r="C24" s="225" t="s">
        <v>291</v>
      </c>
      <c r="D24" s="436">
        <v>93</v>
      </c>
      <c r="E24" s="436">
        <v>0</v>
      </c>
      <c r="F24" s="437">
        <v>106</v>
      </c>
      <c r="G24" s="438">
        <v>15</v>
      </c>
      <c r="H24" s="1604"/>
      <c r="I24" s="1606"/>
      <c r="J24" s="222" t="s">
        <v>292</v>
      </c>
      <c r="K24" s="436">
        <v>1</v>
      </c>
      <c r="L24" s="436">
        <v>0</v>
      </c>
      <c r="M24" s="437">
        <v>2</v>
      </c>
      <c r="N24" s="438">
        <v>0</v>
      </c>
      <c r="S24" s="223"/>
      <c r="T24" s="223"/>
      <c r="U24" s="223"/>
      <c r="W24" s="2">
        <v>1315</v>
      </c>
    </row>
    <row r="25" spans="1:23" ht="15.95" customHeight="1">
      <c r="A25" s="1604"/>
      <c r="B25" s="1606"/>
      <c r="C25" s="225" t="s">
        <v>293</v>
      </c>
      <c r="D25" s="436">
        <v>8</v>
      </c>
      <c r="E25" s="436">
        <v>1</v>
      </c>
      <c r="F25" s="437">
        <v>7</v>
      </c>
      <c r="G25" s="438">
        <v>1</v>
      </c>
      <c r="H25" s="1604"/>
      <c r="I25" s="1606"/>
      <c r="J25" s="222" t="s">
        <v>294</v>
      </c>
      <c r="K25" s="436">
        <v>5</v>
      </c>
      <c r="L25" s="436">
        <v>0</v>
      </c>
      <c r="M25" s="437">
        <v>8</v>
      </c>
      <c r="N25" s="438">
        <v>2</v>
      </c>
      <c r="S25" s="223"/>
      <c r="T25" s="223"/>
      <c r="U25" s="223"/>
      <c r="W25" s="2">
        <v>1235</v>
      </c>
    </row>
    <row r="26" spans="1:23" ht="15.95" customHeight="1">
      <c r="A26" s="1604"/>
      <c r="B26" s="1606"/>
      <c r="C26" s="225" t="s">
        <v>295</v>
      </c>
      <c r="D26" s="436">
        <v>5</v>
      </c>
      <c r="E26" s="436">
        <v>0</v>
      </c>
      <c r="F26" s="437">
        <v>6</v>
      </c>
      <c r="G26" s="438">
        <v>1</v>
      </c>
      <c r="H26" s="1604"/>
      <c r="I26" s="1606"/>
      <c r="J26" s="222" t="s">
        <v>296</v>
      </c>
      <c r="K26" s="436">
        <v>22</v>
      </c>
      <c r="L26" s="436">
        <v>1</v>
      </c>
      <c r="M26" s="437">
        <v>23</v>
      </c>
      <c r="N26" s="438">
        <v>6</v>
      </c>
      <c r="S26" s="223"/>
      <c r="T26" s="223"/>
      <c r="U26" s="223"/>
      <c r="W26" s="2">
        <v>1243</v>
      </c>
    </row>
    <row r="27" spans="1:23" ht="15.95" customHeight="1">
      <c r="A27" s="1604"/>
      <c r="B27" s="1606"/>
      <c r="C27" s="225" t="s">
        <v>297</v>
      </c>
      <c r="D27" s="436">
        <v>34</v>
      </c>
      <c r="E27" s="436">
        <v>0</v>
      </c>
      <c r="F27" s="437">
        <v>44</v>
      </c>
      <c r="G27" s="438">
        <v>4</v>
      </c>
      <c r="H27" s="1604"/>
      <c r="I27" s="1606"/>
      <c r="J27" s="222" t="s">
        <v>298</v>
      </c>
      <c r="K27" s="436">
        <v>2</v>
      </c>
      <c r="L27" s="436">
        <v>0</v>
      </c>
      <c r="M27" s="437">
        <v>3</v>
      </c>
      <c r="N27" s="438">
        <v>0</v>
      </c>
      <c r="S27" s="223"/>
      <c r="T27" s="223"/>
      <c r="U27" s="223"/>
      <c r="W27" s="2">
        <v>1324</v>
      </c>
    </row>
    <row r="28" spans="1:23" ht="15.95" customHeight="1">
      <c r="A28" s="1604"/>
      <c r="B28" s="1606"/>
      <c r="C28" s="225" t="s">
        <v>258</v>
      </c>
      <c r="D28" s="436">
        <v>55</v>
      </c>
      <c r="E28" s="436">
        <v>0</v>
      </c>
      <c r="F28" s="437">
        <v>64</v>
      </c>
      <c r="G28" s="438">
        <v>5</v>
      </c>
      <c r="H28" s="1604"/>
      <c r="I28" s="1606"/>
      <c r="J28" s="222" t="s">
        <v>299</v>
      </c>
      <c r="K28" s="436">
        <v>11</v>
      </c>
      <c r="L28" s="436">
        <v>0</v>
      </c>
      <c r="M28" s="437">
        <v>13</v>
      </c>
      <c r="N28" s="438">
        <v>1</v>
      </c>
      <c r="S28" s="223"/>
      <c r="T28" s="223"/>
      <c r="U28" s="223"/>
      <c r="W28" s="2">
        <v>1235</v>
      </c>
    </row>
    <row r="29" spans="1:23" ht="15.95" customHeight="1">
      <c r="A29" s="1604"/>
      <c r="B29" s="1606"/>
      <c r="C29" s="225" t="s">
        <v>300</v>
      </c>
      <c r="D29" s="436">
        <v>104</v>
      </c>
      <c r="E29" s="436">
        <v>1</v>
      </c>
      <c r="F29" s="437">
        <v>120</v>
      </c>
      <c r="G29" s="438">
        <v>5</v>
      </c>
      <c r="H29" s="1604"/>
      <c r="I29" s="1606"/>
      <c r="J29" s="222" t="s">
        <v>301</v>
      </c>
      <c r="K29" s="436">
        <v>10</v>
      </c>
      <c r="L29" s="436">
        <v>0</v>
      </c>
      <c r="M29" s="437">
        <v>14</v>
      </c>
      <c r="N29" s="438">
        <v>1</v>
      </c>
      <c r="S29" s="223"/>
      <c r="T29" s="223"/>
      <c r="U29" s="223"/>
      <c r="W29" s="2">
        <v>1564</v>
      </c>
    </row>
    <row r="30" spans="1:23" ht="15.95" customHeight="1">
      <c r="A30" s="1604"/>
      <c r="B30" s="1606"/>
      <c r="C30" s="225" t="s">
        <v>302</v>
      </c>
      <c r="D30" s="436">
        <v>202</v>
      </c>
      <c r="E30" s="436">
        <v>1</v>
      </c>
      <c r="F30" s="437">
        <v>222</v>
      </c>
      <c r="G30" s="438">
        <v>18</v>
      </c>
      <c r="H30" s="1604"/>
      <c r="I30" s="1606"/>
      <c r="J30" s="222" t="s">
        <v>303</v>
      </c>
      <c r="K30" s="436">
        <v>16</v>
      </c>
      <c r="L30" s="436">
        <v>0</v>
      </c>
      <c r="M30" s="437">
        <v>17</v>
      </c>
      <c r="N30" s="438">
        <v>0</v>
      </c>
      <c r="S30" s="223"/>
      <c r="T30" s="223"/>
      <c r="U30" s="223"/>
    </row>
    <row r="31" spans="1:23" ht="15.95" customHeight="1">
      <c r="A31" s="1604"/>
      <c r="B31" s="1606"/>
      <c r="C31" s="225" t="s">
        <v>304</v>
      </c>
      <c r="D31" s="436">
        <v>48</v>
      </c>
      <c r="E31" s="436">
        <v>0</v>
      </c>
      <c r="F31" s="437">
        <v>58</v>
      </c>
      <c r="G31" s="438">
        <v>10</v>
      </c>
      <c r="H31" s="1604"/>
      <c r="I31" s="1606"/>
      <c r="J31" s="222" t="s">
        <v>305</v>
      </c>
      <c r="K31" s="436">
        <v>2</v>
      </c>
      <c r="L31" s="436">
        <v>0</v>
      </c>
      <c r="M31" s="437">
        <v>2</v>
      </c>
      <c r="N31" s="438">
        <v>0</v>
      </c>
      <c r="S31" s="223"/>
      <c r="T31" s="223"/>
      <c r="U31" s="223"/>
    </row>
    <row r="32" spans="1:23" ht="15.95" customHeight="1">
      <c r="A32" s="1604"/>
      <c r="B32" s="1606"/>
      <c r="C32" s="225" t="s">
        <v>306</v>
      </c>
      <c r="D32" s="436">
        <v>54</v>
      </c>
      <c r="E32" s="436">
        <v>0</v>
      </c>
      <c r="F32" s="437">
        <v>66</v>
      </c>
      <c r="G32" s="438">
        <v>3</v>
      </c>
      <c r="H32" s="1604"/>
      <c r="I32" s="1606"/>
      <c r="J32" s="222" t="s">
        <v>307</v>
      </c>
      <c r="K32" s="436">
        <v>13</v>
      </c>
      <c r="L32" s="436">
        <v>0</v>
      </c>
      <c r="M32" s="437">
        <v>19</v>
      </c>
      <c r="N32" s="438">
        <v>0</v>
      </c>
      <c r="S32" s="223"/>
      <c r="T32" s="223"/>
      <c r="U32" s="223"/>
    </row>
    <row r="33" spans="1:21" ht="15.95" customHeight="1">
      <c r="A33" s="1604"/>
      <c r="B33" s="1606"/>
      <c r="C33" s="225" t="s">
        <v>308</v>
      </c>
      <c r="D33" s="436">
        <v>65</v>
      </c>
      <c r="E33" s="436">
        <v>0</v>
      </c>
      <c r="F33" s="437">
        <v>78</v>
      </c>
      <c r="G33" s="438">
        <v>4</v>
      </c>
      <c r="H33" s="1604"/>
      <c r="I33" s="1606"/>
      <c r="J33" s="222" t="s">
        <v>309</v>
      </c>
      <c r="K33" s="436">
        <v>13</v>
      </c>
      <c r="L33" s="436">
        <v>0</v>
      </c>
      <c r="M33" s="437">
        <v>16</v>
      </c>
      <c r="N33" s="438">
        <v>1</v>
      </c>
      <c r="S33" s="223"/>
      <c r="T33" s="223"/>
      <c r="U33" s="223"/>
    </row>
    <row r="34" spans="1:21" ht="15.95" customHeight="1">
      <c r="A34" s="1604"/>
      <c r="B34" s="1606"/>
      <c r="C34" s="225" t="s">
        <v>310</v>
      </c>
      <c r="D34" s="436">
        <v>14</v>
      </c>
      <c r="E34" s="436">
        <v>0</v>
      </c>
      <c r="F34" s="437">
        <v>15</v>
      </c>
      <c r="G34" s="438">
        <v>3</v>
      </c>
      <c r="H34" s="1604"/>
      <c r="I34" s="1606"/>
      <c r="J34" s="222" t="s">
        <v>311</v>
      </c>
      <c r="K34" s="436">
        <v>21</v>
      </c>
      <c r="L34" s="436">
        <v>0</v>
      </c>
      <c r="M34" s="437">
        <v>27</v>
      </c>
      <c r="N34" s="438">
        <v>1</v>
      </c>
      <c r="S34" s="223"/>
      <c r="T34" s="223"/>
      <c r="U34" s="223"/>
    </row>
    <row r="35" spans="1:21" ht="15.95" customHeight="1">
      <c r="A35" s="1604"/>
      <c r="B35" s="1606"/>
      <c r="C35" s="225" t="s">
        <v>312</v>
      </c>
      <c r="D35" s="436">
        <v>172</v>
      </c>
      <c r="E35" s="436">
        <v>0</v>
      </c>
      <c r="F35" s="437">
        <v>217</v>
      </c>
      <c r="G35" s="438">
        <v>16</v>
      </c>
      <c r="H35" s="1604"/>
      <c r="I35" s="1606"/>
      <c r="J35" s="222" t="s">
        <v>313</v>
      </c>
      <c r="K35" s="436">
        <v>0</v>
      </c>
      <c r="L35" s="436">
        <v>0</v>
      </c>
      <c r="M35" s="437">
        <v>0</v>
      </c>
      <c r="N35" s="438">
        <v>0</v>
      </c>
      <c r="S35" s="223"/>
      <c r="T35" s="223"/>
      <c r="U35" s="223"/>
    </row>
    <row r="36" spans="1:21" ht="15.95" customHeight="1">
      <c r="A36" s="1604"/>
      <c r="B36" s="1606"/>
      <c r="C36" s="225" t="s">
        <v>314</v>
      </c>
      <c r="D36" s="436">
        <v>73</v>
      </c>
      <c r="E36" s="436">
        <v>0</v>
      </c>
      <c r="F36" s="437">
        <v>80</v>
      </c>
      <c r="G36" s="438">
        <v>5</v>
      </c>
      <c r="H36" s="1604"/>
      <c r="I36" s="1606"/>
      <c r="J36" s="222" t="s">
        <v>315</v>
      </c>
      <c r="K36" s="436">
        <v>20</v>
      </c>
      <c r="L36" s="436">
        <v>0</v>
      </c>
      <c r="M36" s="437">
        <v>22</v>
      </c>
      <c r="N36" s="438">
        <v>0</v>
      </c>
      <c r="S36" s="223"/>
      <c r="T36" s="223"/>
      <c r="U36" s="223"/>
    </row>
    <row r="37" spans="1:21" ht="15.95" customHeight="1">
      <c r="A37" s="1604"/>
      <c r="B37" s="1606"/>
      <c r="C37" s="225" t="s">
        <v>316</v>
      </c>
      <c r="D37" s="436">
        <v>72</v>
      </c>
      <c r="E37" s="436">
        <v>2</v>
      </c>
      <c r="F37" s="437">
        <v>77</v>
      </c>
      <c r="G37" s="438">
        <v>7</v>
      </c>
      <c r="H37" s="1604"/>
      <c r="I37" s="1606"/>
      <c r="J37" s="222" t="s">
        <v>317</v>
      </c>
      <c r="K37" s="436">
        <v>4</v>
      </c>
      <c r="L37" s="436">
        <v>0</v>
      </c>
      <c r="M37" s="437">
        <v>4</v>
      </c>
      <c r="N37" s="438">
        <v>1</v>
      </c>
      <c r="S37" s="223"/>
      <c r="T37" s="223"/>
      <c r="U37" s="223"/>
    </row>
    <row r="38" spans="1:21" ht="15.95" customHeight="1">
      <c r="A38" s="1604"/>
      <c r="B38" s="1606"/>
      <c r="C38" s="225" t="s">
        <v>318</v>
      </c>
      <c r="D38" s="436">
        <v>18</v>
      </c>
      <c r="E38" s="436">
        <v>0</v>
      </c>
      <c r="F38" s="437">
        <v>20</v>
      </c>
      <c r="G38" s="438">
        <v>4</v>
      </c>
      <c r="H38" s="1604"/>
      <c r="I38" s="1606"/>
      <c r="J38" s="229" t="s">
        <v>319</v>
      </c>
      <c r="K38" s="436">
        <v>3</v>
      </c>
      <c r="L38" s="436">
        <v>0</v>
      </c>
      <c r="M38" s="437">
        <v>5</v>
      </c>
      <c r="N38" s="438">
        <v>0</v>
      </c>
      <c r="S38" s="223"/>
      <c r="T38" s="223"/>
      <c r="U38" s="223"/>
    </row>
    <row r="39" spans="1:21" ht="15.95" customHeight="1">
      <c r="A39" s="1604"/>
      <c r="B39" s="1606"/>
      <c r="C39" s="225" t="s">
        <v>320</v>
      </c>
      <c r="D39" s="436">
        <v>76</v>
      </c>
      <c r="E39" s="436">
        <v>0</v>
      </c>
      <c r="F39" s="437">
        <v>82</v>
      </c>
      <c r="G39" s="438">
        <v>7</v>
      </c>
      <c r="H39" s="1604"/>
      <c r="I39" s="1606"/>
      <c r="J39" s="222" t="s">
        <v>321</v>
      </c>
      <c r="K39" s="436">
        <v>16</v>
      </c>
      <c r="L39" s="436">
        <v>0</v>
      </c>
      <c r="M39" s="437">
        <v>17</v>
      </c>
      <c r="N39" s="438">
        <v>5</v>
      </c>
      <c r="S39" s="223"/>
      <c r="T39" s="223"/>
      <c r="U39" s="223"/>
    </row>
    <row r="40" spans="1:21" ht="15.95" customHeight="1">
      <c r="A40" s="1604"/>
      <c r="B40" s="1606"/>
      <c r="C40" s="225" t="s">
        <v>322</v>
      </c>
      <c r="D40" s="436">
        <v>21</v>
      </c>
      <c r="E40" s="436">
        <v>0</v>
      </c>
      <c r="F40" s="437">
        <v>21</v>
      </c>
      <c r="G40" s="438">
        <v>1</v>
      </c>
      <c r="H40" s="1604"/>
      <c r="I40" s="1606"/>
      <c r="J40" s="222" t="s">
        <v>323</v>
      </c>
      <c r="K40" s="436">
        <v>1</v>
      </c>
      <c r="L40" s="436">
        <v>0</v>
      </c>
      <c r="M40" s="437">
        <v>1</v>
      </c>
      <c r="N40" s="438">
        <v>0</v>
      </c>
      <c r="S40" s="223"/>
      <c r="T40" s="223"/>
      <c r="U40" s="223"/>
    </row>
    <row r="41" spans="1:21" ht="15.95" customHeight="1">
      <c r="A41" s="1604"/>
      <c r="B41" s="1606"/>
      <c r="C41" s="225" t="s">
        <v>324</v>
      </c>
      <c r="D41" s="436">
        <v>31</v>
      </c>
      <c r="E41" s="436">
        <v>1</v>
      </c>
      <c r="F41" s="437">
        <v>33</v>
      </c>
      <c r="G41" s="438">
        <v>4</v>
      </c>
      <c r="H41" s="1604"/>
      <c r="I41" s="1606"/>
      <c r="J41" s="222" t="s">
        <v>325</v>
      </c>
      <c r="K41" s="436">
        <v>0</v>
      </c>
      <c r="L41" s="436">
        <v>0</v>
      </c>
      <c r="M41" s="437">
        <v>0</v>
      </c>
      <c r="N41" s="438">
        <v>0</v>
      </c>
      <c r="S41" s="223"/>
      <c r="T41" s="223"/>
      <c r="U41" s="223"/>
    </row>
    <row r="42" spans="1:21" ht="15.95" customHeight="1">
      <c r="A42" s="1604"/>
      <c r="B42" s="1606"/>
      <c r="C42" s="225" t="s">
        <v>326</v>
      </c>
      <c r="D42" s="436">
        <v>54</v>
      </c>
      <c r="E42" s="436">
        <v>1</v>
      </c>
      <c r="F42" s="437">
        <v>62</v>
      </c>
      <c r="G42" s="438">
        <v>6</v>
      </c>
      <c r="H42" s="1604"/>
      <c r="I42" s="1606"/>
      <c r="J42" s="230" t="s">
        <v>327</v>
      </c>
      <c r="K42" s="436">
        <v>8</v>
      </c>
      <c r="L42" s="436">
        <v>0</v>
      </c>
      <c r="M42" s="437">
        <v>10</v>
      </c>
      <c r="N42" s="438">
        <v>1</v>
      </c>
      <c r="S42" s="223"/>
      <c r="T42" s="223"/>
      <c r="U42" s="223"/>
    </row>
    <row r="43" spans="1:21" ht="15.95" customHeight="1" thickBot="1">
      <c r="A43" s="1604"/>
      <c r="B43" s="1606"/>
      <c r="C43" s="231" t="s">
        <v>328</v>
      </c>
      <c r="D43" s="439">
        <v>35</v>
      </c>
      <c r="E43" s="439">
        <v>0</v>
      </c>
      <c r="F43" s="440">
        <v>43</v>
      </c>
      <c r="G43" s="438">
        <v>4</v>
      </c>
      <c r="H43" s="1605"/>
      <c r="I43" s="1608"/>
      <c r="J43" s="230" t="s">
        <v>329</v>
      </c>
      <c r="K43" s="446">
        <v>0</v>
      </c>
      <c r="L43" s="446">
        <v>0</v>
      </c>
      <c r="M43" s="447">
        <v>0</v>
      </c>
      <c r="N43" s="448">
        <v>0</v>
      </c>
      <c r="S43" s="223"/>
      <c r="T43" s="223"/>
      <c r="U43" s="223"/>
    </row>
    <row r="44" spans="1:21" ht="15.95" customHeight="1" thickBot="1">
      <c r="A44" s="1605"/>
      <c r="B44" s="1608"/>
      <c r="C44" s="232" t="s">
        <v>266</v>
      </c>
      <c r="D44" s="441">
        <v>5</v>
      </c>
      <c r="E44" s="441">
        <v>0</v>
      </c>
      <c r="F44" s="442">
        <v>5</v>
      </c>
      <c r="G44" s="443">
        <v>0</v>
      </c>
      <c r="H44" s="1609" t="s">
        <v>330</v>
      </c>
      <c r="I44" s="1610"/>
      <c r="J44" s="1593"/>
      <c r="K44" s="1329">
        <v>4750</v>
      </c>
      <c r="L44" s="449">
        <v>25</v>
      </c>
      <c r="M44" s="1330">
        <v>5647</v>
      </c>
      <c r="N44" s="450">
        <v>460</v>
      </c>
      <c r="S44" s="223"/>
      <c r="T44" s="223"/>
      <c r="U44" s="223"/>
    </row>
    <row r="45" spans="1:21" ht="15.95" customHeight="1" thickBot="1">
      <c r="A45" s="233"/>
      <c r="B45" s="233"/>
      <c r="C45" s="9"/>
      <c r="D45" s="9"/>
      <c r="E45" s="9"/>
      <c r="F45" s="9"/>
      <c r="G45" s="9"/>
      <c r="H45" s="1592" t="s">
        <v>331</v>
      </c>
      <c r="I45" s="1593"/>
      <c r="J45" s="1593"/>
      <c r="K45" s="1329">
        <v>3356</v>
      </c>
      <c r="L45" s="449">
        <v>15</v>
      </c>
      <c r="M45" s="1330">
        <v>3631</v>
      </c>
      <c r="N45" s="237">
        <v>434</v>
      </c>
      <c r="O45" s="228"/>
      <c r="S45" s="223"/>
      <c r="T45" s="223"/>
      <c r="U45" s="223"/>
    </row>
    <row r="46" spans="1:21" ht="15.95" customHeight="1" thickBot="1">
      <c r="A46" s="9"/>
      <c r="B46" s="9"/>
      <c r="C46" s="9"/>
      <c r="D46" s="9"/>
      <c r="E46" s="9"/>
      <c r="F46" s="9"/>
      <c r="G46" s="9"/>
      <c r="H46" s="1594" t="s">
        <v>995</v>
      </c>
      <c r="I46" s="1593"/>
      <c r="J46" s="1593"/>
      <c r="K46" s="234">
        <f>K44+K45</f>
        <v>8106</v>
      </c>
      <c r="L46" s="235">
        <f>L44+L45</f>
        <v>40</v>
      </c>
      <c r="M46" s="236">
        <f>M44+M45</f>
        <v>9278</v>
      </c>
      <c r="N46" s="237">
        <f>N44+N45</f>
        <v>894</v>
      </c>
    </row>
    <row r="47" spans="1:21" ht="15.95" customHeight="1"/>
    <row r="48" spans="1:2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25.5" customHeight="1"/>
    <row r="85" ht="28.5" customHeight="1"/>
    <row r="86" ht="15.95" customHeight="1"/>
  </sheetData>
  <mergeCells count="18">
    <mergeCell ref="A4:A44"/>
    <mergeCell ref="B4:B15"/>
    <mergeCell ref="H4:H43"/>
    <mergeCell ref="I4:I12"/>
    <mergeCell ref="I13:I43"/>
    <mergeCell ref="B16:B44"/>
    <mergeCell ref="H44:J44"/>
    <mergeCell ref="H45:J45"/>
    <mergeCell ref="H46:J46"/>
    <mergeCell ref="H1:N1"/>
    <mergeCell ref="B2:C3"/>
    <mergeCell ref="D2:D3"/>
    <mergeCell ref="E2:E3"/>
    <mergeCell ref="F2:F3"/>
    <mergeCell ref="M2:M3"/>
    <mergeCell ref="L2:L3"/>
    <mergeCell ref="K2:K3"/>
    <mergeCell ref="I2:J3"/>
  </mergeCells>
  <phoneticPr fontId="3"/>
  <pageMargins left="0.59055118110236227" right="0.59055118110236227" top="0.98425196850393704" bottom="0.98425196850393704" header="0.51181102362204722" footer="0.51181102362204722"/>
  <pageSetup paperSize="9" scale="86" firstPageNumber="0" orientation="portrait" r:id="rId1"/>
  <headerFooter alignWithMargins="0">
    <oddFooter xml:space="preserve">&amp;C-8-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8"/>
  <sheetViews>
    <sheetView view="pageBreakPreview" zoomScale="70" zoomScaleNormal="100" zoomScaleSheetLayoutView="70" workbookViewId="0">
      <selection activeCell="B2" sqref="B2"/>
    </sheetView>
  </sheetViews>
  <sheetFormatPr defaultColWidth="9" defaultRowHeight="14.25"/>
  <cols>
    <col min="1" max="71" width="2.25" style="116" customWidth="1"/>
    <col min="72" max="72" width="15.5" style="116" bestFit="1" customWidth="1"/>
    <col min="73" max="73" width="9" style="116" customWidth="1"/>
    <col min="74" max="105" width="2.25" style="116" customWidth="1"/>
    <col min="106" max="16384" width="9" style="116"/>
  </cols>
  <sheetData>
    <row r="1" spans="1:73" ht="27" customHeight="1"/>
    <row r="2" spans="1:73" ht="23.25" customHeight="1">
      <c r="B2" s="238" t="s">
        <v>332</v>
      </c>
      <c r="C2" s="239"/>
      <c r="D2" s="239"/>
      <c r="E2" s="239"/>
      <c r="F2" s="239"/>
      <c r="G2" s="239"/>
      <c r="H2" s="239"/>
      <c r="I2" s="239"/>
      <c r="J2" s="239"/>
      <c r="K2" s="239"/>
      <c r="L2" s="239"/>
      <c r="M2" s="239"/>
      <c r="N2" s="239"/>
      <c r="O2" s="239"/>
    </row>
    <row r="3" spans="1:73" ht="22.5" customHeight="1">
      <c r="A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row>
    <row r="4" spans="1:73" ht="10.5" customHeight="1">
      <c r="A4" s="240"/>
      <c r="B4" s="241"/>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row>
    <row r="5" spans="1:73">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row>
    <row r="6" spans="1:73">
      <c r="A6" s="240"/>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row>
    <row r="7" spans="1:73">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row>
    <row r="8" spans="1:73">
      <c r="A8" s="240"/>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row>
    <row r="9" spans="1:73">
      <c r="A9" s="240"/>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row>
    <row r="10" spans="1:73">
      <c r="A10" s="240"/>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T10" s="116" t="s">
        <v>333</v>
      </c>
      <c r="BU10" s="242" t="s">
        <v>402</v>
      </c>
    </row>
    <row r="11" spans="1:73">
      <c r="A11" s="240"/>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T11" s="116" t="s">
        <v>334</v>
      </c>
      <c r="BU11" s="451" t="s">
        <v>403</v>
      </c>
    </row>
    <row r="12" spans="1:73">
      <c r="A12" s="240"/>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T12" s="116" t="s">
        <v>335</v>
      </c>
      <c r="BU12" s="451" t="s">
        <v>404</v>
      </c>
    </row>
    <row r="13" spans="1:73">
      <c r="A13" s="240"/>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T13" s="116" t="s">
        <v>336</v>
      </c>
      <c r="BU13" s="451" t="s">
        <v>405</v>
      </c>
    </row>
    <row r="14" spans="1:73">
      <c r="A14" s="240"/>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T14" s="116" t="s">
        <v>337</v>
      </c>
      <c r="BU14" s="451" t="s">
        <v>406</v>
      </c>
    </row>
    <row r="15" spans="1:73">
      <c r="A15" s="240"/>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T15" s="116" t="s">
        <v>338</v>
      </c>
      <c r="BU15" s="451" t="s">
        <v>407</v>
      </c>
    </row>
    <row r="16" spans="1:73">
      <c r="A16" s="240"/>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T16" s="116" t="s">
        <v>339</v>
      </c>
      <c r="BU16" s="451" t="s">
        <v>408</v>
      </c>
    </row>
    <row r="17" spans="1:73">
      <c r="A17" s="240"/>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T17" s="116" t="s">
        <v>340</v>
      </c>
      <c r="BU17" s="451" t="s">
        <v>409</v>
      </c>
    </row>
    <row r="18" spans="1:73">
      <c r="A18" s="240"/>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T18" s="116" t="s">
        <v>341</v>
      </c>
      <c r="BU18" s="451" t="s">
        <v>410</v>
      </c>
    </row>
    <row r="19" spans="1:73">
      <c r="A19" s="24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T19" s="116" t="s">
        <v>342</v>
      </c>
      <c r="BU19" s="451" t="s">
        <v>406</v>
      </c>
    </row>
    <row r="20" spans="1:73">
      <c r="A20" s="240"/>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T20" s="116" t="s">
        <v>343</v>
      </c>
      <c r="BU20" s="451" t="s">
        <v>411</v>
      </c>
    </row>
    <row r="21" spans="1:73">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T21" s="116" t="s">
        <v>344</v>
      </c>
      <c r="BU21" s="451" t="s">
        <v>412</v>
      </c>
    </row>
    <row r="22" spans="1:73">
      <c r="A22" s="240"/>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T22" s="116" t="s">
        <v>345</v>
      </c>
      <c r="BU22" s="451" t="s">
        <v>413</v>
      </c>
    </row>
    <row r="23" spans="1:73">
      <c r="A23" s="240"/>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T23" s="116" t="s">
        <v>346</v>
      </c>
      <c r="BU23" s="451" t="s">
        <v>414</v>
      </c>
    </row>
    <row r="24" spans="1:73">
      <c r="A24" s="240"/>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T24" s="116" t="s">
        <v>347</v>
      </c>
      <c r="BU24" s="451" t="s">
        <v>415</v>
      </c>
    </row>
    <row r="25" spans="1:73">
      <c r="A25" s="240"/>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T25" s="116" t="s">
        <v>348</v>
      </c>
      <c r="BU25" s="451" t="s">
        <v>416</v>
      </c>
    </row>
    <row r="26" spans="1:73">
      <c r="A26" s="240"/>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U26" s="242"/>
    </row>
    <row r="27" spans="1:73">
      <c r="A27" s="240"/>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U27" s="242"/>
    </row>
    <row r="28" spans="1:73">
      <c r="A28" s="240"/>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U28" s="242"/>
    </row>
    <row r="29" spans="1:73">
      <c r="A29" s="240"/>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U29" s="242"/>
    </row>
    <row r="30" spans="1:73">
      <c r="A30" s="240"/>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U30" s="242"/>
    </row>
    <row r="31" spans="1:73">
      <c r="A31" s="240"/>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row>
    <row r="32" spans="1:73">
      <c r="A32" s="240"/>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row>
    <row r="33" spans="1:59">
      <c r="A33" s="240"/>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row>
    <row r="34" spans="1:59">
      <c r="A34" s="240"/>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row>
    <row r="35" spans="1:59">
      <c r="A35" s="240"/>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row>
    <row r="36" spans="1:59">
      <c r="A36" s="240"/>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row>
    <row r="37" spans="1:59">
      <c r="A37" s="240"/>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row>
    <row r="38" spans="1:59">
      <c r="A38" s="240"/>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row>
    <row r="39" spans="1:59">
      <c r="A39" s="240"/>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row>
    <row r="40" spans="1:59">
      <c r="A40" s="240"/>
      <c r="B40" s="240"/>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row>
    <row r="41" spans="1:59">
      <c r="A41" s="240"/>
      <c r="B41" s="240"/>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row>
    <row r="42" spans="1:59">
      <c r="A42" s="240"/>
      <c r="B42" s="240"/>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row>
    <row r="43" spans="1:59">
      <c r="A43" s="240"/>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row>
    <row r="44" spans="1:59">
      <c r="A44" s="240"/>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row>
    <row r="45" spans="1:59">
      <c r="A45" s="240"/>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row>
    <row r="46" spans="1:59">
      <c r="A46" s="240"/>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row>
    <row r="47" spans="1:59">
      <c r="A47" s="240"/>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row>
    <row r="48" spans="1:59">
      <c r="A48" s="240"/>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row>
    <row r="49" spans="1:59">
      <c r="A49" s="240"/>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row>
    <row r="50" spans="1:59">
      <c r="A50" s="240"/>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row>
    <row r="51" spans="1:59">
      <c r="A51" s="240"/>
      <c r="B51" s="240"/>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row>
    <row r="52" spans="1:59">
      <c r="A52" s="240"/>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row>
    <row r="53" spans="1:59">
      <c r="A53" s="240"/>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row>
    <row r="54" spans="1:59">
      <c r="A54" s="240"/>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row>
    <row r="55" spans="1:59">
      <c r="A55" s="240"/>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row>
    <row r="56" spans="1:59">
      <c r="A56" s="240"/>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row>
    <row r="57" spans="1:59">
      <c r="A57" s="240"/>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row>
    <row r="58" spans="1:59">
      <c r="A58" s="240"/>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row>
    <row r="59" spans="1:59">
      <c r="A59" s="240"/>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row>
    <row r="60" spans="1:59">
      <c r="A60" s="240"/>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row>
    <row r="61" spans="1:59">
      <c r="A61" s="240"/>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row>
    <row r="62" spans="1:59">
      <c r="A62" s="240"/>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0"/>
    </row>
    <row r="63" spans="1:59">
      <c r="A63" s="240"/>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row>
    <row r="64" spans="1:59">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row>
    <row r="65" spans="1:59">
      <c r="A65" s="240"/>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row>
    <row r="66" spans="1:59">
      <c r="A66" s="240"/>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0"/>
    </row>
    <row r="67" spans="1:59">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row>
    <row r="68" spans="1:59">
      <c r="A68" s="240"/>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row>
    <row r="69" spans="1:59">
      <c r="A69" s="240"/>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row>
    <row r="70" spans="1:59">
      <c r="A70" s="240"/>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row>
    <row r="71" spans="1:59">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row>
    <row r="72" spans="1:59">
      <c r="A72" s="240"/>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row>
    <row r="73" spans="1:59">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row>
    <row r="74" spans="1:59">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row>
    <row r="75" spans="1:59">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row>
    <row r="76" spans="1:59">
      <c r="A76" s="240"/>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row>
    <row r="77" spans="1:59">
      <c r="A77" s="240"/>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row>
    <row r="78" spans="1:59">
      <c r="A78" s="240"/>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row>
    <row r="79" spans="1:59">
      <c r="A79" s="240"/>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row>
    <row r="80" spans="1:59">
      <c r="A80" s="240"/>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row>
    <row r="81" spans="1:59">
      <c r="A81" s="240"/>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row>
    <row r="82" spans="1:59">
      <c r="A82" s="240"/>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row>
    <row r="83" spans="1:59">
      <c r="A83" s="240"/>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row>
    <row r="84" spans="1:59">
      <c r="A84" s="240"/>
      <c r="B84" s="240"/>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row>
    <row r="85" spans="1:59">
      <c r="A85" s="240"/>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row>
    <row r="86" spans="1:59">
      <c r="A86" s="240"/>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row>
    <row r="87" spans="1:59">
      <c r="A87" s="240"/>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row>
    <row r="88" spans="1:59">
      <c r="A88" s="240"/>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row>
  </sheetData>
  <phoneticPr fontId="3"/>
  <pageMargins left="0.7" right="0.7" top="0.75" bottom="0.75" header="0.3" footer="0.3"/>
  <pageSetup paperSize="9" scale="57" firstPageNumber="0" orientation="portrait" r:id="rId1"/>
  <headerFooter alignWithMargins="0">
    <oddFooter>&amp;C&amp;18-9-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topLeftCell="A13" zoomScaleNormal="100" zoomScaleSheetLayoutView="100" workbookViewId="0">
      <selection activeCell="Q10" sqref="Q10"/>
    </sheetView>
  </sheetViews>
  <sheetFormatPr defaultRowHeight="14.25"/>
  <cols>
    <col min="1" max="1" width="1.5" style="2" customWidth="1"/>
    <col min="2" max="2" width="7.625" style="2" customWidth="1"/>
    <col min="3" max="14" width="8.125" style="2" customWidth="1"/>
    <col min="15" max="16384" width="9" style="2"/>
  </cols>
  <sheetData>
    <row r="1" spans="1:14" ht="21" customHeight="1" thickBot="1">
      <c r="A1" s="69" t="s">
        <v>349</v>
      </c>
      <c r="B1" s="69"/>
      <c r="G1" s="1622" t="s">
        <v>966</v>
      </c>
      <c r="H1" s="1622"/>
      <c r="I1" s="1622"/>
      <c r="J1" s="1622"/>
      <c r="K1" s="1622"/>
      <c r="L1" s="1450"/>
      <c r="M1" s="1450"/>
      <c r="N1" s="1450"/>
    </row>
    <row r="2" spans="1:14" ht="5.25" customHeight="1">
      <c r="A2" s="1636" t="s">
        <v>350</v>
      </c>
      <c r="B2" s="1637"/>
      <c r="C2" s="1425" t="s">
        <v>351</v>
      </c>
      <c r="D2" s="1624"/>
      <c r="E2" s="1625"/>
      <c r="F2" s="1425" t="s">
        <v>352</v>
      </c>
      <c r="G2" s="1453"/>
      <c r="H2" s="1590"/>
      <c r="I2" s="1425" t="s">
        <v>353</v>
      </c>
      <c r="J2" s="1453"/>
      <c r="K2" s="1453"/>
      <c r="L2" s="1623"/>
      <c r="M2" s="1404"/>
      <c r="N2" s="1405"/>
    </row>
    <row r="3" spans="1:14" ht="19.5" customHeight="1">
      <c r="A3" s="1638"/>
      <c r="B3" s="1639"/>
      <c r="C3" s="1626"/>
      <c r="D3" s="1627"/>
      <c r="E3" s="1628"/>
      <c r="F3" s="1591"/>
      <c r="G3" s="1629"/>
      <c r="H3" s="1456"/>
      <c r="I3" s="1591"/>
      <c r="J3" s="1629"/>
      <c r="K3" s="1456"/>
      <c r="L3" s="1630" t="s">
        <v>914</v>
      </c>
      <c r="M3" s="1631"/>
      <c r="N3" s="1632"/>
    </row>
    <row r="4" spans="1:14" ht="15" thickBot="1">
      <c r="A4" s="353" t="s">
        <v>398</v>
      </c>
      <c r="B4" s="354"/>
      <c r="C4" s="244" t="s">
        <v>354</v>
      </c>
      <c r="D4" s="245" t="s">
        <v>266</v>
      </c>
      <c r="E4" s="230" t="s">
        <v>1002</v>
      </c>
      <c r="F4" s="244" t="s">
        <v>354</v>
      </c>
      <c r="G4" s="245" t="s">
        <v>266</v>
      </c>
      <c r="H4" s="230" t="s">
        <v>1002</v>
      </c>
      <c r="I4" s="1373" t="s">
        <v>354</v>
      </c>
      <c r="J4" s="245" t="s">
        <v>266</v>
      </c>
      <c r="K4" s="230" t="s">
        <v>1002</v>
      </c>
      <c r="L4" s="1373" t="s">
        <v>354</v>
      </c>
      <c r="M4" s="245" t="s">
        <v>266</v>
      </c>
      <c r="N4" s="246" t="s">
        <v>1002</v>
      </c>
    </row>
    <row r="5" spans="1:14" ht="20.100000000000001" customHeight="1">
      <c r="A5" s="1646">
        <v>1</v>
      </c>
      <c r="B5" s="1417"/>
      <c r="C5" s="317">
        <v>333</v>
      </c>
      <c r="D5" s="327">
        <v>254</v>
      </c>
      <c r="E5" s="247">
        <f t="shared" ref="E5:E16" si="0">SUM(C5:D5)</f>
        <v>587</v>
      </c>
      <c r="F5" s="317">
        <v>0</v>
      </c>
      <c r="G5" s="327">
        <v>0</v>
      </c>
      <c r="H5" s="247">
        <f t="shared" ref="H5:H16" si="1">SUM(F5:G5)</f>
        <v>0</v>
      </c>
      <c r="I5" s="317">
        <v>393</v>
      </c>
      <c r="J5" s="327">
        <v>276</v>
      </c>
      <c r="K5" s="247">
        <f t="shared" ref="K5:K16" si="2">SUM(I5:J5)</f>
        <v>669</v>
      </c>
      <c r="L5" s="317">
        <v>36</v>
      </c>
      <c r="M5" s="327">
        <v>33</v>
      </c>
      <c r="N5" s="247">
        <f t="shared" ref="N5:N16" si="3">SUM(L5:M5)</f>
        <v>69</v>
      </c>
    </row>
    <row r="6" spans="1:14" ht="20.100000000000001" customHeight="1">
      <c r="A6" s="1643">
        <v>2</v>
      </c>
      <c r="B6" s="1644"/>
      <c r="C6" s="319">
        <v>311</v>
      </c>
      <c r="D6" s="329">
        <v>223</v>
      </c>
      <c r="E6" s="248">
        <f t="shared" si="0"/>
        <v>534</v>
      </c>
      <c r="F6" s="319">
        <v>2</v>
      </c>
      <c r="G6" s="329">
        <v>0</v>
      </c>
      <c r="H6" s="248">
        <f t="shared" si="1"/>
        <v>2</v>
      </c>
      <c r="I6" s="319">
        <v>362</v>
      </c>
      <c r="J6" s="329">
        <v>240</v>
      </c>
      <c r="K6" s="248">
        <f t="shared" si="2"/>
        <v>602</v>
      </c>
      <c r="L6" s="319">
        <v>29</v>
      </c>
      <c r="M6" s="329">
        <v>29</v>
      </c>
      <c r="N6" s="248">
        <f t="shared" si="3"/>
        <v>58</v>
      </c>
    </row>
    <row r="7" spans="1:14" ht="20.100000000000001" customHeight="1">
      <c r="A7" s="1643">
        <v>3</v>
      </c>
      <c r="B7" s="1644"/>
      <c r="C7" s="319">
        <v>469</v>
      </c>
      <c r="D7" s="329">
        <v>294</v>
      </c>
      <c r="E7" s="248">
        <f t="shared" si="0"/>
        <v>763</v>
      </c>
      <c r="F7" s="319">
        <v>2</v>
      </c>
      <c r="G7" s="329">
        <v>1</v>
      </c>
      <c r="H7" s="248">
        <f t="shared" si="1"/>
        <v>3</v>
      </c>
      <c r="I7" s="319">
        <v>553</v>
      </c>
      <c r="J7" s="329">
        <v>309</v>
      </c>
      <c r="K7" s="248">
        <f t="shared" si="2"/>
        <v>862</v>
      </c>
      <c r="L7" s="319">
        <v>48</v>
      </c>
      <c r="M7" s="329">
        <v>25</v>
      </c>
      <c r="N7" s="248">
        <f t="shared" si="3"/>
        <v>73</v>
      </c>
    </row>
    <row r="8" spans="1:14" ht="20.100000000000001" customHeight="1">
      <c r="A8" s="1643">
        <v>4</v>
      </c>
      <c r="B8" s="1644"/>
      <c r="C8" s="319">
        <v>355</v>
      </c>
      <c r="D8" s="329">
        <v>298</v>
      </c>
      <c r="E8" s="248">
        <f t="shared" si="0"/>
        <v>653</v>
      </c>
      <c r="F8" s="319">
        <v>1</v>
      </c>
      <c r="G8" s="329">
        <v>1</v>
      </c>
      <c r="H8" s="248">
        <f t="shared" si="1"/>
        <v>2</v>
      </c>
      <c r="I8" s="319">
        <v>431</v>
      </c>
      <c r="J8" s="329">
        <v>319</v>
      </c>
      <c r="K8" s="248">
        <f t="shared" si="2"/>
        <v>750</v>
      </c>
      <c r="L8" s="319">
        <v>45</v>
      </c>
      <c r="M8" s="329">
        <v>39</v>
      </c>
      <c r="N8" s="248">
        <f t="shared" si="3"/>
        <v>84</v>
      </c>
    </row>
    <row r="9" spans="1:14" ht="20.100000000000001" customHeight="1">
      <c r="A9" s="1643">
        <v>5</v>
      </c>
      <c r="B9" s="1644"/>
      <c r="C9" s="319">
        <v>397</v>
      </c>
      <c r="D9" s="329">
        <v>290</v>
      </c>
      <c r="E9" s="248">
        <f t="shared" si="0"/>
        <v>687</v>
      </c>
      <c r="F9" s="319">
        <v>2</v>
      </c>
      <c r="G9" s="329">
        <v>0</v>
      </c>
      <c r="H9" s="248">
        <f t="shared" si="1"/>
        <v>2</v>
      </c>
      <c r="I9" s="319">
        <v>489</v>
      </c>
      <c r="J9" s="329">
        <v>323</v>
      </c>
      <c r="K9" s="248">
        <f t="shared" si="2"/>
        <v>812</v>
      </c>
      <c r="L9" s="319">
        <v>37</v>
      </c>
      <c r="M9" s="329">
        <v>34</v>
      </c>
      <c r="N9" s="248">
        <f t="shared" si="3"/>
        <v>71</v>
      </c>
    </row>
    <row r="10" spans="1:14" ht="20.100000000000001" customHeight="1">
      <c r="A10" s="1643">
        <v>6</v>
      </c>
      <c r="B10" s="1644"/>
      <c r="C10" s="319">
        <v>396</v>
      </c>
      <c r="D10" s="329">
        <v>262</v>
      </c>
      <c r="E10" s="248">
        <f t="shared" si="0"/>
        <v>658</v>
      </c>
      <c r="F10" s="319">
        <v>5</v>
      </c>
      <c r="G10" s="329">
        <v>2</v>
      </c>
      <c r="H10" s="248">
        <f t="shared" si="1"/>
        <v>7</v>
      </c>
      <c r="I10" s="319">
        <v>468</v>
      </c>
      <c r="J10" s="329">
        <v>279</v>
      </c>
      <c r="K10" s="248">
        <f t="shared" si="2"/>
        <v>747</v>
      </c>
      <c r="L10" s="319">
        <v>32</v>
      </c>
      <c r="M10" s="329">
        <v>32</v>
      </c>
      <c r="N10" s="248">
        <f t="shared" si="3"/>
        <v>64</v>
      </c>
    </row>
    <row r="11" spans="1:14" ht="20.100000000000001" customHeight="1">
      <c r="A11" s="1643">
        <v>7</v>
      </c>
      <c r="B11" s="1644"/>
      <c r="C11" s="319">
        <v>398</v>
      </c>
      <c r="D11" s="329">
        <v>270</v>
      </c>
      <c r="E11" s="248">
        <f t="shared" si="0"/>
        <v>668</v>
      </c>
      <c r="F11" s="319">
        <v>1</v>
      </c>
      <c r="G11" s="329">
        <v>2</v>
      </c>
      <c r="H11" s="248">
        <f t="shared" si="1"/>
        <v>3</v>
      </c>
      <c r="I11" s="319">
        <v>469</v>
      </c>
      <c r="J11" s="329">
        <v>295</v>
      </c>
      <c r="K11" s="248">
        <f t="shared" si="2"/>
        <v>764</v>
      </c>
      <c r="L11" s="319">
        <v>29</v>
      </c>
      <c r="M11" s="329">
        <v>31</v>
      </c>
      <c r="N11" s="248">
        <f t="shared" si="3"/>
        <v>60</v>
      </c>
    </row>
    <row r="12" spans="1:14" ht="20.100000000000001" customHeight="1">
      <c r="A12" s="1643">
        <v>8</v>
      </c>
      <c r="B12" s="1644"/>
      <c r="C12" s="319">
        <v>379</v>
      </c>
      <c r="D12" s="329">
        <v>293</v>
      </c>
      <c r="E12" s="248">
        <f t="shared" si="0"/>
        <v>672</v>
      </c>
      <c r="F12" s="319">
        <v>2</v>
      </c>
      <c r="G12" s="329">
        <v>4</v>
      </c>
      <c r="H12" s="248">
        <f t="shared" si="1"/>
        <v>6</v>
      </c>
      <c r="I12" s="319">
        <v>451</v>
      </c>
      <c r="J12" s="329">
        <v>324</v>
      </c>
      <c r="K12" s="248">
        <f t="shared" si="2"/>
        <v>775</v>
      </c>
      <c r="L12" s="319">
        <v>31</v>
      </c>
      <c r="M12" s="329">
        <v>37</v>
      </c>
      <c r="N12" s="248">
        <f t="shared" si="3"/>
        <v>68</v>
      </c>
    </row>
    <row r="13" spans="1:14" ht="20.100000000000001" customHeight="1">
      <c r="A13" s="1643">
        <v>9</v>
      </c>
      <c r="B13" s="1644"/>
      <c r="C13" s="319">
        <v>366</v>
      </c>
      <c r="D13" s="329">
        <v>272</v>
      </c>
      <c r="E13" s="248">
        <f t="shared" si="0"/>
        <v>638</v>
      </c>
      <c r="F13" s="319">
        <v>0</v>
      </c>
      <c r="G13" s="329">
        <v>2</v>
      </c>
      <c r="H13" s="248">
        <f t="shared" si="1"/>
        <v>2</v>
      </c>
      <c r="I13" s="319">
        <v>437</v>
      </c>
      <c r="J13" s="329">
        <v>293</v>
      </c>
      <c r="K13" s="248">
        <f t="shared" si="2"/>
        <v>730</v>
      </c>
      <c r="L13" s="319">
        <v>41</v>
      </c>
      <c r="M13" s="329">
        <v>41</v>
      </c>
      <c r="N13" s="248">
        <f t="shared" si="3"/>
        <v>82</v>
      </c>
    </row>
    <row r="14" spans="1:14" ht="20.100000000000001" customHeight="1">
      <c r="A14" s="1643">
        <v>10</v>
      </c>
      <c r="B14" s="1644"/>
      <c r="C14" s="319">
        <v>438</v>
      </c>
      <c r="D14" s="329">
        <v>309</v>
      </c>
      <c r="E14" s="248">
        <f t="shared" si="0"/>
        <v>747</v>
      </c>
      <c r="F14" s="319">
        <v>2</v>
      </c>
      <c r="G14" s="329">
        <v>1</v>
      </c>
      <c r="H14" s="248">
        <f t="shared" si="1"/>
        <v>3</v>
      </c>
      <c r="I14" s="319">
        <v>517</v>
      </c>
      <c r="J14" s="329">
        <v>336</v>
      </c>
      <c r="K14" s="248">
        <f t="shared" si="2"/>
        <v>853</v>
      </c>
      <c r="L14" s="319">
        <v>34</v>
      </c>
      <c r="M14" s="329">
        <v>43</v>
      </c>
      <c r="N14" s="248">
        <f t="shared" si="3"/>
        <v>77</v>
      </c>
    </row>
    <row r="15" spans="1:14" ht="20.100000000000001" customHeight="1">
      <c r="A15" s="1643">
        <v>11</v>
      </c>
      <c r="B15" s="1644"/>
      <c r="C15" s="319">
        <v>419</v>
      </c>
      <c r="D15" s="329">
        <v>291</v>
      </c>
      <c r="E15" s="248">
        <f t="shared" si="0"/>
        <v>710</v>
      </c>
      <c r="F15" s="319">
        <v>5</v>
      </c>
      <c r="G15" s="329">
        <v>1</v>
      </c>
      <c r="H15" s="248">
        <f t="shared" si="1"/>
        <v>6</v>
      </c>
      <c r="I15" s="319">
        <v>499</v>
      </c>
      <c r="J15" s="329">
        <v>318</v>
      </c>
      <c r="K15" s="248">
        <f t="shared" si="2"/>
        <v>817</v>
      </c>
      <c r="L15" s="319">
        <v>45</v>
      </c>
      <c r="M15" s="329">
        <v>47</v>
      </c>
      <c r="N15" s="248">
        <f t="shared" si="3"/>
        <v>92</v>
      </c>
    </row>
    <row r="16" spans="1:14" ht="20.100000000000001" customHeight="1" thickBot="1">
      <c r="A16" s="1469">
        <v>12</v>
      </c>
      <c r="B16" s="1645"/>
      <c r="C16" s="326">
        <v>489</v>
      </c>
      <c r="D16" s="330">
        <v>300</v>
      </c>
      <c r="E16" s="249">
        <f t="shared" si="0"/>
        <v>789</v>
      </c>
      <c r="F16" s="326">
        <v>3</v>
      </c>
      <c r="G16" s="330">
        <v>1</v>
      </c>
      <c r="H16" s="249">
        <f t="shared" si="1"/>
        <v>4</v>
      </c>
      <c r="I16" s="326">
        <v>578</v>
      </c>
      <c r="J16" s="330">
        <v>319</v>
      </c>
      <c r="K16" s="249">
        <f t="shared" si="2"/>
        <v>897</v>
      </c>
      <c r="L16" s="326">
        <v>53</v>
      </c>
      <c r="M16" s="330">
        <v>43</v>
      </c>
      <c r="N16" s="249">
        <f t="shared" si="3"/>
        <v>96</v>
      </c>
    </row>
    <row r="17" spans="1:16" ht="20.100000000000001" customHeight="1" thickBot="1">
      <c r="A17" s="1647" t="s">
        <v>995</v>
      </c>
      <c r="B17" s="1648"/>
      <c r="C17" s="252">
        <f>SUM(C5:C16)</f>
        <v>4750</v>
      </c>
      <c r="D17" s="250">
        <f>SUM(D5:D16)</f>
        <v>3356</v>
      </c>
      <c r="E17" s="251">
        <f t="shared" ref="E17:N17" si="4">SUM(E5:E16)</f>
        <v>8106</v>
      </c>
      <c r="F17" s="252">
        <f t="shared" si="4"/>
        <v>25</v>
      </c>
      <c r="G17" s="250">
        <f t="shared" si="4"/>
        <v>15</v>
      </c>
      <c r="H17" s="253">
        <f t="shared" si="4"/>
        <v>40</v>
      </c>
      <c r="I17" s="252">
        <f t="shared" si="4"/>
        <v>5647</v>
      </c>
      <c r="J17" s="250">
        <f t="shared" si="4"/>
        <v>3631</v>
      </c>
      <c r="K17" s="253">
        <f t="shared" si="4"/>
        <v>9278</v>
      </c>
      <c r="L17" s="252">
        <f t="shared" si="4"/>
        <v>460</v>
      </c>
      <c r="M17" s="250">
        <f t="shared" si="4"/>
        <v>434</v>
      </c>
      <c r="N17" s="253">
        <f t="shared" si="4"/>
        <v>894</v>
      </c>
    </row>
    <row r="20" spans="1:16" ht="15" thickBot="1">
      <c r="A20" s="2" t="s">
        <v>355</v>
      </c>
      <c r="G20" s="1394" t="s">
        <v>967</v>
      </c>
      <c r="H20" s="1394"/>
      <c r="I20" s="1394"/>
      <c r="J20" s="1394"/>
      <c r="K20" s="1394"/>
      <c r="L20" s="254"/>
      <c r="M20" s="9"/>
      <c r="N20" s="9"/>
      <c r="O20" s="9"/>
      <c r="P20" s="9"/>
    </row>
    <row r="21" spans="1:16">
      <c r="A21" s="3"/>
      <c r="B21" s="4"/>
      <c r="C21" s="44" t="s">
        <v>356</v>
      </c>
      <c r="D21" s="1436" t="s">
        <v>357</v>
      </c>
      <c r="E21" s="1544" t="s">
        <v>971</v>
      </c>
      <c r="F21" s="1544" t="s">
        <v>972</v>
      </c>
      <c r="G21" s="1544" t="s">
        <v>973</v>
      </c>
      <c r="H21" s="1544" t="s">
        <v>974</v>
      </c>
      <c r="I21" s="1544" t="s">
        <v>975</v>
      </c>
      <c r="J21" s="1544" t="s">
        <v>968</v>
      </c>
      <c r="K21" s="1633" t="s">
        <v>969</v>
      </c>
      <c r="L21" s="1544" t="s">
        <v>970</v>
      </c>
      <c r="M21" s="1438" t="s">
        <v>925</v>
      </c>
      <c r="N21" s="1635"/>
    </row>
    <row r="22" spans="1:16" ht="15" thickBot="1">
      <c r="A22" s="6" t="s">
        <v>362</v>
      </c>
      <c r="B22" s="7"/>
      <c r="C22" s="255" t="s">
        <v>363</v>
      </c>
      <c r="D22" s="1397"/>
      <c r="E22" s="1545"/>
      <c r="F22" s="1545"/>
      <c r="G22" s="1545"/>
      <c r="H22" s="1545"/>
      <c r="I22" s="1545"/>
      <c r="J22" s="1545"/>
      <c r="K22" s="1634"/>
      <c r="L22" s="1545"/>
      <c r="M22" s="1439"/>
      <c r="N22" s="1635"/>
    </row>
    <row r="23" spans="1:16" ht="19.5" customHeight="1">
      <c r="A23" s="1425" t="s">
        <v>364</v>
      </c>
      <c r="B23" s="1442"/>
      <c r="C23" s="256" t="s">
        <v>354</v>
      </c>
      <c r="D23" s="257">
        <v>12747</v>
      </c>
      <c r="E23" s="258">
        <v>7859</v>
      </c>
      <c r="F23" s="258">
        <v>7635</v>
      </c>
      <c r="G23" s="258">
        <v>7269</v>
      </c>
      <c r="H23" s="258">
        <v>6723</v>
      </c>
      <c r="I23" s="258">
        <v>6306</v>
      </c>
      <c r="J23" s="258">
        <v>5891</v>
      </c>
      <c r="K23" s="258">
        <v>4845</v>
      </c>
      <c r="L23" s="276">
        <v>4838</v>
      </c>
      <c r="M23" s="259">
        <v>4750</v>
      </c>
      <c r="N23" s="260"/>
    </row>
    <row r="24" spans="1:16" ht="19.5" customHeight="1">
      <c r="A24" s="1426"/>
      <c r="B24" s="1640"/>
      <c r="C24" s="261" t="s">
        <v>266</v>
      </c>
      <c r="D24" s="262">
        <v>10633</v>
      </c>
      <c r="E24" s="263">
        <v>5087</v>
      </c>
      <c r="F24" s="263">
        <v>5134</v>
      </c>
      <c r="G24" s="263">
        <v>4904</v>
      </c>
      <c r="H24" s="263">
        <v>4609</v>
      </c>
      <c r="I24" s="263">
        <v>4579</v>
      </c>
      <c r="J24" s="263">
        <v>4189</v>
      </c>
      <c r="K24" s="263">
        <v>3411</v>
      </c>
      <c r="L24" s="274">
        <v>3458</v>
      </c>
      <c r="M24" s="264">
        <v>3356</v>
      </c>
      <c r="N24" s="260"/>
    </row>
    <row r="25" spans="1:16" ht="19.5" customHeight="1">
      <c r="A25" s="1426"/>
      <c r="B25" s="1640"/>
      <c r="C25" s="1369" t="s">
        <v>996</v>
      </c>
      <c r="D25" s="265">
        <f>D23+D24</f>
        <v>23380</v>
      </c>
      <c r="E25" s="266">
        <v>12946</v>
      </c>
      <c r="F25" s="263">
        <v>12769</v>
      </c>
      <c r="G25" s="263">
        <v>12173</v>
      </c>
      <c r="H25" s="263">
        <v>11332</v>
      </c>
      <c r="I25" s="263">
        <v>10885</v>
      </c>
      <c r="J25" s="263">
        <v>10080</v>
      </c>
      <c r="K25" s="263">
        <v>8256</v>
      </c>
      <c r="L25" s="274">
        <v>8296</v>
      </c>
      <c r="M25" s="264">
        <v>8106</v>
      </c>
      <c r="N25" s="260"/>
    </row>
    <row r="26" spans="1:16" ht="36.75" thickBot="1">
      <c r="A26" s="1641"/>
      <c r="B26" s="1642"/>
      <c r="C26" s="267" t="s">
        <v>365</v>
      </c>
      <c r="D26" s="268">
        <f t="shared" ref="D26:M26" si="5">D23/D25*100</f>
        <v>54.52095808383234</v>
      </c>
      <c r="E26" s="269">
        <f t="shared" si="5"/>
        <v>60.706009578248107</v>
      </c>
      <c r="F26" s="270">
        <f t="shared" si="5"/>
        <v>59.793249275589325</v>
      </c>
      <c r="G26" s="270">
        <f t="shared" si="5"/>
        <v>59.714121416249078</v>
      </c>
      <c r="H26" s="270">
        <f t="shared" si="5"/>
        <v>59.327567949170486</v>
      </c>
      <c r="I26" s="270">
        <f t="shared" si="5"/>
        <v>57.932935231970603</v>
      </c>
      <c r="J26" s="270">
        <f t="shared" si="5"/>
        <v>58.442460317460323</v>
      </c>
      <c r="K26" s="270">
        <f t="shared" si="5"/>
        <v>58.684593023255815</v>
      </c>
      <c r="L26" s="454">
        <f t="shared" si="5"/>
        <v>58.317261330761816</v>
      </c>
      <c r="M26" s="271">
        <f t="shared" si="5"/>
        <v>58.598568961263261</v>
      </c>
      <c r="N26" s="272"/>
    </row>
    <row r="27" spans="1:16" ht="19.5" customHeight="1">
      <c r="A27" s="1425" t="s">
        <v>366</v>
      </c>
      <c r="B27" s="1615"/>
      <c r="C27" s="355" t="s">
        <v>354</v>
      </c>
      <c r="D27" s="257">
        <v>111</v>
      </c>
      <c r="E27" s="273">
        <v>34</v>
      </c>
      <c r="F27" s="258">
        <v>35</v>
      </c>
      <c r="G27" s="258">
        <v>30</v>
      </c>
      <c r="H27" s="258">
        <v>33</v>
      </c>
      <c r="I27" s="258">
        <v>29</v>
      </c>
      <c r="J27" s="258">
        <v>23</v>
      </c>
      <c r="K27" s="258">
        <v>29</v>
      </c>
      <c r="L27" s="276">
        <v>34</v>
      </c>
      <c r="M27" s="259">
        <v>25</v>
      </c>
      <c r="N27" s="260"/>
    </row>
    <row r="28" spans="1:16" ht="19.5" customHeight="1">
      <c r="A28" s="1426"/>
      <c r="B28" s="1424"/>
      <c r="C28" s="356" t="s">
        <v>266</v>
      </c>
      <c r="D28" s="262">
        <v>111</v>
      </c>
      <c r="E28" s="266">
        <v>17</v>
      </c>
      <c r="F28" s="263">
        <v>16</v>
      </c>
      <c r="G28" s="263">
        <v>19</v>
      </c>
      <c r="H28" s="263">
        <v>11</v>
      </c>
      <c r="I28" s="263">
        <v>15</v>
      </c>
      <c r="J28" s="263">
        <v>11</v>
      </c>
      <c r="K28" s="263">
        <v>8</v>
      </c>
      <c r="L28" s="274">
        <v>9</v>
      </c>
      <c r="M28" s="264">
        <v>15</v>
      </c>
      <c r="N28" s="260"/>
    </row>
    <row r="29" spans="1:16" ht="19.5" customHeight="1">
      <c r="A29" s="1426"/>
      <c r="B29" s="1424"/>
      <c r="C29" s="1370" t="s">
        <v>996</v>
      </c>
      <c r="D29" s="265">
        <f>D27+D28</f>
        <v>222</v>
      </c>
      <c r="E29" s="274">
        <v>51</v>
      </c>
      <c r="F29" s="266">
        <v>51</v>
      </c>
      <c r="G29" s="263">
        <v>49</v>
      </c>
      <c r="H29" s="263">
        <v>44</v>
      </c>
      <c r="I29" s="263">
        <v>44</v>
      </c>
      <c r="J29" s="263">
        <v>34</v>
      </c>
      <c r="K29" s="263">
        <v>37</v>
      </c>
      <c r="L29" s="274">
        <v>43</v>
      </c>
      <c r="M29" s="264">
        <v>40</v>
      </c>
      <c r="N29" s="260"/>
    </row>
    <row r="30" spans="1:16" ht="36.75" thickBot="1">
      <c r="A30" s="1641"/>
      <c r="B30" s="1616"/>
      <c r="C30" s="357" t="s">
        <v>365</v>
      </c>
      <c r="D30" s="268">
        <f t="shared" ref="D30:M30" si="6">D27/D29*100</f>
        <v>50</v>
      </c>
      <c r="E30" s="269">
        <f t="shared" si="6"/>
        <v>66.666666666666657</v>
      </c>
      <c r="F30" s="270">
        <f t="shared" si="6"/>
        <v>68.627450980392155</v>
      </c>
      <c r="G30" s="270">
        <f t="shared" si="6"/>
        <v>61.224489795918366</v>
      </c>
      <c r="H30" s="270">
        <f t="shared" si="6"/>
        <v>75</v>
      </c>
      <c r="I30" s="270">
        <f t="shared" si="6"/>
        <v>65.909090909090907</v>
      </c>
      <c r="J30" s="270">
        <f t="shared" si="6"/>
        <v>67.64705882352942</v>
      </c>
      <c r="K30" s="270">
        <f t="shared" si="6"/>
        <v>78.378378378378372</v>
      </c>
      <c r="L30" s="454">
        <f t="shared" si="6"/>
        <v>79.069767441860463</v>
      </c>
      <c r="M30" s="271">
        <f t="shared" si="6"/>
        <v>62.5</v>
      </c>
      <c r="N30" s="272"/>
    </row>
    <row r="31" spans="1:16" ht="19.5" customHeight="1">
      <c r="A31" s="1425" t="s">
        <v>367</v>
      </c>
      <c r="B31" s="1615"/>
      <c r="C31" s="358" t="s">
        <v>354</v>
      </c>
      <c r="D31" s="257">
        <v>10103</v>
      </c>
      <c r="E31" s="276">
        <v>9640</v>
      </c>
      <c r="F31" s="273">
        <v>9221</v>
      </c>
      <c r="G31" s="258">
        <v>8791</v>
      </c>
      <c r="H31" s="258">
        <v>8266</v>
      </c>
      <c r="I31" s="258">
        <v>7663</v>
      </c>
      <c r="J31" s="258">
        <v>7146</v>
      </c>
      <c r="K31" s="258">
        <v>5765</v>
      </c>
      <c r="L31" s="276">
        <v>5780</v>
      </c>
      <c r="M31" s="259">
        <v>5647</v>
      </c>
      <c r="N31" s="260"/>
    </row>
    <row r="32" spans="1:16" ht="19.5" customHeight="1">
      <c r="A32" s="1426"/>
      <c r="B32" s="1424"/>
      <c r="C32" s="356" t="s">
        <v>266</v>
      </c>
      <c r="D32" s="262">
        <v>6315</v>
      </c>
      <c r="E32" s="274">
        <v>5581</v>
      </c>
      <c r="F32" s="266">
        <v>5646</v>
      </c>
      <c r="G32" s="263">
        <v>5440</v>
      </c>
      <c r="H32" s="263">
        <v>5132</v>
      </c>
      <c r="I32" s="263">
        <v>5060</v>
      </c>
      <c r="J32" s="263">
        <v>4554</v>
      </c>
      <c r="K32" s="263">
        <v>3728</v>
      </c>
      <c r="L32" s="274">
        <v>3804</v>
      </c>
      <c r="M32" s="264">
        <v>3631</v>
      </c>
      <c r="N32" s="260"/>
    </row>
    <row r="33" spans="1:14" ht="19.5" customHeight="1">
      <c r="A33" s="1426"/>
      <c r="B33" s="1424"/>
      <c r="C33" s="1370" t="s">
        <v>996</v>
      </c>
      <c r="D33" s="265">
        <v>16418</v>
      </c>
      <c r="E33" s="274">
        <v>15221</v>
      </c>
      <c r="F33" s="266">
        <v>14867</v>
      </c>
      <c r="G33" s="274">
        <v>14231</v>
      </c>
      <c r="H33" s="263">
        <v>13398</v>
      </c>
      <c r="I33" s="263">
        <v>12723</v>
      </c>
      <c r="J33" s="263">
        <v>11700</v>
      </c>
      <c r="K33" s="263">
        <v>9493</v>
      </c>
      <c r="L33" s="274">
        <v>9584</v>
      </c>
      <c r="M33" s="264">
        <v>9278</v>
      </c>
      <c r="N33" s="260"/>
    </row>
    <row r="34" spans="1:14" ht="36.75" thickBot="1">
      <c r="A34" s="1426"/>
      <c r="B34" s="1616"/>
      <c r="C34" s="357" t="s">
        <v>365</v>
      </c>
      <c r="D34" s="268">
        <f t="shared" ref="D34:M34" si="7">D31/D33*100</f>
        <v>61.536118893896941</v>
      </c>
      <c r="E34" s="277">
        <f>E31/E33*100</f>
        <v>63.333552329019113</v>
      </c>
      <c r="F34" s="277">
        <f>F31/F33*100</f>
        <v>62.023273020784288</v>
      </c>
      <c r="G34" s="277">
        <f t="shared" ref="G34:J34" si="8">G31/G33*100</f>
        <v>61.773592860656315</v>
      </c>
      <c r="H34" s="277">
        <f t="shared" si="8"/>
        <v>61.695775488878937</v>
      </c>
      <c r="I34" s="277">
        <f t="shared" si="8"/>
        <v>60.229505619743776</v>
      </c>
      <c r="J34" s="277">
        <f t="shared" si="8"/>
        <v>61.076923076923073</v>
      </c>
      <c r="K34" s="453">
        <f t="shared" si="7"/>
        <v>60.72895817971137</v>
      </c>
      <c r="L34" s="277">
        <f t="shared" si="7"/>
        <v>60.308848080133558</v>
      </c>
      <c r="M34" s="278">
        <f t="shared" si="7"/>
        <v>60.864410433283034</v>
      </c>
      <c r="N34" s="272"/>
    </row>
    <row r="35" spans="1:14" ht="19.5" customHeight="1">
      <c r="A35" s="1611"/>
      <c r="B35" s="1617" t="s">
        <v>947</v>
      </c>
      <c r="C35" s="256" t="s">
        <v>354</v>
      </c>
      <c r="D35" s="452" t="s">
        <v>401</v>
      </c>
      <c r="E35" s="455" t="s">
        <v>401</v>
      </c>
      <c r="F35" s="455" t="s">
        <v>401</v>
      </c>
      <c r="G35" s="455" t="s">
        <v>401</v>
      </c>
      <c r="H35" s="455" t="s">
        <v>401</v>
      </c>
      <c r="I35" s="258">
        <v>564</v>
      </c>
      <c r="J35" s="258">
        <v>531</v>
      </c>
      <c r="K35" s="258">
        <v>489</v>
      </c>
      <c r="L35" s="276">
        <v>490</v>
      </c>
      <c r="M35" s="259">
        <v>460</v>
      </c>
      <c r="N35" s="260"/>
    </row>
    <row r="36" spans="1:14" ht="19.5" customHeight="1">
      <c r="A36" s="1612"/>
      <c r="B36" s="1618"/>
      <c r="C36" s="261" t="s">
        <v>266</v>
      </c>
      <c r="D36" s="456" t="s">
        <v>401</v>
      </c>
      <c r="E36" s="457" t="s">
        <v>401</v>
      </c>
      <c r="F36" s="457" t="s">
        <v>401</v>
      </c>
      <c r="G36" s="457" t="s">
        <v>401</v>
      </c>
      <c r="H36" s="457" t="s">
        <v>401</v>
      </c>
      <c r="I36" s="263">
        <v>521</v>
      </c>
      <c r="J36" s="263">
        <v>446</v>
      </c>
      <c r="K36" s="263">
        <v>389</v>
      </c>
      <c r="L36" s="274">
        <v>389</v>
      </c>
      <c r="M36" s="264">
        <v>434</v>
      </c>
      <c r="N36" s="260"/>
    </row>
    <row r="37" spans="1:14" ht="19.5" customHeight="1">
      <c r="A37" s="1612"/>
      <c r="B37" s="1618"/>
      <c r="C37" s="1369" t="s">
        <v>996</v>
      </c>
      <c r="D37" s="262">
        <v>2744</v>
      </c>
      <c r="E37" s="499">
        <v>793</v>
      </c>
      <c r="F37" s="499">
        <v>851</v>
      </c>
      <c r="G37" s="499">
        <v>935</v>
      </c>
      <c r="H37" s="499">
        <v>908</v>
      </c>
      <c r="I37" s="263">
        <v>1085</v>
      </c>
      <c r="J37" s="263">
        <v>977</v>
      </c>
      <c r="K37" s="263">
        <v>878</v>
      </c>
      <c r="L37" s="274">
        <v>879</v>
      </c>
      <c r="M37" s="264">
        <v>894</v>
      </c>
      <c r="N37" s="260"/>
    </row>
    <row r="38" spans="1:14" ht="36.75" thickBot="1">
      <c r="A38" s="1613"/>
      <c r="B38" s="1619"/>
      <c r="C38" s="275" t="s">
        <v>365</v>
      </c>
      <c r="D38" s="497" t="s">
        <v>401</v>
      </c>
      <c r="E38" s="498" t="s">
        <v>401</v>
      </c>
      <c r="F38" s="498" t="s">
        <v>401</v>
      </c>
      <c r="G38" s="498" t="s">
        <v>401</v>
      </c>
      <c r="H38" s="498" t="s">
        <v>401</v>
      </c>
      <c r="I38" s="277">
        <f t="shared" ref="I38:M38" si="9">I35/I37*100</f>
        <v>51.981566820276491</v>
      </c>
      <c r="J38" s="277">
        <f t="shared" si="9"/>
        <v>54.350051177072665</v>
      </c>
      <c r="K38" s="453">
        <f t="shared" si="9"/>
        <v>55.694760820045566</v>
      </c>
      <c r="L38" s="277">
        <f t="shared" si="9"/>
        <v>55.745164960182024</v>
      </c>
      <c r="M38" s="278">
        <f t="shared" si="9"/>
        <v>51.454138702460853</v>
      </c>
      <c r="N38" s="272"/>
    </row>
    <row r="40" spans="1:14" ht="17.25" customHeight="1">
      <c r="A40" s="1620" t="s">
        <v>368</v>
      </c>
      <c r="B40" s="1621"/>
      <c r="C40" s="1614" t="s">
        <v>976</v>
      </c>
      <c r="D40" s="1614"/>
      <c r="E40" s="1614"/>
      <c r="F40" s="1614"/>
      <c r="G40" s="1614"/>
      <c r="H40" s="1614"/>
      <c r="I40" s="1614"/>
      <c r="J40" s="1614"/>
      <c r="K40" s="1614"/>
      <c r="L40" s="279"/>
    </row>
    <row r="41" spans="1:14">
      <c r="A41" s="1614"/>
      <c r="B41" s="1621"/>
      <c r="C41" s="1614"/>
      <c r="D41" s="1614"/>
      <c r="E41" s="1614"/>
      <c r="F41" s="1614"/>
      <c r="G41" s="1614"/>
      <c r="H41" s="1614"/>
      <c r="I41" s="1614"/>
      <c r="J41" s="1614"/>
      <c r="K41" s="1614"/>
      <c r="L41" s="279"/>
    </row>
    <row r="42" spans="1:14">
      <c r="B42" s="458" t="s">
        <v>417</v>
      </c>
      <c r="C42" s="2" t="s">
        <v>977</v>
      </c>
    </row>
  </sheetData>
  <mergeCells count="39">
    <mergeCell ref="A2:B3"/>
    <mergeCell ref="A23:B26"/>
    <mergeCell ref="A27:B30"/>
    <mergeCell ref="A12:B12"/>
    <mergeCell ref="A13:B13"/>
    <mergeCell ref="A14:B14"/>
    <mergeCell ref="A15:B15"/>
    <mergeCell ref="A16:B16"/>
    <mergeCell ref="A7:B7"/>
    <mergeCell ref="A8:B8"/>
    <mergeCell ref="A9:B9"/>
    <mergeCell ref="A10:B10"/>
    <mergeCell ref="A11:B11"/>
    <mergeCell ref="A5:B5"/>
    <mergeCell ref="A6:B6"/>
    <mergeCell ref="A17:B17"/>
    <mergeCell ref="J21:J22"/>
    <mergeCell ref="K21:K22"/>
    <mergeCell ref="L21:L22"/>
    <mergeCell ref="M21:M22"/>
    <mergeCell ref="N21:N22"/>
    <mergeCell ref="H21:H22"/>
    <mergeCell ref="I21:I22"/>
    <mergeCell ref="D21:D22"/>
    <mergeCell ref="E21:E22"/>
    <mergeCell ref="F21:F22"/>
    <mergeCell ref="G21:G22"/>
    <mergeCell ref="G1:N1"/>
    <mergeCell ref="L2:N2"/>
    <mergeCell ref="G20:K20"/>
    <mergeCell ref="C2:E3"/>
    <mergeCell ref="F2:H3"/>
    <mergeCell ref="I2:K3"/>
    <mergeCell ref="L3:N3"/>
    <mergeCell ref="A35:A38"/>
    <mergeCell ref="C40:K41"/>
    <mergeCell ref="A31:B34"/>
    <mergeCell ref="B35:B38"/>
    <mergeCell ref="A40:B41"/>
  </mergeCells>
  <phoneticPr fontId="3"/>
  <printOptions horizontalCentered="1"/>
  <pageMargins left="0.59055118110236227" right="0.59055118110236227" top="0.98425196850393704" bottom="0.98425196850393704" header="0.51181102362204722" footer="0.51181102362204722"/>
  <pageSetup paperSize="9" scale="83" firstPageNumber="0" orientation="portrait" r:id="rId1"/>
  <headerFooter alignWithMargins="0">
    <oddFooter>&amp;C－10－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view="pageBreakPreview" topLeftCell="A25" zoomScaleNormal="100" zoomScaleSheetLayoutView="100" workbookViewId="0">
      <selection activeCell="I5" sqref="I5"/>
    </sheetView>
  </sheetViews>
  <sheetFormatPr defaultRowHeight="14.25"/>
  <cols>
    <col min="1" max="1" width="1.25" style="116" customWidth="1"/>
    <col min="2" max="2" width="5.5" style="116" customWidth="1"/>
    <col min="3" max="3" width="5.75" style="116" customWidth="1"/>
    <col min="4" max="12" width="8.125" style="116" customWidth="1"/>
    <col min="13" max="16384" width="9" style="116"/>
  </cols>
  <sheetData>
    <row r="1" spans="1:14" ht="21.75" customHeight="1">
      <c r="A1" s="280" t="s">
        <v>369</v>
      </c>
      <c r="B1" s="280"/>
    </row>
    <row r="3" spans="1:14" ht="15" thickBot="1">
      <c r="A3" s="116" t="s">
        <v>370</v>
      </c>
      <c r="I3" s="1475" t="s">
        <v>371</v>
      </c>
      <c r="J3" s="1475"/>
      <c r="K3" s="1475"/>
      <c r="L3" s="1475"/>
    </row>
    <row r="4" spans="1:14" ht="25.5" customHeight="1">
      <c r="A4" s="1651" t="s">
        <v>372</v>
      </c>
      <c r="B4" s="1652"/>
      <c r="C4" s="1653"/>
      <c r="D4" s="1657" t="s">
        <v>373</v>
      </c>
      <c r="E4" s="1658"/>
      <c r="F4" s="1659"/>
      <c r="G4" s="1660" t="s">
        <v>374</v>
      </c>
      <c r="H4" s="1661"/>
      <c r="I4" s="1662"/>
      <c r="J4" s="1663" t="s">
        <v>375</v>
      </c>
      <c r="K4" s="1664"/>
      <c r="L4" s="1665"/>
    </row>
    <row r="5" spans="1:14" ht="15" thickBot="1">
      <c r="A5" s="1654"/>
      <c r="B5" s="1655"/>
      <c r="C5" s="1656"/>
      <c r="D5" s="281" t="s">
        <v>376</v>
      </c>
      <c r="E5" s="282" t="s">
        <v>377</v>
      </c>
      <c r="F5" s="283" t="s">
        <v>1003</v>
      </c>
      <c r="G5" s="284" t="s">
        <v>376</v>
      </c>
      <c r="H5" s="282" t="s">
        <v>377</v>
      </c>
      <c r="I5" s="285" t="s">
        <v>1003</v>
      </c>
      <c r="J5" s="286" t="s">
        <v>376</v>
      </c>
      <c r="K5" s="282" t="s">
        <v>377</v>
      </c>
      <c r="L5" s="287" t="s">
        <v>1003</v>
      </c>
    </row>
    <row r="6" spans="1:14" ht="24.95" customHeight="1">
      <c r="A6" s="1666" t="s">
        <v>378</v>
      </c>
      <c r="B6" s="1615"/>
      <c r="C6" s="1364" t="s">
        <v>963</v>
      </c>
      <c r="D6" s="459">
        <v>3185</v>
      </c>
      <c r="E6" s="460">
        <v>2532</v>
      </c>
      <c r="F6" s="461">
        <v>5717</v>
      </c>
      <c r="G6" s="459">
        <v>1565</v>
      </c>
      <c r="H6" s="460">
        <v>824</v>
      </c>
      <c r="I6" s="462">
        <v>2389</v>
      </c>
      <c r="J6" s="288">
        <f>D6/(D6+G6)*100</f>
        <v>67.05263157894737</v>
      </c>
      <c r="K6" s="289">
        <f>E6/(E6+H6)*100</f>
        <v>75.446960667461255</v>
      </c>
      <c r="L6" s="290">
        <f>F6/(F6+I6)*100</f>
        <v>70.528003947693065</v>
      </c>
    </row>
    <row r="7" spans="1:14" ht="24.95" customHeight="1" thickBot="1">
      <c r="A7" s="1667"/>
      <c r="B7" s="1616"/>
      <c r="C7" s="304" t="s">
        <v>964</v>
      </c>
      <c r="D7" s="291">
        <v>3323</v>
      </c>
      <c r="E7" s="292">
        <v>2719</v>
      </c>
      <c r="F7" s="293">
        <v>6042</v>
      </c>
      <c r="G7" s="291">
        <v>1515</v>
      </c>
      <c r="H7" s="292">
        <v>739</v>
      </c>
      <c r="I7" s="294">
        <v>2254</v>
      </c>
      <c r="J7" s="295">
        <v>67.616099071207429</v>
      </c>
      <c r="K7" s="296">
        <v>76.810319554382872</v>
      </c>
      <c r="L7" s="297">
        <v>71.414728682170548</v>
      </c>
    </row>
    <row r="8" spans="1:14" ht="24.95" customHeight="1">
      <c r="A8" s="1666" t="s">
        <v>379</v>
      </c>
      <c r="B8" s="1615"/>
      <c r="C8" s="1364" t="s">
        <v>963</v>
      </c>
      <c r="D8" s="459">
        <v>12</v>
      </c>
      <c r="E8" s="460">
        <v>7</v>
      </c>
      <c r="F8" s="461">
        <v>19</v>
      </c>
      <c r="G8" s="459">
        <v>13</v>
      </c>
      <c r="H8" s="460">
        <v>8</v>
      </c>
      <c r="I8" s="462">
        <v>21</v>
      </c>
      <c r="J8" s="288">
        <f>D8/(D8+G8)*100</f>
        <v>48</v>
      </c>
      <c r="K8" s="289">
        <f>E8/(E8+H8)*100</f>
        <v>46.666666666666664</v>
      </c>
      <c r="L8" s="290">
        <f>F8/(F8+I8)*100</f>
        <v>47.5</v>
      </c>
    </row>
    <row r="9" spans="1:14" ht="24.95" customHeight="1" thickBot="1">
      <c r="A9" s="1667"/>
      <c r="B9" s="1616"/>
      <c r="C9" s="304" t="s">
        <v>964</v>
      </c>
      <c r="D9" s="298">
        <v>20</v>
      </c>
      <c r="E9" s="299">
        <v>7</v>
      </c>
      <c r="F9" s="300">
        <v>27</v>
      </c>
      <c r="G9" s="298">
        <v>14</v>
      </c>
      <c r="H9" s="299">
        <v>2</v>
      </c>
      <c r="I9" s="294">
        <v>16</v>
      </c>
      <c r="J9" s="295">
        <v>48.275862068965516</v>
      </c>
      <c r="K9" s="296">
        <v>62.5</v>
      </c>
      <c r="L9" s="297">
        <v>51.351351351351347</v>
      </c>
    </row>
    <row r="10" spans="1:14" ht="24.95" customHeight="1">
      <c r="A10" s="1666" t="s">
        <v>380</v>
      </c>
      <c r="B10" s="1615"/>
      <c r="C10" s="1364" t="s">
        <v>962</v>
      </c>
      <c r="D10" s="459">
        <v>3750</v>
      </c>
      <c r="E10" s="460">
        <v>2746</v>
      </c>
      <c r="F10" s="462">
        <v>6496</v>
      </c>
      <c r="G10" s="459">
        <v>1897</v>
      </c>
      <c r="H10" s="460">
        <v>885</v>
      </c>
      <c r="I10" s="462">
        <v>2782</v>
      </c>
      <c r="J10" s="301">
        <f>D10/(D10+G10)*100</f>
        <v>66.406941738976442</v>
      </c>
      <c r="K10" s="302">
        <f>E10/(E10+H10)*100</f>
        <v>75.62654916001101</v>
      </c>
      <c r="L10" s="303">
        <f>F10/(F10+I10)*100</f>
        <v>70.015089458935122</v>
      </c>
    </row>
    <row r="11" spans="1:14" ht="24.95" customHeight="1" thickBot="1">
      <c r="A11" s="1668"/>
      <c r="B11" s="1616"/>
      <c r="C11" s="304" t="s">
        <v>965</v>
      </c>
      <c r="D11" s="298">
        <v>3938</v>
      </c>
      <c r="E11" s="299">
        <v>2979</v>
      </c>
      <c r="F11" s="294">
        <v>6917</v>
      </c>
      <c r="G11" s="298">
        <v>1842</v>
      </c>
      <c r="H11" s="299">
        <v>825</v>
      </c>
      <c r="I11" s="294">
        <v>2667</v>
      </c>
      <c r="J11" s="305">
        <v>66.782307025151781</v>
      </c>
      <c r="K11" s="296">
        <v>76.555793991416309</v>
      </c>
      <c r="L11" s="297">
        <v>70.620457178973979</v>
      </c>
    </row>
    <row r="12" spans="1:14" ht="24.95" customHeight="1">
      <c r="A12" s="1649"/>
      <c r="B12" s="1669" t="s">
        <v>961</v>
      </c>
      <c r="C12" s="1364" t="s">
        <v>962</v>
      </c>
      <c r="D12" s="459">
        <v>284</v>
      </c>
      <c r="E12" s="460">
        <v>341</v>
      </c>
      <c r="F12" s="462">
        <v>625</v>
      </c>
      <c r="G12" s="459">
        <v>176</v>
      </c>
      <c r="H12" s="460">
        <v>93</v>
      </c>
      <c r="I12" s="462">
        <v>269</v>
      </c>
      <c r="J12" s="301">
        <f t="shared" ref="J12:L13" si="0">D12/(D12+G12)*100</f>
        <v>61.739130434782609</v>
      </c>
      <c r="K12" s="302">
        <f t="shared" si="0"/>
        <v>78.571428571428569</v>
      </c>
      <c r="L12" s="303">
        <f t="shared" si="0"/>
        <v>69.91051454138703</v>
      </c>
    </row>
    <row r="13" spans="1:14" ht="24.95" customHeight="1" thickBot="1">
      <c r="A13" s="1650"/>
      <c r="B13" s="1619"/>
      <c r="C13" s="304" t="s">
        <v>965</v>
      </c>
      <c r="D13" s="298">
        <v>309</v>
      </c>
      <c r="E13" s="299">
        <v>296</v>
      </c>
      <c r="F13" s="294">
        <v>605</v>
      </c>
      <c r="G13" s="298">
        <v>181</v>
      </c>
      <c r="H13" s="299">
        <v>93</v>
      </c>
      <c r="I13" s="294">
        <v>274</v>
      </c>
      <c r="J13" s="305">
        <f t="shared" si="0"/>
        <v>63.061224489795919</v>
      </c>
      <c r="K13" s="296">
        <f t="shared" si="0"/>
        <v>76.092544987146525</v>
      </c>
      <c r="L13" s="297">
        <f t="shared" si="0"/>
        <v>68.828213879408423</v>
      </c>
    </row>
    <row r="14" spans="1:14">
      <c r="A14" s="306"/>
      <c r="B14" s="306"/>
      <c r="C14" s="306"/>
      <c r="D14" s="306"/>
      <c r="E14" s="306"/>
      <c r="F14" s="306"/>
      <c r="G14" s="306"/>
      <c r="H14" s="306"/>
      <c r="I14" s="306"/>
      <c r="J14" s="306"/>
      <c r="K14" s="306"/>
      <c r="L14" s="306"/>
    </row>
    <row r="15" spans="1:14">
      <c r="A15" s="307"/>
      <c r="B15" s="307"/>
      <c r="C15" s="308"/>
      <c r="D15" s="308"/>
      <c r="E15" s="308"/>
      <c r="F15" s="308"/>
      <c r="G15" s="308"/>
      <c r="H15" s="308"/>
      <c r="I15" s="308"/>
      <c r="J15" s="308"/>
      <c r="K15" s="308"/>
      <c r="L15" s="308"/>
      <c r="M15" s="308"/>
      <c r="N15" s="308"/>
    </row>
  </sheetData>
  <mergeCells count="10">
    <mergeCell ref="A12:A13"/>
    <mergeCell ref="I3:L3"/>
    <mergeCell ref="A4:C5"/>
    <mergeCell ref="D4:F4"/>
    <mergeCell ref="G4:I4"/>
    <mergeCell ref="J4:L4"/>
    <mergeCell ref="A6:B7"/>
    <mergeCell ref="A8:B9"/>
    <mergeCell ref="A10:B11"/>
    <mergeCell ref="B12:B13"/>
  </mergeCells>
  <phoneticPr fontId="3"/>
  <pageMargins left="0.78740157480314965" right="0.18" top="0.98425196850393704" bottom="0.98425196850393704" header="0.51181102362204722" footer="0.51181102362204722"/>
  <pageSetup paperSize="9" scale="98" firstPageNumber="0" orientation="portrait" r:id="rId1"/>
  <headerFooter alignWithMargins="0">
    <oddFooter xml:space="preserve">&amp;C-11-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topLeftCell="A22" zoomScaleNormal="100" zoomScaleSheetLayoutView="100" workbookViewId="0">
      <selection activeCell="A32" sqref="A32:B32"/>
    </sheetView>
  </sheetViews>
  <sheetFormatPr defaultRowHeight="14.25"/>
  <cols>
    <col min="1" max="1" width="3.375" style="2" customWidth="1"/>
    <col min="2" max="2" width="4.125" style="2" customWidth="1"/>
    <col min="3" max="14" width="7.625" style="2" customWidth="1"/>
    <col min="15" max="16384" width="9" style="2"/>
  </cols>
  <sheetData>
    <row r="1" spans="1:14" s="70" customFormat="1" ht="19.5" customHeight="1" thickBot="1">
      <c r="A1" s="70" t="s">
        <v>381</v>
      </c>
    </row>
    <row r="2" spans="1:14" ht="8.25" customHeight="1" thickBot="1">
      <c r="A2" s="3"/>
      <c r="B2" s="1685" t="s">
        <v>382</v>
      </c>
      <c r="C2" s="1678" t="s">
        <v>399</v>
      </c>
      <c r="D2" s="1453"/>
      <c r="E2" s="1682" t="s">
        <v>383</v>
      </c>
      <c r="F2" s="1436" t="s">
        <v>384</v>
      </c>
      <c r="G2" s="1396"/>
      <c r="H2" s="1682" t="s">
        <v>385</v>
      </c>
      <c r="I2" s="1425" t="s">
        <v>386</v>
      </c>
      <c r="J2" s="1453"/>
      <c r="K2" s="1672" t="s">
        <v>387</v>
      </c>
      <c r="L2" s="1674"/>
      <c r="M2" s="1396"/>
      <c r="N2" s="359"/>
    </row>
    <row r="3" spans="1:14">
      <c r="A3" s="310"/>
      <c r="B3" s="1686"/>
      <c r="C3" s="1591"/>
      <c r="D3" s="1629"/>
      <c r="E3" s="1683"/>
      <c r="F3" s="1679"/>
      <c r="G3" s="1680"/>
      <c r="H3" s="1683"/>
      <c r="I3" s="1591"/>
      <c r="J3" s="1629"/>
      <c r="K3" s="1684"/>
      <c r="L3" s="1589" t="s">
        <v>914</v>
      </c>
      <c r="M3" s="1681"/>
      <c r="N3" s="309" t="s">
        <v>400</v>
      </c>
    </row>
    <row r="4" spans="1:14">
      <c r="A4" s="310"/>
      <c r="B4" s="9"/>
      <c r="C4" s="311" t="s">
        <v>388</v>
      </c>
      <c r="D4" s="312"/>
      <c r="E4" s="312"/>
      <c r="F4" s="311" t="s">
        <v>388</v>
      </c>
      <c r="G4" s="312"/>
      <c r="H4" s="12"/>
      <c r="I4" s="311" t="s">
        <v>388</v>
      </c>
      <c r="J4" s="312"/>
      <c r="K4" s="12"/>
      <c r="L4" s="311" t="s">
        <v>388</v>
      </c>
      <c r="M4" s="312"/>
      <c r="N4" s="12"/>
    </row>
    <row r="5" spans="1:14" ht="15" thickBot="1">
      <c r="A5" s="313" t="s">
        <v>389</v>
      </c>
      <c r="B5" s="7"/>
      <c r="C5" s="314"/>
      <c r="D5" s="939" t="s">
        <v>376</v>
      </c>
      <c r="E5" s="230" t="s">
        <v>266</v>
      </c>
      <c r="F5" s="314"/>
      <c r="G5" s="939" t="s">
        <v>376</v>
      </c>
      <c r="H5" s="246" t="s">
        <v>266</v>
      </c>
      <c r="I5" s="314"/>
      <c r="J5" s="939" t="s">
        <v>376</v>
      </c>
      <c r="K5" s="246" t="s">
        <v>266</v>
      </c>
      <c r="L5" s="314"/>
      <c r="M5" s="939" t="s">
        <v>376</v>
      </c>
      <c r="N5" s="246" t="s">
        <v>266</v>
      </c>
    </row>
    <row r="6" spans="1:14" ht="18" customHeight="1">
      <c r="A6" s="315"/>
      <c r="B6" s="316">
        <v>0</v>
      </c>
      <c r="C6" s="317">
        <f t="shared" ref="C6:C29" si="0">SUM(D6:E6)</f>
        <v>123</v>
      </c>
      <c r="D6" s="463">
        <v>74</v>
      </c>
      <c r="E6" s="464">
        <v>49</v>
      </c>
      <c r="F6" s="317">
        <f t="shared" ref="F6:F29" si="1">SUM(G6:H6)</f>
        <v>2</v>
      </c>
      <c r="G6" s="463">
        <v>1</v>
      </c>
      <c r="H6" s="464">
        <v>1</v>
      </c>
      <c r="I6" s="317">
        <f t="shared" ref="I6:I29" si="2">SUM(J6:K6)</f>
        <v>143</v>
      </c>
      <c r="J6" s="463">
        <v>93</v>
      </c>
      <c r="K6" s="464">
        <v>50</v>
      </c>
      <c r="L6" s="317">
        <f t="shared" ref="L6:L29" si="3">SUM(M6:N6)</f>
        <v>9</v>
      </c>
      <c r="M6" s="463">
        <v>5</v>
      </c>
      <c r="N6" s="464">
        <v>4</v>
      </c>
    </row>
    <row r="7" spans="1:14" ht="18" customHeight="1">
      <c r="A7" s="314" t="s">
        <v>390</v>
      </c>
      <c r="B7" s="318">
        <v>1</v>
      </c>
      <c r="C7" s="319">
        <f t="shared" si="0"/>
        <v>100</v>
      </c>
      <c r="D7" s="465">
        <v>72</v>
      </c>
      <c r="E7" s="466">
        <v>28</v>
      </c>
      <c r="F7" s="319">
        <f>SUM(G7:H7)</f>
        <v>2</v>
      </c>
      <c r="G7" s="465">
        <v>1</v>
      </c>
      <c r="H7" s="466">
        <v>1</v>
      </c>
      <c r="I7" s="319">
        <f t="shared" si="2"/>
        <v>120</v>
      </c>
      <c r="J7" s="465">
        <v>89</v>
      </c>
      <c r="K7" s="466">
        <v>31</v>
      </c>
      <c r="L7" s="319">
        <f t="shared" si="3"/>
        <v>13</v>
      </c>
      <c r="M7" s="465">
        <v>11</v>
      </c>
      <c r="N7" s="466">
        <v>2</v>
      </c>
    </row>
    <row r="8" spans="1:14" ht="18" customHeight="1">
      <c r="A8" s="314"/>
      <c r="B8" s="318">
        <v>2</v>
      </c>
      <c r="C8" s="319">
        <f t="shared" si="0"/>
        <v>76</v>
      </c>
      <c r="D8" s="465">
        <v>58</v>
      </c>
      <c r="E8" s="466">
        <v>18</v>
      </c>
      <c r="F8" s="319">
        <f>SUM(G8:H8)</f>
        <v>0</v>
      </c>
      <c r="G8" s="465">
        <v>0</v>
      </c>
      <c r="H8" s="466">
        <v>0</v>
      </c>
      <c r="I8" s="319">
        <f t="shared" si="2"/>
        <v>96</v>
      </c>
      <c r="J8" s="465">
        <v>77</v>
      </c>
      <c r="K8" s="466">
        <v>19</v>
      </c>
      <c r="L8" s="319">
        <f t="shared" si="3"/>
        <v>10</v>
      </c>
      <c r="M8" s="465">
        <v>8</v>
      </c>
      <c r="N8" s="466">
        <v>2</v>
      </c>
    </row>
    <row r="9" spans="1:14" ht="18" customHeight="1">
      <c r="A9" s="314" t="s">
        <v>391</v>
      </c>
      <c r="B9" s="318">
        <v>3</v>
      </c>
      <c r="C9" s="319">
        <f t="shared" si="0"/>
        <v>77</v>
      </c>
      <c r="D9" s="465">
        <v>54</v>
      </c>
      <c r="E9" s="466">
        <v>23</v>
      </c>
      <c r="F9" s="319">
        <f>SUM(G9:H9)</f>
        <v>1</v>
      </c>
      <c r="G9" s="465">
        <v>1</v>
      </c>
      <c r="H9" s="466">
        <v>0</v>
      </c>
      <c r="I9" s="319">
        <f t="shared" si="2"/>
        <v>90</v>
      </c>
      <c r="J9" s="465">
        <v>62</v>
      </c>
      <c r="K9" s="466">
        <v>28</v>
      </c>
      <c r="L9" s="319">
        <f t="shared" si="3"/>
        <v>15</v>
      </c>
      <c r="M9" s="465">
        <v>10</v>
      </c>
      <c r="N9" s="466">
        <v>5</v>
      </c>
    </row>
    <row r="10" spans="1:14" ht="18" customHeight="1">
      <c r="A10" s="314"/>
      <c r="B10" s="318">
        <v>4</v>
      </c>
      <c r="C10" s="319">
        <f t="shared" si="0"/>
        <v>63</v>
      </c>
      <c r="D10" s="465">
        <v>51</v>
      </c>
      <c r="E10" s="466">
        <v>12</v>
      </c>
      <c r="F10" s="319">
        <f>SUM(G10:H10)</f>
        <v>2</v>
      </c>
      <c r="G10" s="465">
        <v>1</v>
      </c>
      <c r="H10" s="466">
        <v>1</v>
      </c>
      <c r="I10" s="319">
        <f t="shared" si="2"/>
        <v>75</v>
      </c>
      <c r="J10" s="465">
        <v>63</v>
      </c>
      <c r="K10" s="466">
        <v>12</v>
      </c>
      <c r="L10" s="319">
        <f t="shared" si="3"/>
        <v>15</v>
      </c>
      <c r="M10" s="465">
        <v>13</v>
      </c>
      <c r="N10" s="466">
        <v>2</v>
      </c>
    </row>
    <row r="11" spans="1:14" ht="18" customHeight="1">
      <c r="A11" s="320"/>
      <c r="B11" s="318">
        <v>5</v>
      </c>
      <c r="C11" s="319">
        <f t="shared" si="0"/>
        <v>103</v>
      </c>
      <c r="D11" s="465">
        <v>69</v>
      </c>
      <c r="E11" s="466">
        <v>34</v>
      </c>
      <c r="F11" s="319">
        <f>SUM(G11:H11)</f>
        <v>3</v>
      </c>
      <c r="G11" s="465">
        <v>1</v>
      </c>
      <c r="H11" s="466">
        <v>2</v>
      </c>
      <c r="I11" s="319">
        <f t="shared" si="2"/>
        <v>112</v>
      </c>
      <c r="J11" s="465">
        <v>78</v>
      </c>
      <c r="K11" s="466">
        <v>34</v>
      </c>
      <c r="L11" s="319">
        <f t="shared" si="3"/>
        <v>14</v>
      </c>
      <c r="M11" s="465">
        <v>10</v>
      </c>
      <c r="N11" s="466">
        <v>4</v>
      </c>
    </row>
    <row r="12" spans="1:14" ht="18" customHeight="1">
      <c r="A12" s="321"/>
      <c r="B12" s="322">
        <v>6</v>
      </c>
      <c r="C12" s="319">
        <f t="shared" si="0"/>
        <v>173</v>
      </c>
      <c r="D12" s="465">
        <v>112</v>
      </c>
      <c r="E12" s="466">
        <v>61</v>
      </c>
      <c r="F12" s="319">
        <f t="shared" si="1"/>
        <v>0</v>
      </c>
      <c r="G12" s="465">
        <v>0</v>
      </c>
      <c r="H12" s="466">
        <v>0</v>
      </c>
      <c r="I12" s="319">
        <f t="shared" si="2"/>
        <v>192</v>
      </c>
      <c r="J12" s="465">
        <v>128</v>
      </c>
      <c r="K12" s="466">
        <v>64</v>
      </c>
      <c r="L12" s="319">
        <f t="shared" si="3"/>
        <v>36</v>
      </c>
      <c r="M12" s="465">
        <v>24</v>
      </c>
      <c r="N12" s="466">
        <v>12</v>
      </c>
    </row>
    <row r="13" spans="1:14" ht="18" customHeight="1">
      <c r="A13" s="321"/>
      <c r="B13" s="322">
        <v>7</v>
      </c>
      <c r="C13" s="319">
        <f t="shared" si="0"/>
        <v>430</v>
      </c>
      <c r="D13" s="465">
        <v>248</v>
      </c>
      <c r="E13" s="466">
        <v>182</v>
      </c>
      <c r="F13" s="319">
        <f t="shared" si="1"/>
        <v>3</v>
      </c>
      <c r="G13" s="465">
        <v>3</v>
      </c>
      <c r="H13" s="466">
        <v>0</v>
      </c>
      <c r="I13" s="319">
        <f t="shared" si="2"/>
        <v>470</v>
      </c>
      <c r="J13" s="465">
        <v>277</v>
      </c>
      <c r="K13" s="466">
        <v>193</v>
      </c>
      <c r="L13" s="319">
        <f t="shared" si="3"/>
        <v>56</v>
      </c>
      <c r="M13" s="465">
        <v>33</v>
      </c>
      <c r="N13" s="466">
        <v>23</v>
      </c>
    </row>
    <row r="14" spans="1:14" ht="18" customHeight="1">
      <c r="A14" s="321"/>
      <c r="B14" s="322">
        <v>8</v>
      </c>
      <c r="C14" s="319">
        <f t="shared" si="0"/>
        <v>594</v>
      </c>
      <c r="D14" s="465">
        <v>305</v>
      </c>
      <c r="E14" s="466">
        <v>289</v>
      </c>
      <c r="F14" s="319">
        <f t="shared" si="1"/>
        <v>2</v>
      </c>
      <c r="G14" s="465">
        <v>1</v>
      </c>
      <c r="H14" s="466">
        <v>1</v>
      </c>
      <c r="I14" s="319">
        <f t="shared" si="2"/>
        <v>663</v>
      </c>
      <c r="J14" s="465">
        <v>346</v>
      </c>
      <c r="K14" s="466">
        <v>317</v>
      </c>
      <c r="L14" s="319">
        <f t="shared" si="3"/>
        <v>54</v>
      </c>
      <c r="M14" s="465">
        <v>18</v>
      </c>
      <c r="N14" s="466">
        <v>36</v>
      </c>
    </row>
    <row r="15" spans="1:14" ht="18" customHeight="1">
      <c r="A15" s="321"/>
      <c r="B15" s="322">
        <v>9</v>
      </c>
      <c r="C15" s="319">
        <f t="shared" si="0"/>
        <v>559</v>
      </c>
      <c r="D15" s="465">
        <v>299</v>
      </c>
      <c r="E15" s="466">
        <v>260</v>
      </c>
      <c r="F15" s="319">
        <f t="shared" si="1"/>
        <v>1</v>
      </c>
      <c r="G15" s="465">
        <v>0</v>
      </c>
      <c r="H15" s="466">
        <v>1</v>
      </c>
      <c r="I15" s="319">
        <f t="shared" si="2"/>
        <v>629</v>
      </c>
      <c r="J15" s="465">
        <v>346</v>
      </c>
      <c r="K15" s="466">
        <v>283</v>
      </c>
      <c r="L15" s="319">
        <f t="shared" si="3"/>
        <v>54</v>
      </c>
      <c r="M15" s="465">
        <v>18</v>
      </c>
      <c r="N15" s="466">
        <v>36</v>
      </c>
    </row>
    <row r="16" spans="1:14" ht="18" customHeight="1">
      <c r="A16" s="321"/>
      <c r="B16" s="322">
        <v>10</v>
      </c>
      <c r="C16" s="319">
        <f t="shared" si="0"/>
        <v>522</v>
      </c>
      <c r="D16" s="465">
        <v>291</v>
      </c>
      <c r="E16" s="466">
        <v>231</v>
      </c>
      <c r="F16" s="319">
        <f t="shared" si="1"/>
        <v>1</v>
      </c>
      <c r="G16" s="465">
        <v>1</v>
      </c>
      <c r="H16" s="466">
        <v>0</v>
      </c>
      <c r="I16" s="319">
        <f t="shared" si="2"/>
        <v>592</v>
      </c>
      <c r="J16" s="465">
        <v>348</v>
      </c>
      <c r="K16" s="466">
        <v>244</v>
      </c>
      <c r="L16" s="319">
        <f t="shared" si="3"/>
        <v>64</v>
      </c>
      <c r="M16" s="465">
        <v>30</v>
      </c>
      <c r="N16" s="466">
        <v>34</v>
      </c>
    </row>
    <row r="17" spans="1:14" ht="18" customHeight="1">
      <c r="A17" s="321"/>
      <c r="B17" s="322">
        <v>11</v>
      </c>
      <c r="C17" s="319">
        <f t="shared" si="0"/>
        <v>519</v>
      </c>
      <c r="D17" s="465">
        <v>278</v>
      </c>
      <c r="E17" s="466">
        <v>241</v>
      </c>
      <c r="F17" s="319">
        <f t="shared" si="1"/>
        <v>4</v>
      </c>
      <c r="G17" s="465">
        <v>1</v>
      </c>
      <c r="H17" s="466">
        <v>3</v>
      </c>
      <c r="I17" s="319">
        <f t="shared" si="2"/>
        <v>584</v>
      </c>
      <c r="J17" s="465">
        <v>331</v>
      </c>
      <c r="K17" s="466">
        <v>253</v>
      </c>
      <c r="L17" s="319">
        <f t="shared" si="3"/>
        <v>65</v>
      </c>
      <c r="M17" s="465">
        <v>29</v>
      </c>
      <c r="N17" s="466">
        <v>36</v>
      </c>
    </row>
    <row r="18" spans="1:14" ht="18" customHeight="1">
      <c r="A18" s="321"/>
      <c r="B18" s="322">
        <v>12</v>
      </c>
      <c r="C18" s="319">
        <f t="shared" si="0"/>
        <v>458</v>
      </c>
      <c r="D18" s="465">
        <v>260</v>
      </c>
      <c r="E18" s="466">
        <v>198</v>
      </c>
      <c r="F18" s="319">
        <f t="shared" si="1"/>
        <v>1</v>
      </c>
      <c r="G18" s="465">
        <v>1</v>
      </c>
      <c r="H18" s="466">
        <v>0</v>
      </c>
      <c r="I18" s="319">
        <f t="shared" si="2"/>
        <v>508</v>
      </c>
      <c r="J18" s="465">
        <v>294</v>
      </c>
      <c r="K18" s="466">
        <v>214</v>
      </c>
      <c r="L18" s="319">
        <f t="shared" si="3"/>
        <v>57</v>
      </c>
      <c r="M18" s="465">
        <v>25</v>
      </c>
      <c r="N18" s="466">
        <v>32</v>
      </c>
    </row>
    <row r="19" spans="1:14" ht="18" customHeight="1">
      <c r="A19" s="321"/>
      <c r="B19" s="322">
        <v>13</v>
      </c>
      <c r="C19" s="319">
        <f t="shared" si="0"/>
        <v>454</v>
      </c>
      <c r="D19" s="465">
        <v>248</v>
      </c>
      <c r="E19" s="466">
        <v>206</v>
      </c>
      <c r="F19" s="319">
        <f t="shared" si="1"/>
        <v>2</v>
      </c>
      <c r="G19" s="465">
        <v>2</v>
      </c>
      <c r="H19" s="466">
        <v>0</v>
      </c>
      <c r="I19" s="319">
        <f t="shared" si="2"/>
        <v>503</v>
      </c>
      <c r="J19" s="465">
        <v>286</v>
      </c>
      <c r="K19" s="466">
        <v>217</v>
      </c>
      <c r="L19" s="319">
        <f t="shared" si="3"/>
        <v>51</v>
      </c>
      <c r="M19" s="465">
        <v>20</v>
      </c>
      <c r="N19" s="466">
        <v>31</v>
      </c>
    </row>
    <row r="20" spans="1:14" ht="18" customHeight="1">
      <c r="A20" s="321"/>
      <c r="B20" s="322">
        <v>14</v>
      </c>
      <c r="C20" s="319">
        <f t="shared" si="0"/>
        <v>453</v>
      </c>
      <c r="D20" s="465">
        <v>249</v>
      </c>
      <c r="E20" s="466">
        <v>204</v>
      </c>
      <c r="F20" s="319">
        <f t="shared" si="1"/>
        <v>2</v>
      </c>
      <c r="G20" s="465">
        <v>1</v>
      </c>
      <c r="H20" s="466">
        <v>1</v>
      </c>
      <c r="I20" s="319">
        <f t="shared" si="2"/>
        <v>533</v>
      </c>
      <c r="J20" s="465">
        <v>303</v>
      </c>
      <c r="K20" s="466">
        <v>230</v>
      </c>
      <c r="L20" s="319">
        <f t="shared" si="3"/>
        <v>32</v>
      </c>
      <c r="M20" s="465">
        <v>11</v>
      </c>
      <c r="N20" s="466">
        <v>21</v>
      </c>
    </row>
    <row r="21" spans="1:14" ht="18" customHeight="1">
      <c r="A21" s="321"/>
      <c r="B21" s="322">
        <v>15</v>
      </c>
      <c r="C21" s="319">
        <f t="shared" si="0"/>
        <v>491</v>
      </c>
      <c r="D21" s="465">
        <v>289</v>
      </c>
      <c r="E21" s="466">
        <v>202</v>
      </c>
      <c r="F21" s="319">
        <f t="shared" si="1"/>
        <v>1</v>
      </c>
      <c r="G21" s="465">
        <v>0</v>
      </c>
      <c r="H21" s="466">
        <v>1</v>
      </c>
      <c r="I21" s="319">
        <f t="shared" si="2"/>
        <v>568</v>
      </c>
      <c r="J21" s="465">
        <v>339</v>
      </c>
      <c r="K21" s="466">
        <v>229</v>
      </c>
      <c r="L21" s="319">
        <f t="shared" si="3"/>
        <v>40</v>
      </c>
      <c r="M21" s="465">
        <v>23</v>
      </c>
      <c r="N21" s="466">
        <v>17</v>
      </c>
    </row>
    <row r="22" spans="1:14" ht="18" customHeight="1">
      <c r="A22" s="321"/>
      <c r="B22" s="322">
        <v>16</v>
      </c>
      <c r="C22" s="319">
        <f t="shared" si="0"/>
        <v>472</v>
      </c>
      <c r="D22" s="465">
        <v>264</v>
      </c>
      <c r="E22" s="466">
        <v>208</v>
      </c>
      <c r="F22" s="319">
        <f t="shared" si="1"/>
        <v>1</v>
      </c>
      <c r="G22" s="465">
        <v>1</v>
      </c>
      <c r="H22" s="466">
        <v>0</v>
      </c>
      <c r="I22" s="319">
        <f t="shared" si="2"/>
        <v>565</v>
      </c>
      <c r="J22" s="465">
        <v>338</v>
      </c>
      <c r="K22" s="466">
        <v>227</v>
      </c>
      <c r="L22" s="319">
        <f t="shared" si="3"/>
        <v>49</v>
      </c>
      <c r="M22" s="465">
        <v>19</v>
      </c>
      <c r="N22" s="466">
        <v>30</v>
      </c>
    </row>
    <row r="23" spans="1:14" ht="18" customHeight="1">
      <c r="A23" s="321"/>
      <c r="B23" s="322">
        <v>17</v>
      </c>
      <c r="C23" s="319">
        <f t="shared" si="0"/>
        <v>592</v>
      </c>
      <c r="D23" s="465">
        <v>342</v>
      </c>
      <c r="E23" s="466">
        <v>250</v>
      </c>
      <c r="F23" s="319">
        <f t="shared" si="1"/>
        <v>1</v>
      </c>
      <c r="G23" s="465">
        <v>1</v>
      </c>
      <c r="H23" s="466">
        <v>0</v>
      </c>
      <c r="I23" s="319">
        <f t="shared" si="2"/>
        <v>689</v>
      </c>
      <c r="J23" s="465">
        <v>414</v>
      </c>
      <c r="K23" s="466">
        <v>275</v>
      </c>
      <c r="L23" s="319">
        <f t="shared" si="3"/>
        <v>67</v>
      </c>
      <c r="M23" s="465">
        <v>34</v>
      </c>
      <c r="N23" s="466">
        <v>33</v>
      </c>
    </row>
    <row r="24" spans="1:14" ht="18" customHeight="1">
      <c r="A24" s="323"/>
      <c r="B24" s="318">
        <v>18</v>
      </c>
      <c r="C24" s="319">
        <f t="shared" si="0"/>
        <v>572</v>
      </c>
      <c r="D24" s="465">
        <v>356</v>
      </c>
      <c r="E24" s="466">
        <v>216</v>
      </c>
      <c r="F24" s="319">
        <f t="shared" si="1"/>
        <v>1</v>
      </c>
      <c r="G24" s="465">
        <v>1</v>
      </c>
      <c r="H24" s="466">
        <v>0</v>
      </c>
      <c r="I24" s="319">
        <f t="shared" si="2"/>
        <v>652</v>
      </c>
      <c r="J24" s="465">
        <v>426</v>
      </c>
      <c r="K24" s="466">
        <v>226</v>
      </c>
      <c r="L24" s="319">
        <f t="shared" si="3"/>
        <v>52</v>
      </c>
      <c r="M24" s="465">
        <v>30</v>
      </c>
      <c r="N24" s="466">
        <v>22</v>
      </c>
    </row>
    <row r="25" spans="1:14" ht="18" customHeight="1">
      <c r="A25" s="314" t="s">
        <v>390</v>
      </c>
      <c r="B25" s="318">
        <v>19</v>
      </c>
      <c r="C25" s="319">
        <f t="shared" si="0"/>
        <v>409</v>
      </c>
      <c r="D25" s="465">
        <v>247</v>
      </c>
      <c r="E25" s="466">
        <v>162</v>
      </c>
      <c r="F25" s="319">
        <f t="shared" si="1"/>
        <v>3</v>
      </c>
      <c r="G25" s="465">
        <v>1</v>
      </c>
      <c r="H25" s="466">
        <v>2</v>
      </c>
      <c r="I25" s="319">
        <f t="shared" si="2"/>
        <v>454</v>
      </c>
      <c r="J25" s="465">
        <v>284</v>
      </c>
      <c r="K25" s="466">
        <v>170</v>
      </c>
      <c r="L25" s="319">
        <f t="shared" si="3"/>
        <v>46</v>
      </c>
      <c r="M25" s="465">
        <v>29</v>
      </c>
      <c r="N25" s="466">
        <v>17</v>
      </c>
    </row>
    <row r="26" spans="1:14" ht="18" customHeight="1">
      <c r="A26" s="314"/>
      <c r="B26" s="318">
        <v>20</v>
      </c>
      <c r="C26" s="319">
        <f t="shared" si="0"/>
        <v>289</v>
      </c>
      <c r="D26" s="465">
        <v>188</v>
      </c>
      <c r="E26" s="466">
        <v>101</v>
      </c>
      <c r="F26" s="319">
        <f t="shared" si="1"/>
        <v>0</v>
      </c>
      <c r="G26" s="465">
        <v>0</v>
      </c>
      <c r="H26" s="466">
        <v>0</v>
      </c>
      <c r="I26" s="319">
        <f t="shared" si="2"/>
        <v>341</v>
      </c>
      <c r="J26" s="465">
        <v>227</v>
      </c>
      <c r="K26" s="466">
        <v>114</v>
      </c>
      <c r="L26" s="319">
        <f t="shared" si="3"/>
        <v>32</v>
      </c>
      <c r="M26" s="465">
        <v>18</v>
      </c>
      <c r="N26" s="466">
        <v>14</v>
      </c>
    </row>
    <row r="27" spans="1:14" ht="18" customHeight="1">
      <c r="A27" s="314" t="s">
        <v>391</v>
      </c>
      <c r="B27" s="318">
        <v>21</v>
      </c>
      <c r="C27" s="319">
        <f t="shared" si="0"/>
        <v>248</v>
      </c>
      <c r="D27" s="465">
        <v>169</v>
      </c>
      <c r="E27" s="466">
        <v>79</v>
      </c>
      <c r="F27" s="319">
        <f>SUM(G27:H27)</f>
        <v>5</v>
      </c>
      <c r="G27" s="465">
        <v>5</v>
      </c>
      <c r="H27" s="466">
        <v>0</v>
      </c>
      <c r="I27" s="319">
        <f t="shared" si="2"/>
        <v>292</v>
      </c>
      <c r="J27" s="465">
        <v>208</v>
      </c>
      <c r="K27" s="466">
        <v>84</v>
      </c>
      <c r="L27" s="319">
        <f t="shared" si="3"/>
        <v>27</v>
      </c>
      <c r="M27" s="465">
        <v>18</v>
      </c>
      <c r="N27" s="466">
        <v>9</v>
      </c>
    </row>
    <row r="28" spans="1:14" ht="18" customHeight="1">
      <c r="A28" s="314"/>
      <c r="B28" s="318">
        <v>22</v>
      </c>
      <c r="C28" s="319">
        <f t="shared" si="0"/>
        <v>177</v>
      </c>
      <c r="D28" s="465">
        <v>125</v>
      </c>
      <c r="E28" s="466">
        <v>52</v>
      </c>
      <c r="F28" s="319">
        <f t="shared" si="1"/>
        <v>2</v>
      </c>
      <c r="G28" s="465">
        <v>1</v>
      </c>
      <c r="H28" s="466">
        <v>1</v>
      </c>
      <c r="I28" s="319">
        <f t="shared" si="2"/>
        <v>228</v>
      </c>
      <c r="J28" s="465">
        <v>170</v>
      </c>
      <c r="K28" s="466">
        <v>58</v>
      </c>
      <c r="L28" s="319">
        <f t="shared" si="3"/>
        <v>18</v>
      </c>
      <c r="M28" s="465">
        <v>14</v>
      </c>
      <c r="N28" s="466">
        <v>4</v>
      </c>
    </row>
    <row r="29" spans="1:14" ht="18" customHeight="1" thickBot="1">
      <c r="A29" s="324"/>
      <c r="B29" s="325">
        <v>23</v>
      </c>
      <c r="C29" s="326">
        <f t="shared" si="0"/>
        <v>152</v>
      </c>
      <c r="D29" s="467">
        <v>102</v>
      </c>
      <c r="E29" s="468">
        <v>50</v>
      </c>
      <c r="F29" s="326">
        <f t="shared" si="1"/>
        <v>0</v>
      </c>
      <c r="G29" s="467">
        <v>0</v>
      </c>
      <c r="H29" s="468">
        <v>0</v>
      </c>
      <c r="I29" s="326">
        <f t="shared" si="2"/>
        <v>179</v>
      </c>
      <c r="J29" s="467">
        <v>120</v>
      </c>
      <c r="K29" s="468">
        <v>59</v>
      </c>
      <c r="L29" s="326">
        <f t="shared" si="3"/>
        <v>18</v>
      </c>
      <c r="M29" s="467">
        <v>10</v>
      </c>
      <c r="N29" s="468">
        <v>8</v>
      </c>
    </row>
    <row r="30" spans="1:14" ht="18" customHeight="1">
      <c r="A30" s="1675" t="s">
        <v>392</v>
      </c>
      <c r="B30" s="1541"/>
      <c r="C30" s="317">
        <f t="shared" ref="C30:N30" si="4">SUM(C12:C23)</f>
        <v>5717</v>
      </c>
      <c r="D30" s="327">
        <f>SUM(D12:D23)</f>
        <v>3185</v>
      </c>
      <c r="E30" s="328">
        <f>SUM(E12:E23)</f>
        <v>2532</v>
      </c>
      <c r="F30" s="317">
        <f t="shared" si="4"/>
        <v>19</v>
      </c>
      <c r="G30" s="327">
        <f t="shared" si="4"/>
        <v>12</v>
      </c>
      <c r="H30" s="328">
        <f t="shared" si="4"/>
        <v>7</v>
      </c>
      <c r="I30" s="317">
        <f t="shared" si="4"/>
        <v>6496</v>
      </c>
      <c r="J30" s="327">
        <f t="shared" si="4"/>
        <v>3750</v>
      </c>
      <c r="K30" s="328">
        <f t="shared" si="4"/>
        <v>2746</v>
      </c>
      <c r="L30" s="317">
        <f t="shared" si="4"/>
        <v>625</v>
      </c>
      <c r="M30" s="327">
        <f t="shared" si="4"/>
        <v>284</v>
      </c>
      <c r="N30" s="328">
        <f t="shared" si="4"/>
        <v>341</v>
      </c>
    </row>
    <row r="31" spans="1:14" ht="18" customHeight="1">
      <c r="A31" s="1676" t="s">
        <v>393</v>
      </c>
      <c r="B31" s="1677"/>
      <c r="C31" s="319">
        <f t="shared" ref="C31:N31" si="5">C32-C30</f>
        <v>2389</v>
      </c>
      <c r="D31" s="329">
        <f t="shared" si="5"/>
        <v>1565</v>
      </c>
      <c r="E31" s="248">
        <f>E32-E30</f>
        <v>824</v>
      </c>
      <c r="F31" s="319">
        <f t="shared" si="5"/>
        <v>21</v>
      </c>
      <c r="G31" s="329">
        <f t="shared" si="5"/>
        <v>13</v>
      </c>
      <c r="H31" s="248">
        <f t="shared" si="5"/>
        <v>8</v>
      </c>
      <c r="I31" s="319">
        <f t="shared" si="5"/>
        <v>2782</v>
      </c>
      <c r="J31" s="329">
        <f t="shared" si="5"/>
        <v>1897</v>
      </c>
      <c r="K31" s="248">
        <f t="shared" si="5"/>
        <v>885</v>
      </c>
      <c r="L31" s="319">
        <f t="shared" si="5"/>
        <v>269</v>
      </c>
      <c r="M31" s="329">
        <f t="shared" si="5"/>
        <v>176</v>
      </c>
      <c r="N31" s="248">
        <f t="shared" si="5"/>
        <v>93</v>
      </c>
    </row>
    <row r="32" spans="1:14" ht="18" customHeight="1" thickBot="1">
      <c r="A32" s="1670" t="s">
        <v>394</v>
      </c>
      <c r="B32" s="1671"/>
      <c r="C32" s="326">
        <f t="shared" ref="C32:N32" si="6">SUM(C6:C29)</f>
        <v>8106</v>
      </c>
      <c r="D32" s="330">
        <f t="shared" si="6"/>
        <v>4750</v>
      </c>
      <c r="E32" s="331">
        <f t="shared" si="6"/>
        <v>3356</v>
      </c>
      <c r="F32" s="326">
        <f t="shared" si="6"/>
        <v>40</v>
      </c>
      <c r="G32" s="330">
        <f t="shared" si="6"/>
        <v>25</v>
      </c>
      <c r="H32" s="331">
        <f t="shared" si="6"/>
        <v>15</v>
      </c>
      <c r="I32" s="326">
        <f t="shared" si="6"/>
        <v>9278</v>
      </c>
      <c r="J32" s="330">
        <f t="shared" si="6"/>
        <v>5647</v>
      </c>
      <c r="K32" s="331">
        <f t="shared" si="6"/>
        <v>3631</v>
      </c>
      <c r="L32" s="326">
        <f t="shared" si="6"/>
        <v>894</v>
      </c>
      <c r="M32" s="330">
        <f t="shared" si="6"/>
        <v>460</v>
      </c>
      <c r="N32" s="331">
        <f t="shared" si="6"/>
        <v>434</v>
      </c>
    </row>
    <row r="33" spans="1:11" ht="18" customHeight="1">
      <c r="A33" s="1672" t="s">
        <v>368</v>
      </c>
      <c r="B33" s="1672"/>
      <c r="C33" s="1673" t="s">
        <v>395</v>
      </c>
      <c r="D33" s="1673"/>
      <c r="E33" s="1673"/>
      <c r="F33" s="1673"/>
      <c r="G33" s="1673"/>
      <c r="H33" s="1673"/>
      <c r="I33" s="1673"/>
      <c r="J33" s="1673"/>
      <c r="K33" s="1673"/>
    </row>
  </sheetData>
  <mergeCells count="14">
    <mergeCell ref="A32:B32"/>
    <mergeCell ref="A33:B33"/>
    <mergeCell ref="C33:K33"/>
    <mergeCell ref="L2:M2"/>
    <mergeCell ref="A30:B30"/>
    <mergeCell ref="A31:B31"/>
    <mergeCell ref="C2:D3"/>
    <mergeCell ref="F2:G3"/>
    <mergeCell ref="I2:J3"/>
    <mergeCell ref="L3:M3"/>
    <mergeCell ref="E2:E3"/>
    <mergeCell ref="H2:H3"/>
    <mergeCell ref="K2:K3"/>
    <mergeCell ref="B2:B3"/>
  </mergeCells>
  <phoneticPr fontId="3"/>
  <pageMargins left="0.98425196850393704" right="0.39370078740157483" top="0.98425196850393704" bottom="0.78" header="0.51181102362204722" footer="0.51181102362204722"/>
  <pageSetup paperSize="9" scale="79" firstPageNumber="0" orientation="portrait" r:id="rId1"/>
  <headerFooter alignWithMargins="0">
    <oddFooter>&amp;C－12－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Normal="100" zoomScaleSheetLayoutView="100" workbookViewId="0">
      <selection activeCell="I15" sqref="I15"/>
    </sheetView>
  </sheetViews>
  <sheetFormatPr defaultRowHeight="14.25"/>
  <cols>
    <col min="1" max="1" width="1.625" style="2" customWidth="1"/>
    <col min="2" max="2" width="8" style="2" customWidth="1"/>
    <col min="3" max="3" width="7.5" style="2" customWidth="1"/>
    <col min="4" max="9" width="10.625" style="2" customWidth="1"/>
    <col min="10" max="16384" width="9" style="2"/>
  </cols>
  <sheetData>
    <row r="1" spans="1:8" ht="15">
      <c r="A1" s="70" t="s">
        <v>420</v>
      </c>
      <c r="B1" s="70"/>
    </row>
    <row r="2" spans="1:8" ht="7.5" customHeight="1"/>
    <row r="3" spans="1:8" ht="8.1" customHeight="1">
      <c r="A3" s="500"/>
      <c r="B3" s="500"/>
      <c r="C3" s="500"/>
      <c r="D3" s="500"/>
      <c r="E3" s="500"/>
      <c r="F3" s="500"/>
      <c r="G3" s="500"/>
      <c r="H3" s="500"/>
    </row>
    <row r="4" spans="1:8" ht="15.75" thickBot="1">
      <c r="A4" s="70" t="s">
        <v>421</v>
      </c>
      <c r="B4" s="70"/>
    </row>
    <row r="5" spans="1:8">
      <c r="A5" s="3"/>
      <c r="B5" s="4"/>
      <c r="C5" s="44" t="s">
        <v>422</v>
      </c>
      <c r="D5" s="1719" t="s">
        <v>423</v>
      </c>
      <c r="E5" s="1558" t="s">
        <v>424</v>
      </c>
      <c r="F5" s="1558" t="s">
        <v>425</v>
      </c>
      <c r="G5" s="1723" t="s">
        <v>426</v>
      </c>
      <c r="H5" s="1710" t="s">
        <v>997</v>
      </c>
    </row>
    <row r="6" spans="1:8">
      <c r="A6" s="310"/>
      <c r="B6" s="9"/>
      <c r="C6" s="53"/>
      <c r="D6" s="1720"/>
      <c r="E6" s="1722"/>
      <c r="F6" s="1722"/>
      <c r="G6" s="1724"/>
      <c r="H6" s="1711"/>
    </row>
    <row r="7" spans="1:8" ht="21" customHeight="1" thickBot="1">
      <c r="A7" s="6" t="s">
        <v>362</v>
      </c>
      <c r="B7" s="7"/>
      <c r="C7" s="8" t="s">
        <v>356</v>
      </c>
      <c r="D7" s="1721"/>
      <c r="E7" s="1559"/>
      <c r="F7" s="1559"/>
      <c r="G7" s="1725"/>
      <c r="H7" s="1712"/>
    </row>
    <row r="8" spans="1:8" ht="18" customHeight="1">
      <c r="A8" s="1678" t="s">
        <v>396</v>
      </c>
      <c r="B8" s="1714"/>
      <c r="C8" s="501" t="s">
        <v>427</v>
      </c>
      <c r="D8" s="502">
        <v>892</v>
      </c>
      <c r="E8" s="503">
        <v>7107</v>
      </c>
      <c r="F8" s="503">
        <v>107</v>
      </c>
      <c r="G8" s="504">
        <v>0</v>
      </c>
      <c r="H8" s="505">
        <f t="shared" ref="H8:H18" si="0">SUM(D8:G8)</f>
        <v>8106</v>
      </c>
    </row>
    <row r="9" spans="1:8" ht="18" customHeight="1">
      <c r="A9" s="1715"/>
      <c r="B9" s="1716"/>
      <c r="C9" s="506" t="s">
        <v>118</v>
      </c>
      <c r="D9" s="507">
        <v>813</v>
      </c>
      <c r="E9" s="508">
        <v>7410</v>
      </c>
      <c r="F9" s="508">
        <v>73</v>
      </c>
      <c r="G9" s="509">
        <v>0</v>
      </c>
      <c r="H9" s="510">
        <f t="shared" si="0"/>
        <v>8296</v>
      </c>
    </row>
    <row r="10" spans="1:8" ht="18" customHeight="1" thickBot="1">
      <c r="A10" s="1713" t="s">
        <v>428</v>
      </c>
      <c r="B10" s="1704"/>
      <c r="C10" s="511" t="s">
        <v>429</v>
      </c>
      <c r="D10" s="512">
        <f>D8-D9</f>
        <v>79</v>
      </c>
      <c r="E10" s="513">
        <f>E8-E9</f>
        <v>-303</v>
      </c>
      <c r="F10" s="513">
        <f>F8-F9</f>
        <v>34</v>
      </c>
      <c r="G10" s="514">
        <f>G8-G9</f>
        <v>0</v>
      </c>
      <c r="H10" s="515">
        <f t="shared" si="0"/>
        <v>-190</v>
      </c>
    </row>
    <row r="11" spans="1:8" ht="18" customHeight="1">
      <c r="A11" s="1425" t="s">
        <v>430</v>
      </c>
      <c r="B11" s="1714"/>
      <c r="C11" s="516" t="s">
        <v>427</v>
      </c>
      <c r="D11" s="517">
        <v>12</v>
      </c>
      <c r="E11" s="518">
        <v>17</v>
      </c>
      <c r="F11" s="518">
        <v>11</v>
      </c>
      <c r="G11" s="519">
        <v>0</v>
      </c>
      <c r="H11" s="505">
        <f t="shared" si="0"/>
        <v>40</v>
      </c>
    </row>
    <row r="12" spans="1:8" ht="18" customHeight="1">
      <c r="A12" s="1715"/>
      <c r="B12" s="1716"/>
      <c r="C12" s="506" t="s">
        <v>118</v>
      </c>
      <c r="D12" s="520">
        <v>16</v>
      </c>
      <c r="E12" s="521">
        <v>22</v>
      </c>
      <c r="F12" s="521">
        <v>5</v>
      </c>
      <c r="G12" s="522">
        <v>0</v>
      </c>
      <c r="H12" s="510">
        <f t="shared" si="0"/>
        <v>43</v>
      </c>
    </row>
    <row r="13" spans="1:8" ht="18" customHeight="1" thickBot="1">
      <c r="A13" s="1717" t="s">
        <v>431</v>
      </c>
      <c r="B13" s="1718"/>
      <c r="C13" s="523" t="s">
        <v>432</v>
      </c>
      <c r="D13" s="512">
        <f>D11-D12</f>
        <v>-4</v>
      </c>
      <c r="E13" s="513">
        <f>E11-E12</f>
        <v>-5</v>
      </c>
      <c r="F13" s="513">
        <f>F11-F12</f>
        <v>6</v>
      </c>
      <c r="G13" s="514">
        <f>G11-G12</f>
        <v>0</v>
      </c>
      <c r="H13" s="515">
        <f t="shared" si="0"/>
        <v>-3</v>
      </c>
    </row>
    <row r="14" spans="1:8" ht="18" customHeight="1">
      <c r="A14" s="1425" t="s">
        <v>433</v>
      </c>
      <c r="B14" s="1714"/>
      <c r="C14" s="501" t="s">
        <v>427</v>
      </c>
      <c r="D14" s="502">
        <v>899</v>
      </c>
      <c r="E14" s="503">
        <v>8252</v>
      </c>
      <c r="F14" s="503">
        <v>127</v>
      </c>
      <c r="G14" s="504">
        <v>0</v>
      </c>
      <c r="H14" s="505">
        <f t="shared" si="0"/>
        <v>9278</v>
      </c>
    </row>
    <row r="15" spans="1:8" ht="18" customHeight="1">
      <c r="A15" s="1715"/>
      <c r="B15" s="1716"/>
      <c r="C15" s="506" t="s">
        <v>118</v>
      </c>
      <c r="D15" s="507">
        <v>811</v>
      </c>
      <c r="E15" s="508">
        <v>8694</v>
      </c>
      <c r="F15" s="508">
        <v>79</v>
      </c>
      <c r="G15" s="509">
        <v>0</v>
      </c>
      <c r="H15" s="510">
        <v>9584</v>
      </c>
    </row>
    <row r="16" spans="1:8" ht="18" customHeight="1" thickBot="1">
      <c r="A16" s="1703" t="s">
        <v>431</v>
      </c>
      <c r="B16" s="1704"/>
      <c r="C16" s="523" t="s">
        <v>432</v>
      </c>
      <c r="D16" s="512">
        <f>D14-D15</f>
        <v>88</v>
      </c>
      <c r="E16" s="513">
        <f>E14-E15</f>
        <v>-442</v>
      </c>
      <c r="F16" s="513">
        <f>F14-F15</f>
        <v>48</v>
      </c>
      <c r="G16" s="514">
        <f>G14-G15</f>
        <v>0</v>
      </c>
      <c r="H16" s="515">
        <f t="shared" si="0"/>
        <v>-306</v>
      </c>
    </row>
    <row r="17" spans="1:9" ht="18" customHeight="1" thickBot="1">
      <c r="A17" s="524"/>
      <c r="B17" s="1708" t="s">
        <v>960</v>
      </c>
      <c r="C17" s="501" t="s">
        <v>427</v>
      </c>
      <c r="D17" s="502">
        <v>176</v>
      </c>
      <c r="E17" s="503">
        <v>689</v>
      </c>
      <c r="F17" s="503">
        <v>29</v>
      </c>
      <c r="G17" s="504">
        <v>0</v>
      </c>
      <c r="H17" s="505">
        <f t="shared" si="0"/>
        <v>894</v>
      </c>
    </row>
    <row r="18" spans="1:9" ht="18" customHeight="1">
      <c r="A18" s="525"/>
      <c r="B18" s="1709"/>
      <c r="C18" s="506" t="s">
        <v>118</v>
      </c>
      <c r="D18" s="507">
        <v>166</v>
      </c>
      <c r="E18" s="508">
        <v>697</v>
      </c>
      <c r="F18" s="508">
        <v>16</v>
      </c>
      <c r="G18" s="509">
        <v>0</v>
      </c>
      <c r="H18" s="505">
        <f t="shared" si="0"/>
        <v>879</v>
      </c>
    </row>
    <row r="19" spans="1:9" ht="18" customHeight="1" thickBot="1">
      <c r="A19" s="526"/>
      <c r="B19" s="527" t="s">
        <v>431</v>
      </c>
      <c r="C19" s="523" t="s">
        <v>432</v>
      </c>
      <c r="D19" s="512">
        <f>D17-D18</f>
        <v>10</v>
      </c>
      <c r="E19" s="513">
        <f>E17-E18</f>
        <v>-8</v>
      </c>
      <c r="F19" s="513">
        <f>F17-F18</f>
        <v>13</v>
      </c>
      <c r="G19" s="514">
        <f>G17-G18</f>
        <v>0</v>
      </c>
      <c r="H19" s="515">
        <f t="shared" ref="H19" si="1">SUM(D19:G19)</f>
        <v>15</v>
      </c>
    </row>
    <row r="20" spans="1:9" ht="16.5" customHeight="1"/>
    <row r="21" spans="1:9" ht="15.75" thickBot="1">
      <c r="A21" s="70" t="s">
        <v>434</v>
      </c>
      <c r="B21" s="70"/>
    </row>
    <row r="22" spans="1:9">
      <c r="A22" s="173"/>
      <c r="B22" s="174"/>
      <c r="C22" s="175"/>
      <c r="D22" s="4"/>
      <c r="E22" s="482" t="s">
        <v>362</v>
      </c>
      <c r="F22" s="1701" t="s">
        <v>435</v>
      </c>
      <c r="G22" s="1706" t="s">
        <v>384</v>
      </c>
      <c r="H22" s="1687" t="s">
        <v>436</v>
      </c>
      <c r="I22" s="528"/>
    </row>
    <row r="23" spans="1:9">
      <c r="A23" s="176"/>
      <c r="B23" s="177"/>
      <c r="C23" s="254"/>
      <c r="D23" s="9"/>
      <c r="E23" s="191"/>
      <c r="F23" s="1702"/>
      <c r="G23" s="1707"/>
      <c r="H23" s="1688"/>
      <c r="I23" s="1363" t="s">
        <v>959</v>
      </c>
    </row>
    <row r="24" spans="1:9" ht="15" thickBot="1">
      <c r="A24" s="529" t="s">
        <v>438</v>
      </c>
      <c r="B24" s="530"/>
      <c r="C24" s="530"/>
      <c r="D24" s="7"/>
      <c r="E24" s="7"/>
      <c r="F24" s="531" t="s">
        <v>428</v>
      </c>
      <c r="G24" s="532" t="s">
        <v>439</v>
      </c>
      <c r="H24" s="533" t="s">
        <v>439</v>
      </c>
      <c r="I24" s="534" t="s">
        <v>439</v>
      </c>
    </row>
    <row r="25" spans="1:9" ht="15" thickBot="1">
      <c r="A25" s="1689" t="s">
        <v>440</v>
      </c>
      <c r="B25" s="1690"/>
      <c r="C25" s="1690"/>
      <c r="D25" s="1690"/>
      <c r="E25" s="1691"/>
      <c r="F25" s="535">
        <f>SUM(F26:F54)</f>
        <v>8106</v>
      </c>
      <c r="G25" s="536">
        <f>SUM(G26:G54)</f>
        <v>40</v>
      </c>
      <c r="H25" s="537">
        <f>SUM(H26:H54)</f>
        <v>9278</v>
      </c>
      <c r="I25" s="538">
        <f>SUM(I26:I54)</f>
        <v>894</v>
      </c>
    </row>
    <row r="26" spans="1:9">
      <c r="A26" s="1692" t="s">
        <v>441</v>
      </c>
      <c r="B26" s="1693"/>
      <c r="C26" s="62" t="s">
        <v>442</v>
      </c>
      <c r="F26" s="539">
        <v>102</v>
      </c>
      <c r="G26" s="540">
        <v>1</v>
      </c>
      <c r="H26" s="541">
        <v>104</v>
      </c>
      <c r="I26" s="542">
        <v>11</v>
      </c>
    </row>
    <row r="27" spans="1:9">
      <c r="A27" s="1694"/>
      <c r="B27" s="1695"/>
      <c r="C27" s="57" t="s">
        <v>443</v>
      </c>
      <c r="D27" s="58"/>
      <c r="E27" s="58"/>
      <c r="F27" s="477">
        <v>156</v>
      </c>
      <c r="G27" s="543">
        <v>1</v>
      </c>
      <c r="H27" s="544">
        <v>156</v>
      </c>
      <c r="I27" s="545">
        <v>18</v>
      </c>
    </row>
    <row r="28" spans="1:9" ht="13.5" customHeight="1">
      <c r="A28" s="1694"/>
      <c r="B28" s="1695"/>
      <c r="C28" s="1698" t="s">
        <v>444</v>
      </c>
      <c r="D28" s="2" t="s">
        <v>445</v>
      </c>
      <c r="F28" s="477">
        <v>253</v>
      </c>
      <c r="G28" s="543">
        <v>5</v>
      </c>
      <c r="H28" s="544">
        <v>253</v>
      </c>
      <c r="I28" s="545">
        <v>67</v>
      </c>
    </row>
    <row r="29" spans="1:9">
      <c r="A29" s="1694"/>
      <c r="B29" s="1695"/>
      <c r="C29" s="1699"/>
      <c r="D29" s="58" t="s">
        <v>446</v>
      </c>
      <c r="E29" s="58"/>
      <c r="F29" s="477">
        <v>21</v>
      </c>
      <c r="G29" s="543">
        <v>0</v>
      </c>
      <c r="H29" s="544">
        <v>22</v>
      </c>
      <c r="I29" s="545">
        <v>8</v>
      </c>
    </row>
    <row r="30" spans="1:9">
      <c r="A30" s="1694"/>
      <c r="B30" s="1695"/>
      <c r="C30" s="1699"/>
      <c r="D30" s="2" t="s">
        <v>447</v>
      </c>
      <c r="F30" s="477">
        <v>3</v>
      </c>
      <c r="G30" s="543">
        <v>0</v>
      </c>
      <c r="H30" s="544">
        <v>3</v>
      </c>
      <c r="I30" s="545">
        <v>1</v>
      </c>
    </row>
    <row r="31" spans="1:9">
      <c r="A31" s="1694"/>
      <c r="B31" s="1695"/>
      <c r="C31" s="1700"/>
      <c r="D31" s="58" t="s">
        <v>331</v>
      </c>
      <c r="E31" s="58"/>
      <c r="F31" s="477">
        <v>178</v>
      </c>
      <c r="G31" s="543">
        <v>3</v>
      </c>
      <c r="H31" s="544">
        <v>176</v>
      </c>
      <c r="I31" s="545">
        <v>36</v>
      </c>
    </row>
    <row r="32" spans="1:9">
      <c r="A32" s="1694"/>
      <c r="B32" s="1695"/>
      <c r="C32" s="57" t="s">
        <v>448</v>
      </c>
      <c r="F32" s="477">
        <v>1</v>
      </c>
      <c r="G32" s="543">
        <v>0</v>
      </c>
      <c r="H32" s="544">
        <v>1</v>
      </c>
      <c r="I32" s="545">
        <v>0</v>
      </c>
    </row>
    <row r="33" spans="1:9">
      <c r="A33" s="1694"/>
      <c r="B33" s="1695"/>
      <c r="C33" s="57" t="s">
        <v>449</v>
      </c>
      <c r="D33" s="58"/>
      <c r="E33" s="58"/>
      <c r="F33" s="477">
        <v>14</v>
      </c>
      <c r="G33" s="543">
        <v>0</v>
      </c>
      <c r="H33" s="544">
        <v>15</v>
      </c>
      <c r="I33" s="545">
        <v>2</v>
      </c>
    </row>
    <row r="34" spans="1:9">
      <c r="A34" s="1694"/>
      <c r="B34" s="1695"/>
      <c r="C34" s="57" t="s">
        <v>450</v>
      </c>
      <c r="F34" s="477">
        <v>26</v>
      </c>
      <c r="G34" s="543">
        <v>0</v>
      </c>
      <c r="H34" s="544">
        <v>27</v>
      </c>
      <c r="I34" s="545">
        <v>3</v>
      </c>
    </row>
    <row r="35" spans="1:9" ht="15" thickBot="1">
      <c r="A35" s="1696"/>
      <c r="B35" s="1697"/>
      <c r="C35" s="546" t="s">
        <v>331</v>
      </c>
      <c r="D35" s="547"/>
      <c r="E35" s="547"/>
      <c r="F35" s="479">
        <v>138</v>
      </c>
      <c r="G35" s="548">
        <v>2</v>
      </c>
      <c r="H35" s="549">
        <v>142</v>
      </c>
      <c r="I35" s="550">
        <v>30</v>
      </c>
    </row>
    <row r="36" spans="1:9">
      <c r="A36" s="1692" t="s">
        <v>451</v>
      </c>
      <c r="B36" s="1693"/>
      <c r="C36" s="49" t="s">
        <v>452</v>
      </c>
      <c r="F36" s="480">
        <v>65</v>
      </c>
      <c r="G36" s="551">
        <v>1</v>
      </c>
      <c r="H36" s="552">
        <v>78</v>
      </c>
      <c r="I36" s="553">
        <v>20</v>
      </c>
    </row>
    <row r="37" spans="1:9">
      <c r="A37" s="1694"/>
      <c r="B37" s="1695"/>
      <c r="C37" s="1698" t="s">
        <v>453</v>
      </c>
      <c r="D37" s="58" t="s">
        <v>454</v>
      </c>
      <c r="E37" s="58"/>
      <c r="F37" s="477">
        <v>125</v>
      </c>
      <c r="G37" s="543">
        <v>4</v>
      </c>
      <c r="H37" s="544">
        <v>160</v>
      </c>
      <c r="I37" s="545">
        <v>3</v>
      </c>
    </row>
    <row r="38" spans="1:9">
      <c r="A38" s="1694"/>
      <c r="B38" s="1695"/>
      <c r="C38" s="1700"/>
      <c r="D38" s="2" t="s">
        <v>331</v>
      </c>
      <c r="F38" s="477">
        <v>1904</v>
      </c>
      <c r="G38" s="543">
        <v>1</v>
      </c>
      <c r="H38" s="544">
        <v>2553</v>
      </c>
      <c r="I38" s="545">
        <v>29</v>
      </c>
    </row>
    <row r="39" spans="1:9">
      <c r="A39" s="1694"/>
      <c r="B39" s="1695"/>
      <c r="C39" s="62" t="s">
        <v>455</v>
      </c>
      <c r="D39" s="58"/>
      <c r="E39" s="58"/>
      <c r="F39" s="477">
        <v>2275</v>
      </c>
      <c r="G39" s="543">
        <v>5</v>
      </c>
      <c r="H39" s="544">
        <v>2439</v>
      </c>
      <c r="I39" s="545">
        <v>336</v>
      </c>
    </row>
    <row r="40" spans="1:9">
      <c r="A40" s="1694"/>
      <c r="B40" s="1695"/>
      <c r="C40" s="57" t="s">
        <v>456</v>
      </c>
      <c r="F40" s="477">
        <v>445</v>
      </c>
      <c r="G40" s="543">
        <v>1</v>
      </c>
      <c r="H40" s="544">
        <v>499</v>
      </c>
      <c r="I40" s="545">
        <v>45</v>
      </c>
    </row>
    <row r="41" spans="1:9">
      <c r="A41" s="1694"/>
      <c r="B41" s="1695"/>
      <c r="C41" s="57" t="s">
        <v>457</v>
      </c>
      <c r="D41" s="58"/>
      <c r="E41" s="58"/>
      <c r="F41" s="477">
        <v>87</v>
      </c>
      <c r="G41" s="543">
        <v>0</v>
      </c>
      <c r="H41" s="544">
        <v>102</v>
      </c>
      <c r="I41" s="545">
        <v>9</v>
      </c>
    </row>
    <row r="42" spans="1:9">
      <c r="A42" s="1694"/>
      <c r="B42" s="1695"/>
      <c r="C42" s="57" t="s">
        <v>458</v>
      </c>
      <c r="F42" s="477">
        <v>624</v>
      </c>
      <c r="G42" s="543">
        <v>2</v>
      </c>
      <c r="H42" s="544">
        <v>651</v>
      </c>
      <c r="I42" s="545">
        <v>48</v>
      </c>
    </row>
    <row r="43" spans="1:9">
      <c r="A43" s="1694"/>
      <c r="B43" s="1695"/>
      <c r="C43" s="57" t="s">
        <v>459</v>
      </c>
      <c r="D43" s="58"/>
      <c r="E43" s="58"/>
      <c r="F43" s="477">
        <v>715</v>
      </c>
      <c r="G43" s="543">
        <v>2</v>
      </c>
      <c r="H43" s="544">
        <v>790</v>
      </c>
      <c r="I43" s="545">
        <v>132</v>
      </c>
    </row>
    <row r="44" spans="1:9" ht="15" thickBot="1">
      <c r="A44" s="1696"/>
      <c r="B44" s="1697"/>
      <c r="C44" s="554" t="s">
        <v>331</v>
      </c>
      <c r="D44" s="547"/>
      <c r="E44" s="547"/>
      <c r="F44" s="478">
        <v>867</v>
      </c>
      <c r="G44" s="555">
        <v>1</v>
      </c>
      <c r="H44" s="556">
        <v>980</v>
      </c>
      <c r="I44" s="557">
        <v>67</v>
      </c>
    </row>
    <row r="45" spans="1:9" ht="13.5" customHeight="1">
      <c r="A45" s="1692" t="s">
        <v>460</v>
      </c>
      <c r="B45" s="1693"/>
      <c r="C45" s="1705" t="s">
        <v>461</v>
      </c>
      <c r="D45" s="2" t="s">
        <v>462</v>
      </c>
      <c r="F45" s="539">
        <v>2</v>
      </c>
      <c r="G45" s="540">
        <v>1</v>
      </c>
      <c r="H45" s="541">
        <v>2</v>
      </c>
      <c r="I45" s="542">
        <v>0</v>
      </c>
    </row>
    <row r="46" spans="1:9">
      <c r="A46" s="1694"/>
      <c r="B46" s="1695"/>
      <c r="C46" s="1699"/>
      <c r="D46" s="58" t="s">
        <v>463</v>
      </c>
      <c r="E46" s="58"/>
      <c r="F46" s="477">
        <v>2</v>
      </c>
      <c r="G46" s="543">
        <v>0</v>
      </c>
      <c r="H46" s="544">
        <v>3</v>
      </c>
      <c r="I46" s="545">
        <v>2</v>
      </c>
    </row>
    <row r="47" spans="1:9">
      <c r="A47" s="1694"/>
      <c r="B47" s="1695"/>
      <c r="C47" s="1699"/>
      <c r="D47" s="2" t="s">
        <v>464</v>
      </c>
      <c r="F47" s="477">
        <v>10</v>
      </c>
      <c r="G47" s="543">
        <v>1</v>
      </c>
      <c r="H47" s="544">
        <v>12</v>
      </c>
      <c r="I47" s="545">
        <v>2</v>
      </c>
    </row>
    <row r="48" spans="1:9">
      <c r="A48" s="1694"/>
      <c r="B48" s="1695"/>
      <c r="C48" s="1699"/>
      <c r="D48" s="58" t="s">
        <v>465</v>
      </c>
      <c r="E48" s="58"/>
      <c r="F48" s="477">
        <v>14</v>
      </c>
      <c r="G48" s="543">
        <v>2</v>
      </c>
      <c r="H48" s="544">
        <v>21</v>
      </c>
      <c r="I48" s="545">
        <v>7</v>
      </c>
    </row>
    <row r="49" spans="1:9">
      <c r="A49" s="1694"/>
      <c r="B49" s="1695"/>
      <c r="C49" s="1700"/>
      <c r="D49" s="9" t="s">
        <v>331</v>
      </c>
      <c r="F49" s="477">
        <v>17</v>
      </c>
      <c r="G49" s="543">
        <v>5</v>
      </c>
      <c r="H49" s="544">
        <v>17</v>
      </c>
      <c r="I49" s="545">
        <v>6</v>
      </c>
    </row>
    <row r="50" spans="1:9">
      <c r="A50" s="1694"/>
      <c r="B50" s="1695"/>
      <c r="C50" s="57" t="s">
        <v>466</v>
      </c>
      <c r="D50" s="58"/>
      <c r="E50" s="58"/>
      <c r="F50" s="477">
        <v>0</v>
      </c>
      <c r="G50" s="543">
        <v>0</v>
      </c>
      <c r="H50" s="544">
        <v>0</v>
      </c>
      <c r="I50" s="545">
        <v>0</v>
      </c>
    </row>
    <row r="51" spans="1:9">
      <c r="A51" s="1694"/>
      <c r="B51" s="1695"/>
      <c r="C51" s="57" t="s">
        <v>467</v>
      </c>
      <c r="F51" s="477">
        <v>12</v>
      </c>
      <c r="G51" s="543">
        <v>0</v>
      </c>
      <c r="H51" s="544">
        <v>16</v>
      </c>
      <c r="I51" s="545">
        <v>3</v>
      </c>
    </row>
    <row r="52" spans="1:9">
      <c r="A52" s="1694"/>
      <c r="B52" s="1695"/>
      <c r="C52" s="57" t="s">
        <v>468</v>
      </c>
      <c r="D52" s="58"/>
      <c r="E52" s="58"/>
      <c r="F52" s="477">
        <v>9</v>
      </c>
      <c r="G52" s="543">
        <v>2</v>
      </c>
      <c r="H52" s="544">
        <v>7</v>
      </c>
      <c r="I52" s="545">
        <v>4</v>
      </c>
    </row>
    <row r="53" spans="1:9" ht="15" thickBot="1">
      <c r="A53" s="1696"/>
      <c r="B53" s="1697"/>
      <c r="C53" s="554" t="s">
        <v>331</v>
      </c>
      <c r="F53" s="479">
        <v>41</v>
      </c>
      <c r="G53" s="548">
        <v>0</v>
      </c>
      <c r="H53" s="549">
        <v>49</v>
      </c>
      <c r="I53" s="550">
        <v>5</v>
      </c>
    </row>
    <row r="54" spans="1:9" ht="15" thickBot="1">
      <c r="A54" s="1689" t="s">
        <v>469</v>
      </c>
      <c r="B54" s="1690"/>
      <c r="C54" s="1690"/>
      <c r="D54" s="1690"/>
      <c r="E54" s="1691"/>
      <c r="F54" s="558">
        <v>0</v>
      </c>
      <c r="G54" s="559">
        <v>0</v>
      </c>
      <c r="H54" s="560">
        <v>0</v>
      </c>
      <c r="I54" s="561">
        <v>0</v>
      </c>
    </row>
  </sheetData>
  <mergeCells count="23">
    <mergeCell ref="H5:H7"/>
    <mergeCell ref="A10:B10"/>
    <mergeCell ref="A11:B12"/>
    <mergeCell ref="A13:B13"/>
    <mergeCell ref="A14:B15"/>
    <mergeCell ref="A8:B9"/>
    <mergeCell ref="D5:D7"/>
    <mergeCell ref="E5:E7"/>
    <mergeCell ref="F5:F7"/>
    <mergeCell ref="G5:G7"/>
    <mergeCell ref="A16:B16"/>
    <mergeCell ref="A45:B53"/>
    <mergeCell ref="C45:C49"/>
    <mergeCell ref="A54:E54"/>
    <mergeCell ref="G22:G23"/>
    <mergeCell ref="B17:B18"/>
    <mergeCell ref="H22:H23"/>
    <mergeCell ref="A25:E25"/>
    <mergeCell ref="A26:B35"/>
    <mergeCell ref="C28:C31"/>
    <mergeCell ref="A36:B44"/>
    <mergeCell ref="C37:C38"/>
    <mergeCell ref="F22:F23"/>
  </mergeCells>
  <phoneticPr fontId="3"/>
  <pageMargins left="1.52" right="0.59055118110236227" top="0.98425196850393704" bottom="0.98425196850393704" header="0.51181102362204722" footer="0.51181102362204722"/>
  <pageSetup paperSize="9" scale="95" orientation="portrait" r:id="rId1"/>
  <headerFooter alignWithMargins="0">
    <oddFooter xml:space="preserve">&amp;C－13－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BreakPreview" zoomScaleNormal="100" zoomScaleSheetLayoutView="100" workbookViewId="0">
      <selection activeCell="A6" sqref="A6"/>
    </sheetView>
  </sheetViews>
  <sheetFormatPr defaultRowHeight="14.25"/>
  <cols>
    <col min="1" max="1" width="2" style="2" customWidth="1"/>
    <col min="2" max="2" width="15" style="2" customWidth="1"/>
    <col min="3" max="4" width="7.875" style="2" customWidth="1"/>
    <col min="5" max="6" width="8.625" style="2" customWidth="1"/>
    <col min="7" max="8" width="7.875" style="2" customWidth="1"/>
    <col min="9" max="10" width="8.625" style="2" customWidth="1"/>
    <col min="11" max="12" width="7.875" style="2" customWidth="1"/>
    <col min="13" max="14" width="8.625" style="2" customWidth="1"/>
    <col min="15" max="16384" width="9" style="2"/>
  </cols>
  <sheetData>
    <row r="1" spans="1:14" ht="15.75" thickBot="1">
      <c r="A1" s="70" t="s">
        <v>470</v>
      </c>
    </row>
    <row r="2" spans="1:14" ht="20.25" customHeight="1">
      <c r="A2" s="562"/>
      <c r="B2" s="496" t="s">
        <v>471</v>
      </c>
      <c r="C2" s="1589" t="s">
        <v>472</v>
      </c>
      <c r="D2" s="1404"/>
      <c r="E2" s="1404"/>
      <c r="F2" s="1728"/>
      <c r="G2" s="1589" t="s">
        <v>473</v>
      </c>
      <c r="H2" s="1404"/>
      <c r="I2" s="1404"/>
      <c r="J2" s="1728"/>
      <c r="K2" s="1589" t="s">
        <v>474</v>
      </c>
      <c r="L2" s="1404"/>
      <c r="M2" s="1404"/>
      <c r="N2" s="1728"/>
    </row>
    <row r="3" spans="1:14" ht="5.25" customHeight="1">
      <c r="A3" s="563"/>
      <c r="B3" s="564"/>
      <c r="C3" s="1729" t="s">
        <v>181</v>
      </c>
      <c r="D3" s="1698" t="s">
        <v>430</v>
      </c>
      <c r="E3" s="1726" t="s">
        <v>475</v>
      </c>
      <c r="F3" s="565"/>
      <c r="G3" s="1729" t="s">
        <v>476</v>
      </c>
      <c r="H3" s="1698" t="s">
        <v>477</v>
      </c>
      <c r="I3" s="1726" t="s">
        <v>478</v>
      </c>
      <c r="J3" s="565"/>
      <c r="K3" s="1729" t="s">
        <v>181</v>
      </c>
      <c r="L3" s="1698" t="s">
        <v>477</v>
      </c>
      <c r="M3" s="1726" t="s">
        <v>478</v>
      </c>
      <c r="N3" s="565"/>
    </row>
    <row r="4" spans="1:14" ht="21" customHeight="1">
      <c r="A4" s="563"/>
      <c r="B4" s="564"/>
      <c r="C4" s="1410"/>
      <c r="D4" s="1419"/>
      <c r="E4" s="1727"/>
      <c r="F4" s="1362" t="s">
        <v>959</v>
      </c>
      <c r="G4" s="1410"/>
      <c r="H4" s="1419"/>
      <c r="I4" s="1727"/>
      <c r="J4" s="1362" t="s">
        <v>959</v>
      </c>
      <c r="K4" s="1410"/>
      <c r="L4" s="1419"/>
      <c r="M4" s="1727"/>
      <c r="N4" s="1362" t="s">
        <v>959</v>
      </c>
    </row>
    <row r="5" spans="1:14" ht="21" customHeight="1" thickBot="1">
      <c r="A5" s="566" t="s">
        <v>422</v>
      </c>
      <c r="B5" s="567"/>
      <c r="C5" s="568" t="s">
        <v>428</v>
      </c>
      <c r="D5" s="527" t="s">
        <v>431</v>
      </c>
      <c r="E5" s="569" t="s">
        <v>431</v>
      </c>
      <c r="F5" s="570" t="s">
        <v>431</v>
      </c>
      <c r="G5" s="568" t="s">
        <v>428</v>
      </c>
      <c r="H5" s="527" t="s">
        <v>431</v>
      </c>
      <c r="I5" s="569" t="s">
        <v>431</v>
      </c>
      <c r="J5" s="570" t="s">
        <v>431</v>
      </c>
      <c r="K5" s="526" t="s">
        <v>428</v>
      </c>
      <c r="L5" s="527" t="s">
        <v>431</v>
      </c>
      <c r="M5" s="569" t="s">
        <v>431</v>
      </c>
      <c r="N5" s="570" t="s">
        <v>431</v>
      </c>
    </row>
    <row r="6" spans="1:14" ht="24.95" customHeight="1" thickBot="1">
      <c r="A6" s="566" t="s">
        <v>479</v>
      </c>
      <c r="B6" s="571"/>
      <c r="C6" s="252">
        <f t="shared" ref="C6:N6" si="0">C7+C11+C19+C23</f>
        <v>3133</v>
      </c>
      <c r="D6" s="250">
        <f t="shared" si="0"/>
        <v>18</v>
      </c>
      <c r="E6" s="251">
        <f t="shared" si="0"/>
        <v>3664</v>
      </c>
      <c r="F6" s="253">
        <f t="shared" si="0"/>
        <v>379</v>
      </c>
      <c r="G6" s="252">
        <f t="shared" si="0"/>
        <v>4973</v>
      </c>
      <c r="H6" s="250">
        <f t="shared" si="0"/>
        <v>22</v>
      </c>
      <c r="I6" s="251">
        <f t="shared" si="0"/>
        <v>5614</v>
      </c>
      <c r="J6" s="253">
        <f t="shared" si="0"/>
        <v>515</v>
      </c>
      <c r="K6" s="572">
        <f t="shared" si="0"/>
        <v>8106</v>
      </c>
      <c r="L6" s="250">
        <f t="shared" si="0"/>
        <v>40</v>
      </c>
      <c r="M6" s="251">
        <f t="shared" si="0"/>
        <v>9278</v>
      </c>
      <c r="N6" s="253">
        <f t="shared" si="0"/>
        <v>894</v>
      </c>
    </row>
    <row r="7" spans="1:14" ht="24.95" customHeight="1">
      <c r="A7" s="562" t="s">
        <v>480</v>
      </c>
      <c r="B7" s="573"/>
      <c r="C7" s="574">
        <f t="shared" ref="C7:N7" si="1">SUM(C8:C10)</f>
        <v>295</v>
      </c>
      <c r="D7" s="463">
        <f t="shared" si="1"/>
        <v>5</v>
      </c>
      <c r="E7" s="575">
        <f t="shared" si="1"/>
        <v>297</v>
      </c>
      <c r="F7" s="464">
        <f t="shared" si="1"/>
        <v>72</v>
      </c>
      <c r="G7" s="574">
        <f t="shared" si="1"/>
        <v>597</v>
      </c>
      <c r="H7" s="463">
        <f t="shared" si="1"/>
        <v>7</v>
      </c>
      <c r="I7" s="575">
        <f t="shared" si="1"/>
        <v>602</v>
      </c>
      <c r="J7" s="464">
        <f t="shared" ref="J7" si="2">SUM(J8:J10)</f>
        <v>104</v>
      </c>
      <c r="K7" s="576">
        <f t="shared" si="1"/>
        <v>892</v>
      </c>
      <c r="L7" s="463">
        <f t="shared" si="1"/>
        <v>12</v>
      </c>
      <c r="M7" s="575">
        <f t="shared" si="1"/>
        <v>899</v>
      </c>
      <c r="N7" s="464">
        <f t="shared" si="1"/>
        <v>176</v>
      </c>
    </row>
    <row r="8" spans="1:14" ht="24.95" customHeight="1">
      <c r="A8" s="524"/>
      <c r="B8" s="318" t="s">
        <v>481</v>
      </c>
      <c r="C8" s="577">
        <v>223</v>
      </c>
      <c r="D8" s="465">
        <v>5</v>
      </c>
      <c r="E8" s="578">
        <v>222</v>
      </c>
      <c r="F8" s="466">
        <v>60</v>
      </c>
      <c r="G8" s="577">
        <v>30</v>
      </c>
      <c r="H8" s="465">
        <v>0</v>
      </c>
      <c r="I8" s="578">
        <v>31</v>
      </c>
      <c r="J8" s="466">
        <v>7</v>
      </c>
      <c r="K8" s="579">
        <v>253</v>
      </c>
      <c r="L8" s="579">
        <v>5</v>
      </c>
      <c r="M8" s="580">
        <v>253</v>
      </c>
      <c r="N8" s="466">
        <v>67</v>
      </c>
    </row>
    <row r="9" spans="1:14" ht="24.95" customHeight="1">
      <c r="A9" s="524"/>
      <c r="B9" s="318" t="s">
        <v>482</v>
      </c>
      <c r="C9" s="577">
        <v>33</v>
      </c>
      <c r="D9" s="465">
        <v>0</v>
      </c>
      <c r="E9" s="578">
        <v>34</v>
      </c>
      <c r="F9" s="466">
        <v>9</v>
      </c>
      <c r="G9" s="577">
        <v>169</v>
      </c>
      <c r="H9" s="465">
        <v>3</v>
      </c>
      <c r="I9" s="578">
        <v>167</v>
      </c>
      <c r="J9" s="466">
        <v>36</v>
      </c>
      <c r="K9" s="579">
        <v>202</v>
      </c>
      <c r="L9" s="579">
        <v>3</v>
      </c>
      <c r="M9" s="580">
        <v>201</v>
      </c>
      <c r="N9" s="466">
        <v>45</v>
      </c>
    </row>
    <row r="10" spans="1:14" ht="24.95" customHeight="1" thickBot="1">
      <c r="A10" s="581"/>
      <c r="B10" s="325" t="s">
        <v>331</v>
      </c>
      <c r="C10" s="582">
        <v>39</v>
      </c>
      <c r="D10" s="467">
        <v>0</v>
      </c>
      <c r="E10" s="583">
        <v>41</v>
      </c>
      <c r="F10" s="468">
        <v>3</v>
      </c>
      <c r="G10" s="582">
        <v>398</v>
      </c>
      <c r="H10" s="467">
        <v>4</v>
      </c>
      <c r="I10" s="583">
        <v>404</v>
      </c>
      <c r="J10" s="468">
        <v>61</v>
      </c>
      <c r="K10" s="579">
        <v>437</v>
      </c>
      <c r="L10" s="579">
        <v>4</v>
      </c>
      <c r="M10" s="580">
        <v>445</v>
      </c>
      <c r="N10" s="468">
        <v>64</v>
      </c>
    </row>
    <row r="11" spans="1:14" ht="24.95" customHeight="1">
      <c r="A11" s="563" t="s">
        <v>483</v>
      </c>
      <c r="B11" s="492"/>
      <c r="C11" s="574">
        <f t="shared" ref="C11:N11" si="3">SUM(C12:C18)</f>
        <v>2806</v>
      </c>
      <c r="D11" s="463">
        <f t="shared" si="3"/>
        <v>10</v>
      </c>
      <c r="E11" s="575">
        <f t="shared" si="3"/>
        <v>3323</v>
      </c>
      <c r="F11" s="464">
        <f t="shared" si="3"/>
        <v>295</v>
      </c>
      <c r="G11" s="574">
        <f t="shared" si="3"/>
        <v>4301</v>
      </c>
      <c r="H11" s="463">
        <f t="shared" si="3"/>
        <v>7</v>
      </c>
      <c r="I11" s="575">
        <f t="shared" si="3"/>
        <v>4929</v>
      </c>
      <c r="J11" s="464">
        <f t="shared" si="3"/>
        <v>394</v>
      </c>
      <c r="K11" s="576">
        <f t="shared" si="3"/>
        <v>7107</v>
      </c>
      <c r="L11" s="463">
        <f t="shared" si="3"/>
        <v>17</v>
      </c>
      <c r="M11" s="575">
        <f t="shared" si="3"/>
        <v>8252</v>
      </c>
      <c r="N11" s="464">
        <f t="shared" si="3"/>
        <v>689</v>
      </c>
    </row>
    <row r="12" spans="1:14" ht="24.95" customHeight="1">
      <c r="A12" s="524"/>
      <c r="B12" s="584" t="s">
        <v>484</v>
      </c>
      <c r="C12" s="577">
        <v>450</v>
      </c>
      <c r="D12" s="465">
        <v>4</v>
      </c>
      <c r="E12" s="578">
        <v>490</v>
      </c>
      <c r="F12" s="466">
        <v>92</v>
      </c>
      <c r="G12" s="577">
        <v>1825</v>
      </c>
      <c r="H12" s="465">
        <v>1</v>
      </c>
      <c r="I12" s="578">
        <v>1949</v>
      </c>
      <c r="J12" s="466">
        <v>244</v>
      </c>
      <c r="K12" s="579">
        <v>2275</v>
      </c>
      <c r="L12" s="579">
        <v>5</v>
      </c>
      <c r="M12" s="580">
        <v>2439</v>
      </c>
      <c r="N12" s="466">
        <v>336</v>
      </c>
    </row>
    <row r="13" spans="1:14" ht="24.95" customHeight="1">
      <c r="A13" s="524"/>
      <c r="B13" s="584" t="s">
        <v>485</v>
      </c>
      <c r="C13" s="577">
        <v>542</v>
      </c>
      <c r="D13" s="465">
        <v>2</v>
      </c>
      <c r="E13" s="578">
        <v>611</v>
      </c>
      <c r="F13" s="466">
        <v>115</v>
      </c>
      <c r="G13" s="577">
        <v>173</v>
      </c>
      <c r="H13" s="465">
        <v>0</v>
      </c>
      <c r="I13" s="578">
        <v>179</v>
      </c>
      <c r="J13" s="466">
        <v>17</v>
      </c>
      <c r="K13" s="579">
        <v>715</v>
      </c>
      <c r="L13" s="579">
        <v>2</v>
      </c>
      <c r="M13" s="580">
        <v>790</v>
      </c>
      <c r="N13" s="466">
        <v>132</v>
      </c>
    </row>
    <row r="14" spans="1:14" ht="24.95" customHeight="1">
      <c r="A14" s="524"/>
      <c r="B14" s="584" t="s">
        <v>486</v>
      </c>
      <c r="C14" s="577">
        <v>419</v>
      </c>
      <c r="D14" s="465">
        <v>1</v>
      </c>
      <c r="E14" s="578">
        <v>438</v>
      </c>
      <c r="F14" s="466">
        <v>28</v>
      </c>
      <c r="G14" s="577">
        <v>205</v>
      </c>
      <c r="H14" s="465">
        <v>1</v>
      </c>
      <c r="I14" s="578">
        <v>213</v>
      </c>
      <c r="J14" s="466">
        <v>20</v>
      </c>
      <c r="K14" s="579">
        <v>624</v>
      </c>
      <c r="L14" s="579">
        <v>2</v>
      </c>
      <c r="M14" s="580">
        <v>651</v>
      </c>
      <c r="N14" s="466">
        <v>48</v>
      </c>
    </row>
    <row r="15" spans="1:14" ht="24.95" customHeight="1">
      <c r="A15" s="524"/>
      <c r="B15" s="584" t="s">
        <v>487</v>
      </c>
      <c r="C15" s="577">
        <v>975</v>
      </c>
      <c r="D15" s="465">
        <v>1</v>
      </c>
      <c r="E15" s="578">
        <v>1289</v>
      </c>
      <c r="F15" s="466">
        <v>15</v>
      </c>
      <c r="G15" s="577">
        <v>1054</v>
      </c>
      <c r="H15" s="465">
        <v>4</v>
      </c>
      <c r="I15" s="578">
        <v>1424</v>
      </c>
      <c r="J15" s="466">
        <v>17</v>
      </c>
      <c r="K15" s="579">
        <v>2029</v>
      </c>
      <c r="L15" s="579">
        <v>5</v>
      </c>
      <c r="M15" s="580">
        <v>2713</v>
      </c>
      <c r="N15" s="466">
        <v>32</v>
      </c>
    </row>
    <row r="16" spans="1:14" ht="24.95" customHeight="1">
      <c r="A16" s="524"/>
      <c r="B16" s="584" t="s">
        <v>452</v>
      </c>
      <c r="C16" s="577">
        <v>17</v>
      </c>
      <c r="D16" s="465">
        <v>0</v>
      </c>
      <c r="E16" s="578">
        <v>22</v>
      </c>
      <c r="F16" s="466">
        <v>10</v>
      </c>
      <c r="G16" s="577">
        <v>48</v>
      </c>
      <c r="H16" s="465">
        <v>1</v>
      </c>
      <c r="I16" s="578">
        <v>56</v>
      </c>
      <c r="J16" s="466">
        <v>10</v>
      </c>
      <c r="K16" s="579">
        <v>65</v>
      </c>
      <c r="L16" s="579">
        <v>1</v>
      </c>
      <c r="M16" s="580">
        <v>78</v>
      </c>
      <c r="N16" s="466">
        <v>20</v>
      </c>
    </row>
    <row r="17" spans="1:14" ht="24.95" customHeight="1">
      <c r="A17" s="524"/>
      <c r="B17" s="584" t="s">
        <v>488</v>
      </c>
      <c r="C17" s="577">
        <v>157</v>
      </c>
      <c r="D17" s="465">
        <v>1</v>
      </c>
      <c r="E17" s="578">
        <v>185</v>
      </c>
      <c r="F17" s="466">
        <v>13</v>
      </c>
      <c r="G17" s="577">
        <v>288</v>
      </c>
      <c r="H17" s="465">
        <v>0</v>
      </c>
      <c r="I17" s="578">
        <v>314</v>
      </c>
      <c r="J17" s="466">
        <v>32</v>
      </c>
      <c r="K17" s="579">
        <v>445</v>
      </c>
      <c r="L17" s="579">
        <v>1</v>
      </c>
      <c r="M17" s="580">
        <v>499</v>
      </c>
      <c r="N17" s="466">
        <v>45</v>
      </c>
    </row>
    <row r="18" spans="1:14" ht="24.95" customHeight="1" thickBot="1">
      <c r="A18" s="524"/>
      <c r="B18" s="585" t="s">
        <v>331</v>
      </c>
      <c r="C18" s="582">
        <v>246</v>
      </c>
      <c r="D18" s="467">
        <v>1</v>
      </c>
      <c r="E18" s="583">
        <v>288</v>
      </c>
      <c r="F18" s="468">
        <v>22</v>
      </c>
      <c r="G18" s="582">
        <v>708</v>
      </c>
      <c r="H18" s="467">
        <v>0</v>
      </c>
      <c r="I18" s="583">
        <v>794</v>
      </c>
      <c r="J18" s="468">
        <v>54</v>
      </c>
      <c r="K18" s="579">
        <v>954</v>
      </c>
      <c r="L18" s="579">
        <v>1</v>
      </c>
      <c r="M18" s="580">
        <v>1082</v>
      </c>
      <c r="N18" s="468">
        <v>76</v>
      </c>
    </row>
    <row r="19" spans="1:14" ht="24.95" customHeight="1">
      <c r="A19" s="562" t="s">
        <v>489</v>
      </c>
      <c r="B19" s="586"/>
      <c r="C19" s="574">
        <f t="shared" ref="C19:N19" si="4">SUM(C20:C22)</f>
        <v>32</v>
      </c>
      <c r="D19" s="463">
        <f t="shared" si="4"/>
        <v>3</v>
      </c>
      <c r="E19" s="575">
        <f t="shared" si="4"/>
        <v>44</v>
      </c>
      <c r="F19" s="464">
        <f t="shared" si="4"/>
        <v>12</v>
      </c>
      <c r="G19" s="574">
        <f t="shared" si="4"/>
        <v>75</v>
      </c>
      <c r="H19" s="463">
        <f t="shared" si="4"/>
        <v>8</v>
      </c>
      <c r="I19" s="575">
        <f t="shared" si="4"/>
        <v>83</v>
      </c>
      <c r="J19" s="464">
        <f t="shared" si="4"/>
        <v>17</v>
      </c>
      <c r="K19" s="574">
        <f t="shared" si="4"/>
        <v>107</v>
      </c>
      <c r="L19" s="463">
        <f t="shared" si="4"/>
        <v>11</v>
      </c>
      <c r="M19" s="575">
        <f t="shared" si="4"/>
        <v>127</v>
      </c>
      <c r="N19" s="464">
        <f t="shared" si="4"/>
        <v>29</v>
      </c>
    </row>
    <row r="20" spans="1:14" ht="24.95" customHeight="1">
      <c r="A20" s="524" t="s">
        <v>490</v>
      </c>
      <c r="B20" s="584" t="s">
        <v>491</v>
      </c>
      <c r="C20" s="577">
        <v>16</v>
      </c>
      <c r="D20" s="465">
        <v>2</v>
      </c>
      <c r="E20" s="578">
        <v>22</v>
      </c>
      <c r="F20" s="466">
        <v>7</v>
      </c>
      <c r="G20" s="577">
        <v>29</v>
      </c>
      <c r="H20" s="465">
        <v>7</v>
      </c>
      <c r="I20" s="578">
        <v>33</v>
      </c>
      <c r="J20" s="466">
        <v>10</v>
      </c>
      <c r="K20" s="319">
        <v>45</v>
      </c>
      <c r="L20" s="579">
        <v>9</v>
      </c>
      <c r="M20" s="580">
        <v>55</v>
      </c>
      <c r="N20" s="466">
        <v>17</v>
      </c>
    </row>
    <row r="21" spans="1:14" ht="24.95" customHeight="1">
      <c r="A21" s="524"/>
      <c r="B21" s="584" t="s">
        <v>468</v>
      </c>
      <c r="C21" s="577">
        <v>2</v>
      </c>
      <c r="D21" s="465">
        <v>1</v>
      </c>
      <c r="E21" s="578">
        <v>1</v>
      </c>
      <c r="F21" s="466">
        <v>1</v>
      </c>
      <c r="G21" s="577">
        <v>7</v>
      </c>
      <c r="H21" s="465">
        <v>1</v>
      </c>
      <c r="I21" s="578">
        <v>6</v>
      </c>
      <c r="J21" s="466">
        <v>3</v>
      </c>
      <c r="K21" s="319">
        <v>9</v>
      </c>
      <c r="L21" s="579">
        <v>2</v>
      </c>
      <c r="M21" s="580">
        <v>7</v>
      </c>
      <c r="N21" s="466">
        <v>4</v>
      </c>
    </row>
    <row r="22" spans="1:14" ht="24.95" customHeight="1" thickBot="1">
      <c r="A22" s="524"/>
      <c r="B22" s="585" t="s">
        <v>331</v>
      </c>
      <c r="C22" s="582">
        <v>14</v>
      </c>
      <c r="D22" s="467">
        <v>0</v>
      </c>
      <c r="E22" s="583">
        <v>21</v>
      </c>
      <c r="F22" s="468">
        <v>4</v>
      </c>
      <c r="G22" s="582">
        <v>39</v>
      </c>
      <c r="H22" s="467">
        <v>0</v>
      </c>
      <c r="I22" s="583">
        <v>44</v>
      </c>
      <c r="J22" s="468">
        <v>4</v>
      </c>
      <c r="K22" s="326">
        <v>53</v>
      </c>
      <c r="L22" s="587">
        <v>0</v>
      </c>
      <c r="M22" s="588">
        <v>65</v>
      </c>
      <c r="N22" s="468">
        <v>8</v>
      </c>
    </row>
    <row r="23" spans="1:14" ht="24.95" customHeight="1" thickBot="1">
      <c r="A23" s="589" t="s">
        <v>492</v>
      </c>
      <c r="B23" s="590"/>
      <c r="C23" s="591">
        <v>0</v>
      </c>
      <c r="D23" s="592">
        <v>0</v>
      </c>
      <c r="E23" s="593">
        <v>0</v>
      </c>
      <c r="F23" s="594">
        <v>0</v>
      </c>
      <c r="G23" s="591">
        <v>0</v>
      </c>
      <c r="H23" s="592">
        <v>0</v>
      </c>
      <c r="I23" s="593">
        <v>0</v>
      </c>
      <c r="J23" s="594">
        <v>0</v>
      </c>
      <c r="K23" s="595">
        <v>0</v>
      </c>
      <c r="L23" s="595">
        <v>0</v>
      </c>
      <c r="M23" s="596">
        <v>0</v>
      </c>
      <c r="N23" s="594">
        <v>0</v>
      </c>
    </row>
  </sheetData>
  <mergeCells count="12">
    <mergeCell ref="L3:L4"/>
    <mergeCell ref="M3:M4"/>
    <mergeCell ref="C2:F2"/>
    <mergeCell ref="G2:J2"/>
    <mergeCell ref="K2:N2"/>
    <mergeCell ref="C3:C4"/>
    <mergeCell ref="D3:D4"/>
    <mergeCell ref="E3:E4"/>
    <mergeCell ref="G3:G4"/>
    <mergeCell ref="H3:H4"/>
    <mergeCell ref="I3:I4"/>
    <mergeCell ref="K3:K4"/>
  </mergeCells>
  <phoneticPr fontId="3"/>
  <pageMargins left="0.59055118110236227" right="0.78740157480314965" top="0.98425196850393704" bottom="0.98425196850393704" header="0.51181102362204722" footer="0.51181102362204722"/>
  <pageSetup paperSize="9" scale="76" orientation="portrait" r:id="rId1"/>
  <headerFooter alignWithMargins="0">
    <oddFooter>&amp;C－14－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Normal="100" zoomScaleSheetLayoutView="100" workbookViewId="0">
      <selection activeCell="D36" sqref="D36"/>
    </sheetView>
  </sheetViews>
  <sheetFormatPr defaultRowHeight="14.25"/>
  <cols>
    <col min="1" max="1" width="4.25" style="2" customWidth="1"/>
    <col min="2" max="2" width="3" style="2" customWidth="1"/>
    <col min="3" max="3" width="3.5" style="2" customWidth="1"/>
    <col min="4" max="4" width="20.75" style="2" customWidth="1"/>
    <col min="5" max="8" width="11.875" style="2" customWidth="1"/>
    <col min="9" max="16384" width="9" style="2"/>
  </cols>
  <sheetData>
    <row r="1" spans="1:10" ht="15">
      <c r="A1" s="70" t="s">
        <v>493</v>
      </c>
    </row>
    <row r="2" spans="1:10" ht="14.25" customHeight="1">
      <c r="B2" s="1730"/>
      <c r="C2" s="1730"/>
      <c r="D2" s="1730"/>
      <c r="E2" s="1730"/>
      <c r="F2" s="1730"/>
      <c r="G2" s="1730"/>
      <c r="H2" s="1730"/>
      <c r="I2" s="1730"/>
      <c r="J2" s="483"/>
    </row>
    <row r="3" spans="1:10" ht="15.75" thickBot="1">
      <c r="B3" s="597" t="s">
        <v>494</v>
      </c>
    </row>
    <row r="4" spans="1:10" ht="6" customHeight="1" thickBot="1">
      <c r="B4" s="173"/>
      <c r="C4" s="174"/>
      <c r="D4" s="598"/>
      <c r="E4" s="599"/>
      <c r="F4" s="573"/>
      <c r="G4" s="562"/>
      <c r="H4" s="573"/>
    </row>
    <row r="5" spans="1:10">
      <c r="B5" s="176"/>
      <c r="C5" s="177"/>
      <c r="D5" s="600" t="s">
        <v>495</v>
      </c>
      <c r="E5" s="601" t="s">
        <v>181</v>
      </c>
      <c r="F5" s="602" t="s">
        <v>430</v>
      </c>
      <c r="G5" s="601" t="s">
        <v>475</v>
      </c>
      <c r="H5" s="1333" t="s">
        <v>959</v>
      </c>
    </row>
    <row r="6" spans="1:10" ht="15" thickBot="1">
      <c r="B6" s="529" t="s">
        <v>496</v>
      </c>
      <c r="C6" s="530"/>
      <c r="D6" s="255"/>
      <c r="E6" s="603" t="s">
        <v>428</v>
      </c>
      <c r="F6" s="604" t="s">
        <v>431</v>
      </c>
      <c r="G6" s="603" t="s">
        <v>431</v>
      </c>
      <c r="H6" s="603" t="s">
        <v>431</v>
      </c>
    </row>
    <row r="7" spans="1:10" ht="15.95" customHeight="1">
      <c r="B7" s="488"/>
      <c r="C7" s="605" t="s">
        <v>497</v>
      </c>
      <c r="D7" s="586"/>
      <c r="E7" s="606">
        <v>272</v>
      </c>
      <c r="F7" s="606">
        <v>6</v>
      </c>
      <c r="G7" s="606">
        <v>312</v>
      </c>
      <c r="H7" s="606">
        <v>62</v>
      </c>
    </row>
    <row r="8" spans="1:10" ht="15.95" customHeight="1">
      <c r="B8" s="473"/>
      <c r="C8" s="584" t="s">
        <v>498</v>
      </c>
      <c r="D8" s="322"/>
      <c r="E8" s="607">
        <v>7</v>
      </c>
      <c r="F8" s="607">
        <v>0</v>
      </c>
      <c r="G8" s="607">
        <v>8</v>
      </c>
      <c r="H8" s="607">
        <v>0</v>
      </c>
    </row>
    <row r="9" spans="1:10" ht="15.95" customHeight="1">
      <c r="B9" s="473"/>
      <c r="C9" s="584" t="s">
        <v>499</v>
      </c>
      <c r="D9" s="608"/>
      <c r="E9" s="607">
        <v>23</v>
      </c>
      <c r="F9" s="607">
        <v>1</v>
      </c>
      <c r="G9" s="607">
        <v>24</v>
      </c>
      <c r="H9" s="607">
        <v>7</v>
      </c>
    </row>
    <row r="10" spans="1:10" ht="15.95" customHeight="1">
      <c r="B10" s="473" t="s">
        <v>500</v>
      </c>
      <c r="C10" s="584" t="s">
        <v>501</v>
      </c>
      <c r="D10" s="608"/>
      <c r="E10" s="607">
        <v>0</v>
      </c>
      <c r="F10" s="607">
        <v>0</v>
      </c>
      <c r="G10" s="607">
        <v>0</v>
      </c>
      <c r="H10" s="607">
        <v>0</v>
      </c>
    </row>
    <row r="11" spans="1:10" ht="15.95" customHeight="1">
      <c r="B11" s="473"/>
      <c r="C11" s="584" t="s">
        <v>502</v>
      </c>
      <c r="D11" s="608"/>
      <c r="E11" s="607">
        <v>9</v>
      </c>
      <c r="F11" s="607">
        <v>0</v>
      </c>
      <c r="G11" s="607">
        <v>9</v>
      </c>
      <c r="H11" s="607">
        <v>2</v>
      </c>
    </row>
    <row r="12" spans="1:10" ht="15.95" customHeight="1">
      <c r="B12" s="473"/>
      <c r="C12" s="584" t="s">
        <v>503</v>
      </c>
      <c r="D12" s="608"/>
      <c r="E12" s="607">
        <v>3</v>
      </c>
      <c r="F12" s="607">
        <v>0</v>
      </c>
      <c r="G12" s="607">
        <v>4</v>
      </c>
      <c r="H12" s="607">
        <v>1</v>
      </c>
    </row>
    <row r="13" spans="1:10" ht="15.95" customHeight="1">
      <c r="B13" s="473"/>
      <c r="C13" s="584" t="s">
        <v>488</v>
      </c>
      <c r="D13" s="608"/>
      <c r="E13" s="607">
        <v>5</v>
      </c>
      <c r="F13" s="607">
        <v>0</v>
      </c>
      <c r="G13" s="607">
        <v>5</v>
      </c>
      <c r="H13" s="607">
        <v>0</v>
      </c>
    </row>
    <row r="14" spans="1:10" ht="15.95" customHeight="1">
      <c r="B14" s="473"/>
      <c r="C14" s="584" t="s">
        <v>504</v>
      </c>
      <c r="D14" s="608"/>
      <c r="E14" s="607">
        <v>0</v>
      </c>
      <c r="F14" s="607">
        <v>0</v>
      </c>
      <c r="G14" s="607">
        <v>0</v>
      </c>
      <c r="H14" s="607">
        <v>0</v>
      </c>
    </row>
    <row r="15" spans="1:10" ht="15.95" customHeight="1">
      <c r="B15" s="473" t="s">
        <v>505</v>
      </c>
      <c r="C15" s="584" t="s">
        <v>485</v>
      </c>
      <c r="D15" s="608"/>
      <c r="E15" s="607">
        <v>17</v>
      </c>
      <c r="F15" s="607">
        <v>0</v>
      </c>
      <c r="G15" s="607">
        <v>19</v>
      </c>
      <c r="H15" s="607">
        <v>7</v>
      </c>
    </row>
    <row r="16" spans="1:10" ht="15.95" customHeight="1">
      <c r="B16" s="473"/>
      <c r="C16" s="584" t="s">
        <v>486</v>
      </c>
      <c r="D16" s="608"/>
      <c r="E16" s="607">
        <v>14</v>
      </c>
      <c r="F16" s="607">
        <v>0</v>
      </c>
      <c r="G16" s="607">
        <v>14</v>
      </c>
      <c r="H16" s="607">
        <v>2</v>
      </c>
    </row>
    <row r="17" spans="2:12" ht="15.95" customHeight="1">
      <c r="B17" s="473"/>
      <c r="C17" s="584" t="s">
        <v>506</v>
      </c>
      <c r="D17" s="608"/>
      <c r="E17" s="607">
        <v>15</v>
      </c>
      <c r="F17" s="607">
        <v>0</v>
      </c>
      <c r="G17" s="607">
        <v>17</v>
      </c>
      <c r="H17" s="607">
        <v>2</v>
      </c>
    </row>
    <row r="18" spans="2:12" ht="15.95" customHeight="1">
      <c r="B18" s="473"/>
      <c r="C18" s="584" t="s">
        <v>507</v>
      </c>
      <c r="D18" s="608"/>
      <c r="E18" s="607">
        <v>294</v>
      </c>
      <c r="F18" s="607">
        <v>1</v>
      </c>
      <c r="G18" s="607">
        <v>315</v>
      </c>
      <c r="H18" s="607">
        <v>74</v>
      </c>
    </row>
    <row r="19" spans="2:12" ht="15.95" customHeight="1">
      <c r="B19" s="473"/>
      <c r="C19" s="584" t="s">
        <v>508</v>
      </c>
      <c r="D19" s="608"/>
      <c r="E19" s="607">
        <v>116</v>
      </c>
      <c r="F19" s="607">
        <v>0</v>
      </c>
      <c r="G19" s="607">
        <v>116</v>
      </c>
      <c r="H19" s="607">
        <v>24</v>
      </c>
    </row>
    <row r="20" spans="2:12" ht="15.95" customHeight="1">
      <c r="B20" s="473" t="s">
        <v>509</v>
      </c>
      <c r="C20" s="584" t="s">
        <v>510</v>
      </c>
      <c r="D20" s="608"/>
      <c r="E20" s="607">
        <v>115</v>
      </c>
      <c r="F20" s="607">
        <v>0</v>
      </c>
      <c r="G20" s="607">
        <v>120</v>
      </c>
      <c r="H20" s="607">
        <v>17</v>
      </c>
    </row>
    <row r="21" spans="2:12" ht="15.95" customHeight="1">
      <c r="B21" s="473"/>
      <c r="C21" s="584" t="s">
        <v>511</v>
      </c>
      <c r="D21" s="608"/>
      <c r="E21" s="607">
        <v>255</v>
      </c>
      <c r="F21" s="607">
        <v>2</v>
      </c>
      <c r="G21" s="607">
        <v>289</v>
      </c>
      <c r="H21" s="607">
        <v>38</v>
      </c>
    </row>
    <row r="22" spans="2:12" ht="15.95" customHeight="1">
      <c r="B22" s="473"/>
      <c r="C22" s="584" t="s">
        <v>512</v>
      </c>
      <c r="D22" s="608"/>
      <c r="E22" s="607">
        <v>1</v>
      </c>
      <c r="F22" s="607">
        <v>0</v>
      </c>
      <c r="G22" s="607">
        <v>1</v>
      </c>
      <c r="H22" s="607">
        <v>0</v>
      </c>
    </row>
    <row r="23" spans="2:12" ht="15.95" customHeight="1">
      <c r="B23" s="473"/>
      <c r="C23" s="584" t="s">
        <v>513</v>
      </c>
      <c r="D23" s="608"/>
      <c r="E23" s="607">
        <v>1</v>
      </c>
      <c r="F23" s="607">
        <v>0</v>
      </c>
      <c r="G23" s="607">
        <v>1</v>
      </c>
      <c r="H23" s="607">
        <v>0</v>
      </c>
    </row>
    <row r="24" spans="2:12" ht="15.95" customHeight="1">
      <c r="B24" s="473"/>
      <c r="C24" s="584" t="s">
        <v>514</v>
      </c>
      <c r="D24" s="608"/>
      <c r="E24" s="607">
        <v>0</v>
      </c>
      <c r="F24" s="607">
        <v>0</v>
      </c>
      <c r="G24" s="607">
        <v>0</v>
      </c>
      <c r="H24" s="607">
        <v>0</v>
      </c>
    </row>
    <row r="25" spans="2:12" ht="15.95" customHeight="1">
      <c r="B25" s="473"/>
      <c r="C25" s="584" t="s">
        <v>515</v>
      </c>
      <c r="D25" s="608"/>
      <c r="E25" s="607">
        <v>7</v>
      </c>
      <c r="F25" s="607">
        <v>1</v>
      </c>
      <c r="G25" s="607">
        <v>9</v>
      </c>
      <c r="H25" s="607">
        <v>1</v>
      </c>
    </row>
    <row r="26" spans="2:12" ht="15.95" customHeight="1">
      <c r="B26" s="473"/>
      <c r="C26" s="1731" t="s">
        <v>516</v>
      </c>
      <c r="D26" s="608" t="s">
        <v>517</v>
      </c>
      <c r="E26" s="607">
        <v>449</v>
      </c>
      <c r="F26" s="607">
        <v>8</v>
      </c>
      <c r="G26" s="607">
        <v>569</v>
      </c>
      <c r="H26" s="607">
        <v>25</v>
      </c>
    </row>
    <row r="27" spans="2:12" ht="15.95" customHeight="1">
      <c r="B27" s="473"/>
      <c r="C27" s="1731"/>
      <c r="D27" s="608" t="s">
        <v>518</v>
      </c>
      <c r="E27" s="607">
        <v>978</v>
      </c>
      <c r="F27" s="607">
        <v>6</v>
      </c>
      <c r="G27" s="607">
        <v>1277</v>
      </c>
      <c r="H27" s="607">
        <v>54</v>
      </c>
    </row>
    <row r="28" spans="2:12" ht="15.95" customHeight="1">
      <c r="B28" s="473"/>
      <c r="C28" s="1731"/>
      <c r="D28" s="608" t="s">
        <v>519</v>
      </c>
      <c r="E28" s="607">
        <v>908</v>
      </c>
      <c r="F28" s="607">
        <v>3</v>
      </c>
      <c r="G28" s="607">
        <v>1076</v>
      </c>
      <c r="H28" s="607">
        <v>67</v>
      </c>
    </row>
    <row r="29" spans="2:12" ht="15.95" customHeight="1">
      <c r="B29" s="473"/>
      <c r="C29" s="1731"/>
      <c r="D29" s="608" t="s">
        <v>520</v>
      </c>
      <c r="E29" s="607">
        <v>4118</v>
      </c>
      <c r="F29" s="607">
        <v>6</v>
      </c>
      <c r="G29" s="607">
        <v>4534</v>
      </c>
      <c r="H29" s="607">
        <v>472</v>
      </c>
    </row>
    <row r="30" spans="2:12" ht="15.95" customHeight="1">
      <c r="B30" s="473"/>
      <c r="C30" s="1731"/>
      <c r="D30" s="608" t="s">
        <v>331</v>
      </c>
      <c r="E30" s="607">
        <v>94</v>
      </c>
      <c r="F30" s="607">
        <v>0</v>
      </c>
      <c r="G30" s="607">
        <v>112</v>
      </c>
      <c r="H30" s="607">
        <v>8</v>
      </c>
      <c r="J30" s="609"/>
    </row>
    <row r="31" spans="2:12" ht="15.95" customHeight="1">
      <c r="B31" s="473"/>
      <c r="C31" s="584" t="s">
        <v>521</v>
      </c>
      <c r="D31" s="608"/>
      <c r="E31" s="607">
        <v>212</v>
      </c>
      <c r="F31" s="607">
        <v>0</v>
      </c>
      <c r="G31" s="607">
        <v>229</v>
      </c>
      <c r="H31" s="607">
        <v>22</v>
      </c>
      <c r="I31" s="610"/>
      <c r="J31" s="609"/>
      <c r="K31" s="609"/>
      <c r="L31" s="609"/>
    </row>
    <row r="32" spans="2:12" ht="15.95" customHeight="1" thickBot="1">
      <c r="B32" s="473"/>
      <c r="C32" s="1338" t="s">
        <v>997</v>
      </c>
      <c r="D32" s="611"/>
      <c r="E32" s="612">
        <f>SUM(E7:E31)</f>
        <v>7913</v>
      </c>
      <c r="F32" s="612">
        <f>SUM(F7:F31)</f>
        <v>34</v>
      </c>
      <c r="G32" s="612">
        <f>SUM(G7:G31)</f>
        <v>9060</v>
      </c>
      <c r="H32" s="612">
        <f>SUM(H7:H31)</f>
        <v>885</v>
      </c>
      <c r="J32" s="610"/>
      <c r="K32" s="610"/>
    </row>
    <row r="33" spans="2:8" ht="15.95" customHeight="1">
      <c r="B33" s="484"/>
      <c r="C33" s="605" t="s">
        <v>497</v>
      </c>
      <c r="D33" s="586"/>
      <c r="E33" s="606">
        <v>6</v>
      </c>
      <c r="F33" s="606">
        <v>4</v>
      </c>
      <c r="G33" s="606">
        <v>2</v>
      </c>
      <c r="H33" s="606">
        <v>1</v>
      </c>
    </row>
    <row r="34" spans="2:8" ht="15.95" customHeight="1">
      <c r="B34" s="475"/>
      <c r="C34" s="584" t="s">
        <v>499</v>
      </c>
      <c r="D34" s="608"/>
      <c r="E34" s="607">
        <v>1</v>
      </c>
      <c r="F34" s="607">
        <v>1</v>
      </c>
      <c r="G34" s="607">
        <v>0</v>
      </c>
      <c r="H34" s="607">
        <v>0</v>
      </c>
    </row>
    <row r="35" spans="2:8" ht="15.95" customHeight="1">
      <c r="B35" s="475" t="s">
        <v>522</v>
      </c>
      <c r="C35" s="1732" t="s">
        <v>523</v>
      </c>
      <c r="D35" s="608" t="s">
        <v>524</v>
      </c>
      <c r="E35" s="607">
        <v>0</v>
      </c>
      <c r="F35" s="607">
        <v>0</v>
      </c>
      <c r="G35" s="607">
        <v>0</v>
      </c>
      <c r="H35" s="607">
        <v>0</v>
      </c>
    </row>
    <row r="36" spans="2:8" ht="15.95" customHeight="1">
      <c r="B36" s="475"/>
      <c r="C36" s="1732"/>
      <c r="D36" s="608" t="s">
        <v>525</v>
      </c>
      <c r="E36" s="607">
        <v>1</v>
      </c>
      <c r="F36" s="607">
        <v>1</v>
      </c>
      <c r="G36" s="607">
        <v>0</v>
      </c>
      <c r="H36" s="607">
        <v>0</v>
      </c>
    </row>
    <row r="37" spans="2:8" ht="15.95" customHeight="1">
      <c r="B37" s="475" t="s">
        <v>526</v>
      </c>
      <c r="C37" s="1732"/>
      <c r="D37" s="608" t="s">
        <v>527</v>
      </c>
      <c r="E37" s="607">
        <v>0</v>
      </c>
      <c r="F37" s="607">
        <v>0</v>
      </c>
      <c r="G37" s="607">
        <v>0</v>
      </c>
      <c r="H37" s="607">
        <v>0</v>
      </c>
    </row>
    <row r="38" spans="2:8" ht="15.95" customHeight="1">
      <c r="B38" s="475"/>
      <c r="C38" s="584" t="s">
        <v>528</v>
      </c>
      <c r="D38" s="608"/>
      <c r="E38" s="607">
        <v>0</v>
      </c>
      <c r="F38" s="607">
        <v>0</v>
      </c>
      <c r="G38" s="607">
        <v>0</v>
      </c>
      <c r="H38" s="607">
        <v>0</v>
      </c>
    </row>
    <row r="39" spans="2:8" ht="15.95" customHeight="1">
      <c r="B39" s="475" t="s">
        <v>529</v>
      </c>
      <c r="C39" s="584" t="s">
        <v>530</v>
      </c>
      <c r="D39" s="608"/>
      <c r="E39" s="607">
        <v>0</v>
      </c>
      <c r="F39" s="607">
        <v>0</v>
      </c>
      <c r="G39" s="607">
        <v>0</v>
      </c>
      <c r="H39" s="607">
        <v>0</v>
      </c>
    </row>
    <row r="40" spans="2:8" ht="15.95" customHeight="1">
      <c r="B40" s="475"/>
      <c r="C40" s="584" t="s">
        <v>531</v>
      </c>
      <c r="D40" s="608"/>
      <c r="E40" s="607">
        <v>1</v>
      </c>
      <c r="F40" s="607">
        <v>0</v>
      </c>
      <c r="G40" s="607">
        <v>1</v>
      </c>
      <c r="H40" s="607">
        <v>1</v>
      </c>
    </row>
    <row r="41" spans="2:8" ht="15.95" customHeight="1">
      <c r="B41" s="475"/>
      <c r="C41" s="613" t="s">
        <v>521</v>
      </c>
      <c r="D41" s="611"/>
      <c r="E41" s="614">
        <v>2</v>
      </c>
      <c r="F41" s="614">
        <v>0</v>
      </c>
      <c r="G41" s="614">
        <v>3</v>
      </c>
      <c r="H41" s="614">
        <v>1</v>
      </c>
    </row>
    <row r="42" spans="2:8" ht="15.95" customHeight="1" thickBot="1">
      <c r="B42" s="473"/>
      <c r="C42" s="1371" t="s">
        <v>995</v>
      </c>
      <c r="D42" s="611"/>
      <c r="E42" s="614">
        <f>SUM(E33:E41)</f>
        <v>11</v>
      </c>
      <c r="F42" s="614">
        <f>SUM(F33:F41)</f>
        <v>6</v>
      </c>
      <c r="G42" s="614">
        <f>SUM(G33:G41)</f>
        <v>6</v>
      </c>
      <c r="H42" s="614">
        <f>SUM(H33:H41)</f>
        <v>3</v>
      </c>
    </row>
    <row r="43" spans="2:8" ht="15.95" customHeight="1" thickBot="1">
      <c r="B43" s="1733" t="s">
        <v>331</v>
      </c>
      <c r="C43" s="1734"/>
      <c r="D43" s="1735"/>
      <c r="E43" s="615">
        <v>182</v>
      </c>
      <c r="F43" s="615">
        <v>0</v>
      </c>
      <c r="G43" s="615">
        <v>212</v>
      </c>
      <c r="H43" s="615">
        <v>6</v>
      </c>
    </row>
    <row r="44" spans="2:8" ht="15.95" customHeight="1" thickBot="1">
      <c r="B44" s="566"/>
      <c r="C44" s="1372" t="s">
        <v>995</v>
      </c>
      <c r="D44" s="571"/>
      <c r="E44" s="616">
        <f>E32+E42+E43</f>
        <v>8106</v>
      </c>
      <c r="F44" s="616">
        <f>F32+F42+F43</f>
        <v>40</v>
      </c>
      <c r="G44" s="616">
        <f>G32+G42+G43</f>
        <v>9278</v>
      </c>
      <c r="H44" s="616">
        <f>H32+H42+H43</f>
        <v>894</v>
      </c>
    </row>
    <row r="45" spans="2:8" ht="2.4500000000000002" customHeight="1">
      <c r="B45" s="492"/>
      <c r="C45" s="492"/>
      <c r="D45" s="492"/>
      <c r="E45" s="617"/>
      <c r="F45" s="617"/>
      <c r="G45" s="617"/>
    </row>
    <row r="46" spans="2:8">
      <c r="B46" s="1736" t="s">
        <v>368</v>
      </c>
      <c r="C46" s="1736"/>
      <c r="D46" s="1737" t="s">
        <v>532</v>
      </c>
      <c r="E46" s="1737"/>
      <c r="F46" s="1737"/>
      <c r="G46" s="1737"/>
    </row>
    <row r="47" spans="2:8">
      <c r="B47" s="1736"/>
      <c r="C47" s="1736"/>
      <c r="D47" s="1737"/>
      <c r="E47" s="1737"/>
      <c r="F47" s="1737"/>
      <c r="G47" s="1737"/>
    </row>
  </sheetData>
  <mergeCells count="6">
    <mergeCell ref="B2:I2"/>
    <mergeCell ref="C26:C30"/>
    <mergeCell ref="C35:C37"/>
    <mergeCell ref="B43:D43"/>
    <mergeCell ref="B46:C47"/>
    <mergeCell ref="D46:G47"/>
  </mergeCells>
  <phoneticPr fontId="3"/>
  <pageMargins left="0.98425196850393704" right="0.39370078740157483" top="0.98425196850393704" bottom="0.98425196850393704" header="0.51181102362204722" footer="0.51181102362204722"/>
  <pageSetup paperSize="9" orientation="portrait" r:id="rId1"/>
  <headerFooter alignWithMargins="0">
    <oddFooter>&amp;C－15－</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view="pageBreakPreview" zoomScaleNormal="100" zoomScaleSheetLayoutView="100" workbookViewId="0">
      <selection activeCell="V55" sqref="V55"/>
    </sheetView>
  </sheetViews>
  <sheetFormatPr defaultRowHeight="14.25"/>
  <cols>
    <col min="1" max="16384" width="9" style="116"/>
  </cols>
  <sheetData>
    <row r="1" spans="1:13" s="620" customFormat="1" ht="18">
      <c r="A1" s="618" t="s">
        <v>533</v>
      </c>
      <c r="B1" s="619"/>
    </row>
    <row r="2" spans="1:13" ht="15">
      <c r="A2" s="621" t="s">
        <v>534</v>
      </c>
      <c r="B2" s="621"/>
    </row>
    <row r="5" spans="1:13" ht="15">
      <c r="J5" s="622"/>
      <c r="K5" s="623"/>
      <c r="L5" s="623"/>
      <c r="M5" s="623"/>
    </row>
    <row r="8" spans="1:13">
      <c r="B8" s="624"/>
      <c r="C8" s="624"/>
      <c r="D8" s="624"/>
      <c r="E8" s="624"/>
    </row>
    <row r="9" spans="1:13">
      <c r="B9" s="624"/>
      <c r="C9" s="624"/>
      <c r="D9" s="624"/>
      <c r="E9" s="624"/>
    </row>
    <row r="10" spans="1:13">
      <c r="B10" s="2"/>
      <c r="C10" s="2"/>
      <c r="D10" s="2"/>
      <c r="E10" s="2"/>
    </row>
    <row r="11" spans="1:13">
      <c r="B11" s="624"/>
      <c r="C11" s="624"/>
      <c r="D11" s="624"/>
      <c r="E11" s="624"/>
    </row>
    <row r="12" spans="1:13">
      <c r="B12" s="624"/>
      <c r="C12" s="624"/>
      <c r="D12" s="624"/>
      <c r="E12" s="624"/>
    </row>
    <row r="13" spans="1:13">
      <c r="B13" s="2"/>
      <c r="C13" s="2"/>
      <c r="D13" s="2"/>
      <c r="E13" s="2"/>
    </row>
    <row r="14" spans="1:13">
      <c r="B14" s="624"/>
      <c r="C14" s="624"/>
      <c r="D14" s="624"/>
      <c r="E14" s="624"/>
    </row>
    <row r="15" spans="1:13">
      <c r="B15" s="624"/>
      <c r="C15" s="624"/>
      <c r="D15" s="624"/>
      <c r="E15" s="624"/>
    </row>
    <row r="55" spans="1:24" ht="43.5" customHeight="1"/>
    <row r="57" spans="1:24">
      <c r="A57" s="2" t="s">
        <v>535</v>
      </c>
      <c r="B57" s="2"/>
      <c r="C57" s="2"/>
      <c r="D57" s="2"/>
      <c r="E57" s="2"/>
      <c r="F57" s="2"/>
      <c r="G57" s="2"/>
      <c r="H57" s="2"/>
      <c r="I57" s="2"/>
      <c r="J57" s="2"/>
      <c r="K57" s="2"/>
      <c r="L57" s="2"/>
      <c r="M57" s="2"/>
      <c r="N57" s="2"/>
      <c r="O57" s="2"/>
      <c r="P57" s="2"/>
      <c r="Q57" s="2"/>
      <c r="R57" s="2"/>
      <c r="S57" s="2"/>
      <c r="T57" s="2"/>
      <c r="U57" s="2"/>
      <c r="V57" s="2"/>
      <c r="W57" s="2"/>
      <c r="X57" s="2"/>
    </row>
    <row r="58" spans="1:24" ht="15">
      <c r="A58" s="625" t="s">
        <v>536</v>
      </c>
      <c r="B58" s="1741">
        <v>13</v>
      </c>
      <c r="C58" s="1741">
        <v>14</v>
      </c>
      <c r="D58" s="1741">
        <v>15</v>
      </c>
      <c r="E58" s="1741">
        <v>16</v>
      </c>
      <c r="F58" s="1741">
        <v>17</v>
      </c>
      <c r="G58" s="1741">
        <v>18</v>
      </c>
      <c r="H58" s="1741">
        <v>19</v>
      </c>
      <c r="I58" s="1741">
        <v>20</v>
      </c>
      <c r="J58" s="1741">
        <v>21</v>
      </c>
      <c r="K58" s="1741">
        <v>22</v>
      </c>
      <c r="L58" s="1741">
        <v>23</v>
      </c>
      <c r="M58" s="1741">
        <v>24</v>
      </c>
      <c r="N58" s="1741">
        <v>25</v>
      </c>
      <c r="O58" s="1741">
        <v>26</v>
      </c>
      <c r="P58" s="1741">
        <v>27</v>
      </c>
      <c r="Q58" s="1741">
        <v>28</v>
      </c>
      <c r="R58" s="1741">
        <v>29</v>
      </c>
      <c r="S58" s="1607">
        <v>30</v>
      </c>
      <c r="T58" s="1738" t="s">
        <v>537</v>
      </c>
      <c r="U58" s="1739">
        <v>2</v>
      </c>
      <c r="V58" s="1739">
        <v>3</v>
      </c>
      <c r="W58" s="1739">
        <v>4</v>
      </c>
    </row>
    <row r="59" spans="1:24" ht="15">
      <c r="A59" s="626" t="s">
        <v>538</v>
      </c>
      <c r="B59" s="1700"/>
      <c r="C59" s="1700"/>
      <c r="D59" s="1700"/>
      <c r="E59" s="1700"/>
      <c r="F59" s="1700"/>
      <c r="G59" s="1700"/>
      <c r="H59" s="1700"/>
      <c r="I59" s="1700"/>
      <c r="J59" s="1700"/>
      <c r="K59" s="1700"/>
      <c r="L59" s="1700"/>
      <c r="M59" s="1700"/>
      <c r="N59" s="1700"/>
      <c r="O59" s="1700"/>
      <c r="P59" s="1700"/>
      <c r="Q59" s="1700"/>
      <c r="R59" s="1700"/>
      <c r="S59" s="1607"/>
      <c r="T59" s="1738"/>
      <c r="U59" s="1740"/>
      <c r="V59" s="1740"/>
      <c r="W59" s="1740"/>
    </row>
    <row r="60" spans="1:24" ht="15.75" thickBot="1">
      <c r="A60" s="627" t="s">
        <v>539</v>
      </c>
      <c r="B60" s="628">
        <v>101</v>
      </c>
      <c r="C60" s="629">
        <v>107</v>
      </c>
      <c r="D60" s="628">
        <v>86</v>
      </c>
      <c r="E60" s="629">
        <v>91</v>
      </c>
      <c r="F60" s="628">
        <v>80</v>
      </c>
      <c r="G60" s="630">
        <v>75</v>
      </c>
      <c r="H60" s="631">
        <v>73</v>
      </c>
      <c r="I60" s="631">
        <v>61</v>
      </c>
      <c r="J60" s="628">
        <v>64</v>
      </c>
      <c r="K60" s="632">
        <v>62</v>
      </c>
      <c r="L60" s="633">
        <v>65</v>
      </c>
      <c r="M60" s="634">
        <v>51</v>
      </c>
      <c r="N60" s="633">
        <v>49</v>
      </c>
      <c r="O60" s="633">
        <v>51</v>
      </c>
      <c r="P60" s="633">
        <v>51</v>
      </c>
      <c r="Q60" s="633">
        <v>49</v>
      </c>
      <c r="R60" s="633">
        <v>44</v>
      </c>
      <c r="S60" s="635">
        <v>44</v>
      </c>
      <c r="T60" s="633">
        <v>34</v>
      </c>
      <c r="U60" s="633">
        <v>37</v>
      </c>
      <c r="V60" s="633">
        <f>SUM(V61:V63)</f>
        <v>43</v>
      </c>
      <c r="W60" s="633">
        <v>40</v>
      </c>
      <c r="X60" s="636" t="s">
        <v>225</v>
      </c>
    </row>
    <row r="61" spans="1:24" ht="15">
      <c r="A61" s="637" t="s">
        <v>540</v>
      </c>
      <c r="B61" s="638">
        <v>27</v>
      </c>
      <c r="C61" s="639">
        <v>39</v>
      </c>
      <c r="D61" s="638">
        <v>28</v>
      </c>
      <c r="E61" s="639">
        <v>27</v>
      </c>
      <c r="F61" s="638">
        <v>30</v>
      </c>
      <c r="G61" s="640">
        <v>22</v>
      </c>
      <c r="H61" s="641">
        <v>30</v>
      </c>
      <c r="I61" s="641">
        <v>25</v>
      </c>
      <c r="J61" s="642">
        <v>35</v>
      </c>
      <c r="K61" s="643">
        <v>23</v>
      </c>
      <c r="L61" s="644">
        <v>18</v>
      </c>
      <c r="M61" s="645">
        <v>19</v>
      </c>
      <c r="N61" s="644">
        <v>21</v>
      </c>
      <c r="O61" s="644">
        <v>30</v>
      </c>
      <c r="P61" s="644">
        <v>21</v>
      </c>
      <c r="Q61" s="644">
        <v>23</v>
      </c>
      <c r="R61" s="644">
        <v>20</v>
      </c>
      <c r="S61" s="646">
        <v>15</v>
      </c>
      <c r="T61" s="644">
        <v>25</v>
      </c>
      <c r="U61" s="647">
        <v>14</v>
      </c>
      <c r="V61" s="647">
        <v>21</v>
      </c>
      <c r="W61" s="647">
        <v>17</v>
      </c>
      <c r="X61" s="648" t="s">
        <v>540</v>
      </c>
    </row>
    <row r="62" spans="1:24" ht="15">
      <c r="A62" s="649" t="s">
        <v>541</v>
      </c>
      <c r="B62" s="628">
        <v>4</v>
      </c>
      <c r="C62" s="629">
        <v>4</v>
      </c>
      <c r="D62" s="628">
        <v>3</v>
      </c>
      <c r="E62" s="629">
        <v>5</v>
      </c>
      <c r="F62" s="628">
        <v>0</v>
      </c>
      <c r="G62" s="630">
        <v>0</v>
      </c>
      <c r="H62" s="631">
        <v>1</v>
      </c>
      <c r="I62" s="631">
        <v>0</v>
      </c>
      <c r="J62" s="650">
        <v>0</v>
      </c>
      <c r="K62" s="651">
        <v>1</v>
      </c>
      <c r="L62" s="652">
        <v>1</v>
      </c>
      <c r="M62" s="653">
        <v>1</v>
      </c>
      <c r="N62" s="652">
        <v>1</v>
      </c>
      <c r="O62" s="652">
        <v>2</v>
      </c>
      <c r="P62" s="652">
        <v>0</v>
      </c>
      <c r="Q62" s="652">
        <v>2</v>
      </c>
      <c r="R62" s="652">
        <v>0</v>
      </c>
      <c r="S62" s="654">
        <v>3</v>
      </c>
      <c r="T62" s="652">
        <v>0</v>
      </c>
      <c r="U62" s="655">
        <v>1</v>
      </c>
      <c r="V62" s="655">
        <v>0</v>
      </c>
      <c r="W62" s="655">
        <v>1</v>
      </c>
      <c r="X62" s="656" t="s">
        <v>541</v>
      </c>
    </row>
    <row r="63" spans="1:24" ht="15" thickBot="1">
      <c r="A63" s="657" t="s">
        <v>331</v>
      </c>
      <c r="B63" s="658">
        <v>70</v>
      </c>
      <c r="C63" s="658">
        <v>64</v>
      </c>
      <c r="D63" s="658">
        <v>55</v>
      </c>
      <c r="E63" s="658">
        <v>59</v>
      </c>
      <c r="F63" s="658">
        <v>50</v>
      </c>
      <c r="G63" s="658">
        <v>53</v>
      </c>
      <c r="H63" s="554">
        <v>42</v>
      </c>
      <c r="I63" s="554">
        <v>36</v>
      </c>
      <c r="J63" s="636">
        <v>29</v>
      </c>
      <c r="K63" s="659">
        <v>38</v>
      </c>
      <c r="L63" s="636">
        <v>46</v>
      </c>
      <c r="M63" s="660">
        <v>31</v>
      </c>
      <c r="N63" s="636">
        <v>27</v>
      </c>
      <c r="O63" s="636">
        <v>19</v>
      </c>
      <c r="P63" s="636">
        <v>30</v>
      </c>
      <c r="Q63" s="636">
        <v>24</v>
      </c>
      <c r="R63" s="636">
        <v>24</v>
      </c>
      <c r="S63" s="661">
        <v>26</v>
      </c>
      <c r="T63" s="636">
        <v>9</v>
      </c>
      <c r="U63" s="662">
        <v>22</v>
      </c>
      <c r="V63" s="662">
        <v>22</v>
      </c>
      <c r="W63" s="662">
        <v>22</v>
      </c>
      <c r="X63" s="663" t="s">
        <v>331</v>
      </c>
    </row>
    <row r="64" spans="1:24" ht="15">
      <c r="A64" s="637" t="s">
        <v>542</v>
      </c>
      <c r="B64" s="664">
        <v>41</v>
      </c>
      <c r="C64" s="665">
        <v>53</v>
      </c>
      <c r="D64" s="664">
        <v>25</v>
      </c>
      <c r="E64" s="665">
        <v>34</v>
      </c>
      <c r="F64" s="664">
        <v>27</v>
      </c>
      <c r="G64" s="666">
        <v>20</v>
      </c>
      <c r="H64" s="667">
        <v>32</v>
      </c>
      <c r="I64" s="667">
        <v>19</v>
      </c>
      <c r="J64" s="668">
        <v>25</v>
      </c>
      <c r="K64" s="669">
        <v>17</v>
      </c>
      <c r="L64" s="670">
        <v>21</v>
      </c>
      <c r="M64" s="671">
        <v>11</v>
      </c>
      <c r="N64" s="672">
        <v>16</v>
      </c>
      <c r="O64" s="672">
        <v>28</v>
      </c>
      <c r="P64" s="672">
        <v>16</v>
      </c>
      <c r="Q64" s="672">
        <v>20</v>
      </c>
      <c r="R64" s="672">
        <v>17</v>
      </c>
      <c r="S64" s="673">
        <v>15</v>
      </c>
      <c r="T64" s="672">
        <v>15</v>
      </c>
      <c r="U64" s="674">
        <v>16</v>
      </c>
      <c r="V64" s="674">
        <v>16</v>
      </c>
      <c r="W64" s="674">
        <v>12</v>
      </c>
      <c r="X64" s="648" t="s">
        <v>542</v>
      </c>
    </row>
    <row r="65" spans="1:24" ht="15">
      <c r="A65" s="649" t="s">
        <v>543</v>
      </c>
      <c r="B65" s="675">
        <v>23</v>
      </c>
      <c r="C65" s="676">
        <v>20</v>
      </c>
      <c r="D65" s="675">
        <v>25</v>
      </c>
      <c r="E65" s="676">
        <v>25</v>
      </c>
      <c r="F65" s="675">
        <v>24</v>
      </c>
      <c r="G65" s="677">
        <v>22</v>
      </c>
      <c r="H65" s="678">
        <v>18</v>
      </c>
      <c r="I65" s="678">
        <v>18</v>
      </c>
      <c r="J65" s="650">
        <v>19</v>
      </c>
      <c r="K65" s="651">
        <v>21</v>
      </c>
      <c r="L65" s="679">
        <v>14</v>
      </c>
      <c r="M65" s="653">
        <v>20</v>
      </c>
      <c r="N65" s="652">
        <v>15</v>
      </c>
      <c r="O65" s="652">
        <v>13</v>
      </c>
      <c r="P65" s="652">
        <v>19</v>
      </c>
      <c r="Q65" s="652">
        <v>8</v>
      </c>
      <c r="R65" s="652">
        <v>13</v>
      </c>
      <c r="S65" s="654">
        <v>8</v>
      </c>
      <c r="T65" s="652">
        <v>11</v>
      </c>
      <c r="U65" s="680">
        <v>12</v>
      </c>
      <c r="V65" s="680">
        <v>8</v>
      </c>
      <c r="W65" s="680">
        <v>8</v>
      </c>
      <c r="X65" s="681" t="s">
        <v>543</v>
      </c>
    </row>
    <row r="66" spans="1:24" ht="15">
      <c r="A66" s="682" t="s">
        <v>544</v>
      </c>
      <c r="B66" s="404">
        <v>19</v>
      </c>
      <c r="C66" s="683">
        <v>25</v>
      </c>
      <c r="D66" s="404">
        <v>18</v>
      </c>
      <c r="E66" s="683">
        <v>21</v>
      </c>
      <c r="F66" s="404">
        <v>18</v>
      </c>
      <c r="G66" s="684">
        <v>14</v>
      </c>
      <c r="H66" s="409">
        <v>14</v>
      </c>
      <c r="I66" s="409">
        <v>16</v>
      </c>
      <c r="J66" s="668">
        <v>7</v>
      </c>
      <c r="K66" s="669">
        <v>18</v>
      </c>
      <c r="L66" s="685">
        <v>12</v>
      </c>
      <c r="M66" s="671">
        <v>14</v>
      </c>
      <c r="N66" s="652">
        <v>9</v>
      </c>
      <c r="O66" s="652">
        <v>7</v>
      </c>
      <c r="P66" s="652">
        <v>10</v>
      </c>
      <c r="Q66" s="652">
        <v>12</v>
      </c>
      <c r="R66" s="652">
        <v>8</v>
      </c>
      <c r="S66" s="654">
        <v>11</v>
      </c>
      <c r="T66" s="652">
        <v>4</v>
      </c>
      <c r="U66" s="674">
        <v>5</v>
      </c>
      <c r="V66" s="674">
        <v>14</v>
      </c>
      <c r="W66" s="674">
        <v>8</v>
      </c>
      <c r="X66" s="686" t="s">
        <v>544</v>
      </c>
    </row>
    <row r="67" spans="1:24" ht="15">
      <c r="A67" s="687" t="s">
        <v>545</v>
      </c>
      <c r="B67" s="389">
        <v>11</v>
      </c>
      <c r="C67" s="688">
        <v>9</v>
      </c>
      <c r="D67" s="389">
        <v>9</v>
      </c>
      <c r="E67" s="688">
        <v>8</v>
      </c>
      <c r="F67" s="389">
        <v>5</v>
      </c>
      <c r="G67" s="390">
        <v>14</v>
      </c>
      <c r="H67" s="392">
        <v>8</v>
      </c>
      <c r="I67" s="392">
        <v>11</v>
      </c>
      <c r="J67" s="650">
        <v>7</v>
      </c>
      <c r="K67" s="651">
        <v>3</v>
      </c>
      <c r="L67" s="679">
        <v>6</v>
      </c>
      <c r="M67" s="653">
        <v>5</v>
      </c>
      <c r="N67" s="652">
        <v>6</v>
      </c>
      <c r="O67" s="652">
        <v>1</v>
      </c>
      <c r="P67" s="652">
        <v>3</v>
      </c>
      <c r="Q67" s="652">
        <v>3</v>
      </c>
      <c r="R67" s="652">
        <v>1</v>
      </c>
      <c r="S67" s="654">
        <v>6</v>
      </c>
      <c r="T67" s="652">
        <v>0</v>
      </c>
      <c r="U67" s="680">
        <v>1</v>
      </c>
      <c r="V67" s="680">
        <v>2</v>
      </c>
      <c r="W67" s="680">
        <v>3</v>
      </c>
      <c r="X67" s="681" t="s">
        <v>545</v>
      </c>
    </row>
    <row r="68" spans="1:24" ht="15">
      <c r="A68" s="687" t="s">
        <v>546</v>
      </c>
      <c r="B68" s="689">
        <v>7</v>
      </c>
      <c r="C68" s="689">
        <v>7</v>
      </c>
      <c r="D68" s="689">
        <v>9</v>
      </c>
      <c r="E68" s="689">
        <v>3</v>
      </c>
      <c r="F68" s="689">
        <v>6</v>
      </c>
      <c r="G68" s="689">
        <v>5</v>
      </c>
      <c r="H68" s="689">
        <v>1</v>
      </c>
      <c r="I68" s="689">
        <v>2</v>
      </c>
      <c r="J68" s="689">
        <v>6</v>
      </c>
      <c r="K68" s="689">
        <v>3</v>
      </c>
      <c r="L68" s="689">
        <v>12</v>
      </c>
      <c r="M68" s="689">
        <v>1</v>
      </c>
      <c r="N68" s="689">
        <v>5</v>
      </c>
      <c r="O68" s="689">
        <v>2</v>
      </c>
      <c r="P68" s="689">
        <v>3</v>
      </c>
      <c r="Q68" s="652">
        <v>6</v>
      </c>
      <c r="R68" s="689">
        <v>5</v>
      </c>
      <c r="S68" s="689">
        <v>4</v>
      </c>
      <c r="T68" s="652">
        <v>4</v>
      </c>
      <c r="U68" s="680">
        <v>3</v>
      </c>
      <c r="V68" s="680">
        <v>3</v>
      </c>
      <c r="W68" s="680">
        <v>9</v>
      </c>
      <c r="X68" s="681" t="s">
        <v>546</v>
      </c>
    </row>
  </sheetData>
  <mergeCells count="22">
    <mergeCell ref="M58:M59"/>
    <mergeCell ref="B58:B59"/>
    <mergeCell ref="C58:C59"/>
    <mergeCell ref="D58:D59"/>
    <mergeCell ref="E58:E59"/>
    <mergeCell ref="F58:F59"/>
    <mergeCell ref="G58:G59"/>
    <mergeCell ref="H58:H59"/>
    <mergeCell ref="I58:I59"/>
    <mergeCell ref="J58:J59"/>
    <mergeCell ref="K58:K59"/>
    <mergeCell ref="L58:L59"/>
    <mergeCell ref="T58:T59"/>
    <mergeCell ref="U58:U59"/>
    <mergeCell ref="V58:V59"/>
    <mergeCell ref="W58:W59"/>
    <mergeCell ref="N58:N59"/>
    <mergeCell ref="O58:O59"/>
    <mergeCell ref="P58:P59"/>
    <mergeCell ref="Q58:Q59"/>
    <mergeCell ref="R58:R59"/>
    <mergeCell ref="S58:S59"/>
  </mergeCells>
  <phoneticPr fontId="3"/>
  <pageMargins left="0.98425196850393704" right="0.39370078740157483" top="0.98425196850393704" bottom="0.98425196850393704" header="0.51181102362204722" footer="0.51181102362204722"/>
  <pageSetup paperSize="9" scale="94" orientation="portrait" r:id="rId1"/>
  <headerFooter alignWithMargins="0">
    <oddFooter>&amp;C-16-</oddFooter>
  </headerFooter>
  <rowBreaks count="1" manualBreakCount="1">
    <brk id="55" max="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view="pageBreakPreview" topLeftCell="A13" zoomScaleNormal="100" zoomScaleSheetLayoutView="100" workbookViewId="0">
      <selection activeCell="Q13" sqref="Q13"/>
    </sheetView>
  </sheetViews>
  <sheetFormatPr defaultRowHeight="14.25"/>
  <cols>
    <col min="1" max="1" width="1.625" style="2" customWidth="1"/>
    <col min="2" max="2" width="6.625" style="2" customWidth="1"/>
    <col min="3" max="3" width="1.625" style="2" customWidth="1"/>
    <col min="4" max="4" width="10.125" style="2" customWidth="1"/>
    <col min="5" max="5" width="6.625" style="2" customWidth="1"/>
    <col min="6" max="17" width="6.5" style="2" customWidth="1"/>
    <col min="18" max="18" width="1.25" style="2" customWidth="1"/>
    <col min="19" max="19" width="1.75" style="2" customWidth="1"/>
    <col min="20" max="32" width="5.625" style="2" customWidth="1"/>
    <col min="33" max="16384" width="9" style="2"/>
  </cols>
  <sheetData>
    <row r="1" spans="1:18" ht="15">
      <c r="A1" s="70" t="s">
        <v>547</v>
      </c>
      <c r="B1" s="690"/>
      <c r="C1" s="690"/>
      <c r="D1" s="690"/>
      <c r="E1" s="690"/>
      <c r="F1" s="690"/>
      <c r="G1" s="690"/>
      <c r="H1" s="690"/>
      <c r="I1" s="690"/>
      <c r="J1" s="690"/>
      <c r="K1" s="690"/>
      <c r="L1" s="690"/>
    </row>
    <row r="2" spans="1:18">
      <c r="A2" s="690"/>
      <c r="B2" s="690"/>
      <c r="C2" s="690"/>
      <c r="D2" s="690"/>
      <c r="E2" s="690"/>
      <c r="F2" s="690"/>
      <c r="G2" s="690"/>
      <c r="H2" s="690"/>
      <c r="I2" s="690"/>
      <c r="J2" s="690"/>
      <c r="K2" s="690"/>
      <c r="L2" s="690"/>
    </row>
    <row r="3" spans="1:18" ht="15.75" thickBot="1">
      <c r="A3" s="597" t="s">
        <v>548</v>
      </c>
      <c r="B3" s="690"/>
      <c r="C3" s="690"/>
      <c r="D3" s="690"/>
      <c r="E3" s="690"/>
      <c r="F3" s="690"/>
      <c r="G3" s="690"/>
      <c r="H3" s="690"/>
      <c r="I3" s="690"/>
      <c r="J3" s="690"/>
      <c r="K3" s="690"/>
      <c r="L3" s="690"/>
    </row>
    <row r="4" spans="1:18" ht="24.75" customHeight="1">
      <c r="A4" s="1790" t="s">
        <v>356</v>
      </c>
      <c r="B4" s="1672"/>
      <c r="C4" s="1672"/>
      <c r="D4" s="1782"/>
      <c r="E4" s="1791" t="s">
        <v>549</v>
      </c>
      <c r="F4" s="1708" t="s">
        <v>550</v>
      </c>
      <c r="G4" s="1708" t="s">
        <v>551</v>
      </c>
      <c r="H4" s="1708" t="s">
        <v>552</v>
      </c>
      <c r="I4" s="1708" t="s">
        <v>553</v>
      </c>
      <c r="J4" s="1708" t="s">
        <v>554</v>
      </c>
      <c r="K4" s="1708" t="s">
        <v>555</v>
      </c>
      <c r="L4" s="1708" t="s">
        <v>556</v>
      </c>
      <c r="M4" s="1708" t="s">
        <v>557</v>
      </c>
      <c r="N4" s="1708" t="s">
        <v>558</v>
      </c>
      <c r="O4" s="1708" t="s">
        <v>559</v>
      </c>
      <c r="P4" s="1708" t="s">
        <v>560</v>
      </c>
      <c r="Q4" s="1784" t="s">
        <v>925</v>
      </c>
    </row>
    <row r="5" spans="1:18" ht="21" customHeight="1" thickBot="1">
      <c r="A5" s="1786" t="s">
        <v>362</v>
      </c>
      <c r="B5" s="1772"/>
      <c r="C5" s="571"/>
      <c r="D5" s="567"/>
      <c r="E5" s="1792"/>
      <c r="F5" s="1783"/>
      <c r="G5" s="1783"/>
      <c r="H5" s="1783"/>
      <c r="I5" s="1783"/>
      <c r="J5" s="1783"/>
      <c r="K5" s="1783"/>
      <c r="L5" s="1783"/>
      <c r="M5" s="1783"/>
      <c r="N5" s="1783"/>
      <c r="O5" s="1783"/>
      <c r="P5" s="1783"/>
      <c r="Q5" s="1785"/>
    </row>
    <row r="6" spans="1:18" ht="26.25" customHeight="1">
      <c r="A6" s="1646" t="s">
        <v>561</v>
      </c>
      <c r="B6" s="1787"/>
      <c r="C6" s="1787"/>
      <c r="D6" s="1513"/>
      <c r="E6" s="691">
        <v>78</v>
      </c>
      <c r="F6" s="692">
        <v>18</v>
      </c>
      <c r="G6" s="693">
        <v>19</v>
      </c>
      <c r="H6" s="694">
        <v>21</v>
      </c>
      <c r="I6" s="694">
        <v>30</v>
      </c>
      <c r="J6" s="693">
        <v>21</v>
      </c>
      <c r="K6" s="693">
        <v>23</v>
      </c>
      <c r="L6" s="693">
        <v>20</v>
      </c>
      <c r="M6" s="693">
        <v>15</v>
      </c>
      <c r="N6" s="693">
        <v>25</v>
      </c>
      <c r="O6" s="693">
        <v>14</v>
      </c>
      <c r="P6" s="695">
        <v>21</v>
      </c>
      <c r="Q6" s="696">
        <v>17</v>
      </c>
    </row>
    <row r="7" spans="1:18" ht="26.25" customHeight="1">
      <c r="A7" s="1788" t="s">
        <v>562</v>
      </c>
      <c r="B7" s="1774"/>
      <c r="C7" s="1774"/>
      <c r="D7" s="1496"/>
      <c r="E7" s="697" t="s">
        <v>563</v>
      </c>
      <c r="F7" s="83">
        <v>1922</v>
      </c>
      <c r="G7" s="81">
        <v>2004</v>
      </c>
      <c r="H7" s="109">
        <v>1987</v>
      </c>
      <c r="I7" s="109">
        <v>1993</v>
      </c>
      <c r="J7" s="109">
        <v>2066</v>
      </c>
      <c r="K7" s="109">
        <v>2017</v>
      </c>
      <c r="L7" s="109">
        <v>1832</v>
      </c>
      <c r="M7" s="109">
        <v>1859</v>
      </c>
      <c r="N7" s="109">
        <v>1631</v>
      </c>
      <c r="O7" s="109">
        <v>1351</v>
      </c>
      <c r="P7" s="698">
        <v>1248</v>
      </c>
      <c r="Q7" s="506">
        <v>1200</v>
      </c>
    </row>
    <row r="8" spans="1:18" ht="26.25" customHeight="1">
      <c r="A8" s="699"/>
      <c r="B8" s="1774" t="s">
        <v>926</v>
      </c>
      <c r="C8" s="1774"/>
      <c r="D8" s="1789"/>
      <c r="E8" s="697" t="s">
        <v>564</v>
      </c>
      <c r="F8" s="700" t="s">
        <v>564</v>
      </c>
      <c r="G8" s="701" t="s">
        <v>564</v>
      </c>
      <c r="H8" s="702" t="s">
        <v>564</v>
      </c>
      <c r="I8" s="702" t="s">
        <v>564</v>
      </c>
      <c r="J8" s="702" t="s">
        <v>564</v>
      </c>
      <c r="K8" s="702" t="s">
        <v>564</v>
      </c>
      <c r="L8" s="702" t="s">
        <v>564</v>
      </c>
      <c r="M8" s="109">
        <v>333</v>
      </c>
      <c r="N8" s="109">
        <v>300</v>
      </c>
      <c r="O8" s="109">
        <v>283</v>
      </c>
      <c r="P8" s="109">
        <v>266</v>
      </c>
      <c r="Q8" s="506">
        <v>277</v>
      </c>
    </row>
    <row r="9" spans="1:18" ht="26.25" customHeight="1">
      <c r="A9" s="1630" t="s">
        <v>565</v>
      </c>
      <c r="B9" s="1774"/>
      <c r="C9" s="1774"/>
      <c r="D9" s="1496"/>
      <c r="E9" s="108">
        <v>280</v>
      </c>
      <c r="F9" s="703">
        <v>65</v>
      </c>
      <c r="G9" s="109">
        <v>51</v>
      </c>
      <c r="H9" s="109">
        <v>49</v>
      </c>
      <c r="I9" s="109">
        <v>51</v>
      </c>
      <c r="J9" s="109">
        <v>51</v>
      </c>
      <c r="K9" s="109">
        <v>49</v>
      </c>
      <c r="L9" s="109">
        <v>44</v>
      </c>
      <c r="M9" s="109">
        <v>44</v>
      </c>
      <c r="N9" s="109">
        <v>34</v>
      </c>
      <c r="O9" s="109">
        <v>37</v>
      </c>
      <c r="P9" s="109">
        <v>43</v>
      </c>
      <c r="Q9" s="506">
        <v>40</v>
      </c>
    </row>
    <row r="10" spans="1:18" ht="47.25" customHeight="1" thickBot="1">
      <c r="A10" s="1775" t="s">
        <v>566</v>
      </c>
      <c r="B10" s="1776"/>
      <c r="C10" s="1776"/>
      <c r="D10" s="1777"/>
      <c r="E10" s="704">
        <f>E6/E9*100</f>
        <v>27.857142857142858</v>
      </c>
      <c r="F10" s="705">
        <v>37.096774193548384</v>
      </c>
      <c r="G10" s="705">
        <v>27.692307692307693</v>
      </c>
      <c r="H10" s="705">
        <v>37.254901960784316</v>
      </c>
      <c r="I10" s="706">
        <v>42.857142857142854</v>
      </c>
      <c r="J10" s="705">
        <v>58.82352941176471</v>
      </c>
      <c r="K10" s="705">
        <v>41.17647058823529</v>
      </c>
      <c r="L10" s="705">
        <v>46.938775510204081</v>
      </c>
      <c r="M10" s="705">
        <v>45.454545454545453</v>
      </c>
      <c r="N10" s="705">
        <v>34.090909090909086</v>
      </c>
      <c r="O10" s="705">
        <f>O6/O9*100</f>
        <v>37.837837837837839</v>
      </c>
      <c r="P10" s="705">
        <f>P6/P9*100</f>
        <v>48.837209302325576</v>
      </c>
      <c r="Q10" s="707">
        <f>Q6/Q9*100</f>
        <v>42.5</v>
      </c>
    </row>
    <row r="11" spans="1:18" ht="33" customHeight="1">
      <c r="A11" s="1778" t="s">
        <v>567</v>
      </c>
      <c r="B11" s="1778"/>
      <c r="C11" s="1737"/>
      <c r="D11" s="1737"/>
      <c r="E11" s="1737"/>
      <c r="F11" s="1737"/>
      <c r="G11" s="1737"/>
      <c r="H11" s="1737"/>
      <c r="I11" s="1737"/>
      <c r="J11" s="1737"/>
      <c r="K11" s="1737"/>
      <c r="L11" s="1737"/>
      <c r="M11" s="1737"/>
      <c r="N11" s="1737"/>
      <c r="O11" s="1737"/>
      <c r="P11" s="1737"/>
      <c r="Q11" s="1737"/>
    </row>
    <row r="12" spans="1:18" ht="18" customHeight="1">
      <c r="A12" s="1737" t="s">
        <v>568</v>
      </c>
      <c r="B12" s="1621"/>
      <c r="C12" s="1621"/>
      <c r="D12" s="1621"/>
      <c r="E12" s="1621"/>
      <c r="F12" s="1621"/>
      <c r="G12" s="1621"/>
      <c r="H12" s="1621"/>
      <c r="I12" s="1621"/>
      <c r="J12" s="1621"/>
      <c r="K12" s="1621"/>
      <c r="L12" s="1621"/>
      <c r="M12" s="1621"/>
      <c r="N12" s="1621"/>
      <c r="O12" s="1621"/>
      <c r="P12" s="1621"/>
      <c r="Q12" s="1621"/>
    </row>
    <row r="13" spans="1:18" ht="30" customHeight="1">
      <c r="A13" s="708"/>
      <c r="B13" s="708"/>
      <c r="C13" s="708"/>
      <c r="D13" s="708"/>
      <c r="E13" s="708"/>
      <c r="F13" s="708"/>
      <c r="G13" s="708"/>
      <c r="H13" s="708"/>
      <c r="I13" s="708"/>
      <c r="J13" s="708"/>
      <c r="K13" s="708"/>
      <c r="L13" s="708"/>
      <c r="M13" s="9"/>
    </row>
    <row r="14" spans="1:18" ht="15.75" thickBot="1">
      <c r="A14" s="597" t="s">
        <v>569</v>
      </c>
      <c r="P14" s="1394" t="s">
        <v>570</v>
      </c>
      <c r="Q14" s="1779"/>
    </row>
    <row r="15" spans="1:18">
      <c r="A15" s="1780" t="s">
        <v>571</v>
      </c>
      <c r="B15" s="1672"/>
      <c r="C15" s="1781"/>
      <c r="D15" s="1782"/>
      <c r="E15" s="1542">
        <v>1</v>
      </c>
      <c r="F15" s="1544">
        <v>2</v>
      </c>
      <c r="G15" s="1544">
        <v>3</v>
      </c>
      <c r="H15" s="1544">
        <v>4</v>
      </c>
      <c r="I15" s="1544">
        <v>5</v>
      </c>
      <c r="J15" s="1544">
        <v>6</v>
      </c>
      <c r="K15" s="1544">
        <v>7</v>
      </c>
      <c r="L15" s="1544">
        <v>8</v>
      </c>
      <c r="M15" s="1544">
        <v>9</v>
      </c>
      <c r="N15" s="1544">
        <v>10</v>
      </c>
      <c r="O15" s="1544">
        <v>11</v>
      </c>
      <c r="P15" s="1438">
        <v>12</v>
      </c>
      <c r="Q15" s="1589" t="s">
        <v>997</v>
      </c>
      <c r="R15" s="1768"/>
    </row>
    <row r="16" spans="1:18" ht="15" thickBot="1">
      <c r="A16" s="1771" t="s">
        <v>572</v>
      </c>
      <c r="B16" s="1772"/>
      <c r="C16" s="571"/>
      <c r="D16" s="492"/>
      <c r="E16" s="1448"/>
      <c r="F16" s="1699"/>
      <c r="G16" s="1699"/>
      <c r="H16" s="1699"/>
      <c r="I16" s="1699"/>
      <c r="J16" s="1699"/>
      <c r="K16" s="1699"/>
      <c r="L16" s="1699"/>
      <c r="M16" s="1699"/>
      <c r="N16" s="1699"/>
      <c r="O16" s="1699"/>
      <c r="P16" s="1767"/>
      <c r="Q16" s="1769"/>
      <c r="R16" s="1770"/>
    </row>
    <row r="17" spans="1:32">
      <c r="A17" s="1678" t="s">
        <v>573</v>
      </c>
      <c r="B17" s="1714"/>
      <c r="C17" s="1773" t="s">
        <v>574</v>
      </c>
      <c r="D17" s="1742"/>
      <c r="E17" s="709">
        <v>0</v>
      </c>
      <c r="F17" s="74">
        <v>0</v>
      </c>
      <c r="G17" s="74">
        <v>0</v>
      </c>
      <c r="H17" s="74">
        <v>0</v>
      </c>
      <c r="I17" s="74">
        <v>0</v>
      </c>
      <c r="J17" s="74">
        <v>1</v>
      </c>
      <c r="K17" s="74">
        <v>0</v>
      </c>
      <c r="L17" s="74">
        <v>1</v>
      </c>
      <c r="M17" s="74">
        <v>0</v>
      </c>
      <c r="N17" s="74">
        <v>0</v>
      </c>
      <c r="O17" s="74">
        <v>0</v>
      </c>
      <c r="P17" s="710">
        <v>0</v>
      </c>
      <c r="Q17" s="1755">
        <f t="shared" ref="Q17:Q37" si="0">SUM(E17:P17)</f>
        <v>2</v>
      </c>
      <c r="R17" s="1756"/>
      <c r="T17" s="711"/>
      <c r="U17" s="711"/>
      <c r="V17" s="711"/>
      <c r="W17" s="711"/>
      <c r="X17" s="711"/>
      <c r="Y17" s="711"/>
      <c r="Z17" s="711"/>
      <c r="AA17" s="711"/>
      <c r="AB17" s="711"/>
      <c r="AC17" s="711"/>
      <c r="AD17" s="711"/>
      <c r="AE17" s="711"/>
      <c r="AF17" s="432"/>
    </row>
    <row r="18" spans="1:32">
      <c r="A18" s="1743"/>
      <c r="B18" s="1716"/>
      <c r="C18" s="1749" t="s">
        <v>575</v>
      </c>
      <c r="D18" s="1496"/>
      <c r="E18" s="108">
        <v>22</v>
      </c>
      <c r="F18" s="86">
        <v>21</v>
      </c>
      <c r="G18" s="86">
        <v>25</v>
      </c>
      <c r="H18" s="86">
        <v>25</v>
      </c>
      <c r="I18" s="86">
        <v>29</v>
      </c>
      <c r="J18" s="86">
        <v>24</v>
      </c>
      <c r="K18" s="86">
        <v>25</v>
      </c>
      <c r="L18" s="86">
        <v>20</v>
      </c>
      <c r="M18" s="86">
        <v>21</v>
      </c>
      <c r="N18" s="86">
        <v>39</v>
      </c>
      <c r="O18" s="86">
        <v>23</v>
      </c>
      <c r="P18" s="380">
        <v>35</v>
      </c>
      <c r="Q18" s="1760">
        <f t="shared" si="0"/>
        <v>309</v>
      </c>
      <c r="R18" s="1761"/>
      <c r="T18" s="711"/>
      <c r="U18" s="711"/>
      <c r="V18" s="711"/>
      <c r="W18" s="711"/>
      <c r="X18" s="711"/>
      <c r="Y18" s="711"/>
      <c r="Z18" s="711"/>
      <c r="AA18" s="711"/>
      <c r="AB18" s="711"/>
      <c r="AC18" s="711"/>
      <c r="AD18" s="711"/>
      <c r="AE18" s="711"/>
      <c r="AF18" s="432"/>
    </row>
    <row r="19" spans="1:32">
      <c r="A19" s="1591"/>
      <c r="B19" s="1763"/>
      <c r="C19" s="712"/>
      <c r="D19" s="1361" t="s">
        <v>958</v>
      </c>
      <c r="E19" s="108">
        <v>4</v>
      </c>
      <c r="F19" s="86">
        <v>4</v>
      </c>
      <c r="G19" s="86">
        <v>1</v>
      </c>
      <c r="H19" s="86">
        <v>5</v>
      </c>
      <c r="I19" s="86">
        <v>4</v>
      </c>
      <c r="J19" s="86">
        <v>4</v>
      </c>
      <c r="K19" s="86">
        <v>3</v>
      </c>
      <c r="L19" s="86">
        <v>2</v>
      </c>
      <c r="M19" s="86">
        <v>6</v>
      </c>
      <c r="N19" s="86">
        <v>7</v>
      </c>
      <c r="O19" s="86">
        <v>6</v>
      </c>
      <c r="P19" s="380">
        <v>5</v>
      </c>
      <c r="Q19" s="1762">
        <f t="shared" ref="Q19" si="1">SUM(E19:P19)</f>
        <v>51</v>
      </c>
      <c r="R19" s="1389"/>
      <c r="T19" s="711"/>
      <c r="U19" s="711"/>
      <c r="V19" s="711"/>
      <c r="W19" s="711"/>
      <c r="X19" s="711"/>
      <c r="Y19" s="711"/>
      <c r="Z19" s="711"/>
      <c r="AA19" s="711"/>
      <c r="AB19" s="711"/>
      <c r="AC19" s="711"/>
      <c r="AD19" s="711"/>
      <c r="AE19" s="711"/>
      <c r="AF19" s="432"/>
    </row>
    <row r="20" spans="1:32">
      <c r="A20" s="1764" t="s">
        <v>576</v>
      </c>
      <c r="B20" s="1758"/>
      <c r="C20" s="1746" t="s">
        <v>577</v>
      </c>
      <c r="D20" s="1496"/>
      <c r="E20" s="108">
        <v>0</v>
      </c>
      <c r="F20" s="86">
        <v>0</v>
      </c>
      <c r="G20" s="86">
        <v>0</v>
      </c>
      <c r="H20" s="86">
        <v>0</v>
      </c>
      <c r="I20" s="86">
        <v>1</v>
      </c>
      <c r="J20" s="86">
        <v>0</v>
      </c>
      <c r="K20" s="86">
        <v>0</v>
      </c>
      <c r="L20" s="86">
        <v>0</v>
      </c>
      <c r="M20" s="86">
        <v>0</v>
      </c>
      <c r="N20" s="86">
        <v>0</v>
      </c>
      <c r="O20" s="86">
        <v>2</v>
      </c>
      <c r="P20" s="380">
        <v>0</v>
      </c>
      <c r="Q20" s="1760">
        <f t="shared" si="0"/>
        <v>3</v>
      </c>
      <c r="R20" s="1761"/>
      <c r="T20" s="432"/>
      <c r="U20" s="432"/>
      <c r="V20" s="432"/>
      <c r="W20" s="432"/>
      <c r="X20" s="432"/>
      <c r="Y20" s="432"/>
      <c r="Z20" s="432"/>
      <c r="AA20" s="432"/>
      <c r="AB20" s="432"/>
      <c r="AC20" s="432"/>
      <c r="AD20" s="432"/>
      <c r="AE20" s="432"/>
      <c r="AF20" s="432"/>
    </row>
    <row r="21" spans="1:32">
      <c r="A21" s="1765"/>
      <c r="B21" s="1716"/>
      <c r="C21" s="1749" t="s">
        <v>578</v>
      </c>
      <c r="D21" s="1750"/>
      <c r="E21" s="108">
        <v>26</v>
      </c>
      <c r="F21" s="86">
        <v>24</v>
      </c>
      <c r="G21" s="86">
        <v>40</v>
      </c>
      <c r="H21" s="86">
        <v>37</v>
      </c>
      <c r="I21" s="86">
        <v>28</v>
      </c>
      <c r="J21" s="86">
        <v>25</v>
      </c>
      <c r="K21" s="86">
        <v>31</v>
      </c>
      <c r="L21" s="86">
        <v>32</v>
      </c>
      <c r="M21" s="86">
        <v>39</v>
      </c>
      <c r="N21" s="86">
        <v>26</v>
      </c>
      <c r="O21" s="86">
        <v>43</v>
      </c>
      <c r="P21" s="380">
        <v>25</v>
      </c>
      <c r="Q21" s="1760">
        <f t="shared" si="0"/>
        <v>376</v>
      </c>
      <c r="R21" s="1761"/>
      <c r="T21" s="9"/>
      <c r="U21" s="9"/>
      <c r="V21" s="9"/>
      <c r="W21" s="9"/>
      <c r="X21" s="9"/>
      <c r="Y21" s="9"/>
      <c r="Z21" s="9"/>
      <c r="AA21" s="9"/>
      <c r="AB21" s="9"/>
      <c r="AC21" s="9"/>
      <c r="AD21" s="9"/>
      <c r="AE21" s="9"/>
      <c r="AF21" s="9"/>
    </row>
    <row r="22" spans="1:32">
      <c r="A22" s="1766"/>
      <c r="B22" s="1763"/>
      <c r="C22" s="713"/>
      <c r="D22" s="1361" t="s">
        <v>958</v>
      </c>
      <c r="E22" s="108">
        <v>4</v>
      </c>
      <c r="F22" s="86">
        <v>3</v>
      </c>
      <c r="G22" s="86">
        <v>6</v>
      </c>
      <c r="H22" s="86">
        <v>8</v>
      </c>
      <c r="I22" s="86">
        <v>8</v>
      </c>
      <c r="J22" s="86">
        <v>3</v>
      </c>
      <c r="K22" s="86">
        <v>7</v>
      </c>
      <c r="L22" s="86">
        <v>5</v>
      </c>
      <c r="M22" s="86">
        <v>4</v>
      </c>
      <c r="N22" s="86">
        <v>4</v>
      </c>
      <c r="O22" s="86">
        <v>12</v>
      </c>
      <c r="P22" s="380">
        <v>6</v>
      </c>
      <c r="Q22" s="1762">
        <f t="shared" si="0"/>
        <v>70</v>
      </c>
      <c r="R22" s="1389"/>
      <c r="T22" s="711"/>
      <c r="U22" s="711"/>
      <c r="V22" s="711"/>
      <c r="W22" s="711"/>
      <c r="X22" s="711"/>
      <c r="Y22" s="711"/>
      <c r="Z22" s="711"/>
      <c r="AA22" s="711"/>
      <c r="AB22" s="711"/>
      <c r="AC22" s="711"/>
      <c r="AD22" s="711"/>
      <c r="AE22" s="711"/>
      <c r="AF22" s="432"/>
    </row>
    <row r="23" spans="1:32">
      <c r="A23" s="1757" t="s">
        <v>579</v>
      </c>
      <c r="B23" s="1758"/>
      <c r="C23" s="1746" t="s">
        <v>577</v>
      </c>
      <c r="D23" s="1496"/>
      <c r="E23" s="108">
        <v>0</v>
      </c>
      <c r="F23" s="86">
        <v>0</v>
      </c>
      <c r="G23" s="86">
        <v>0</v>
      </c>
      <c r="H23" s="86">
        <v>0</v>
      </c>
      <c r="I23" s="86">
        <v>0</v>
      </c>
      <c r="J23" s="86">
        <v>0</v>
      </c>
      <c r="K23" s="86">
        <v>0</v>
      </c>
      <c r="L23" s="86">
        <v>0</v>
      </c>
      <c r="M23" s="86">
        <v>0</v>
      </c>
      <c r="N23" s="86">
        <v>0</v>
      </c>
      <c r="O23" s="86">
        <v>0</v>
      </c>
      <c r="P23" s="380">
        <v>3</v>
      </c>
      <c r="Q23" s="1760">
        <f t="shared" si="0"/>
        <v>3</v>
      </c>
      <c r="R23" s="1761"/>
      <c r="T23" s="711"/>
      <c r="U23" s="711"/>
      <c r="V23" s="711"/>
      <c r="W23" s="711"/>
      <c r="X23" s="711"/>
      <c r="Y23" s="711"/>
      <c r="Z23" s="711"/>
      <c r="AA23" s="711"/>
      <c r="AB23" s="711"/>
      <c r="AC23" s="711"/>
      <c r="AD23" s="711"/>
      <c r="AE23" s="711"/>
      <c r="AF23" s="432"/>
    </row>
    <row r="24" spans="1:32">
      <c r="A24" s="1743"/>
      <c r="B24" s="1716"/>
      <c r="C24" s="1749" t="s">
        <v>578</v>
      </c>
      <c r="D24" s="1750"/>
      <c r="E24" s="108">
        <v>18</v>
      </c>
      <c r="F24" s="86">
        <v>19</v>
      </c>
      <c r="G24" s="86">
        <v>28</v>
      </c>
      <c r="H24" s="86">
        <v>24</v>
      </c>
      <c r="I24" s="86">
        <v>23</v>
      </c>
      <c r="J24" s="86">
        <v>29</v>
      </c>
      <c r="K24" s="86">
        <v>25</v>
      </c>
      <c r="L24" s="86">
        <v>11</v>
      </c>
      <c r="M24" s="86">
        <v>18</v>
      </c>
      <c r="N24" s="86">
        <v>23</v>
      </c>
      <c r="O24" s="86">
        <v>18</v>
      </c>
      <c r="P24" s="380">
        <v>20</v>
      </c>
      <c r="Q24" s="1760">
        <f t="shared" si="0"/>
        <v>256</v>
      </c>
      <c r="R24" s="1761"/>
      <c r="T24" s="711"/>
      <c r="U24" s="711"/>
      <c r="V24" s="711"/>
      <c r="W24" s="711"/>
      <c r="X24" s="711"/>
      <c r="Y24" s="711"/>
      <c r="Z24" s="711"/>
      <c r="AA24" s="711"/>
      <c r="AB24" s="711"/>
      <c r="AC24" s="711"/>
      <c r="AD24" s="711"/>
      <c r="AE24" s="711"/>
      <c r="AF24" s="432"/>
    </row>
    <row r="25" spans="1:32">
      <c r="A25" s="1591"/>
      <c r="B25" s="1763"/>
      <c r="C25" s="713"/>
      <c r="D25" s="1361" t="s">
        <v>958</v>
      </c>
      <c r="E25" s="108">
        <v>4</v>
      </c>
      <c r="F25" s="86">
        <v>8</v>
      </c>
      <c r="G25" s="86">
        <v>3</v>
      </c>
      <c r="H25" s="86">
        <v>6</v>
      </c>
      <c r="I25" s="86">
        <v>7</v>
      </c>
      <c r="J25" s="86">
        <v>11</v>
      </c>
      <c r="K25" s="86">
        <v>5</v>
      </c>
      <c r="L25" s="86">
        <v>5</v>
      </c>
      <c r="M25" s="86">
        <v>7</v>
      </c>
      <c r="N25" s="86">
        <v>5</v>
      </c>
      <c r="O25" s="86">
        <v>3</v>
      </c>
      <c r="P25" s="380">
        <v>5</v>
      </c>
      <c r="Q25" s="1762">
        <f t="shared" ref="Q25" si="2">SUM(E25:P25)</f>
        <v>69</v>
      </c>
      <c r="R25" s="1389"/>
      <c r="T25" s="711"/>
      <c r="U25" s="711"/>
      <c r="V25" s="711"/>
      <c r="W25" s="711"/>
      <c r="X25" s="711"/>
      <c r="Y25" s="711"/>
      <c r="Z25" s="711"/>
      <c r="AA25" s="711"/>
      <c r="AB25" s="711"/>
      <c r="AC25" s="711"/>
      <c r="AD25" s="711"/>
      <c r="AE25" s="711"/>
      <c r="AF25" s="432"/>
    </row>
    <row r="26" spans="1:32">
      <c r="A26" s="1757" t="s">
        <v>580</v>
      </c>
      <c r="B26" s="1758"/>
      <c r="C26" s="1746" t="s">
        <v>577</v>
      </c>
      <c r="D26" s="1496"/>
      <c r="E26" s="108">
        <v>0</v>
      </c>
      <c r="F26" s="86">
        <v>1</v>
      </c>
      <c r="G26" s="86">
        <v>0</v>
      </c>
      <c r="H26" s="86">
        <v>1</v>
      </c>
      <c r="I26" s="86">
        <v>1</v>
      </c>
      <c r="J26" s="86">
        <v>2</v>
      </c>
      <c r="K26" s="86">
        <v>0</v>
      </c>
      <c r="L26" s="86">
        <v>1</v>
      </c>
      <c r="M26" s="86">
        <v>1</v>
      </c>
      <c r="N26" s="86">
        <v>0</v>
      </c>
      <c r="O26" s="86">
        <v>0</v>
      </c>
      <c r="P26" s="380">
        <v>0</v>
      </c>
      <c r="Q26" s="1760">
        <f t="shared" si="0"/>
        <v>7</v>
      </c>
      <c r="R26" s="1761"/>
      <c r="T26" s="432"/>
      <c r="U26" s="432"/>
      <c r="V26" s="432"/>
      <c r="W26" s="432"/>
      <c r="X26" s="432"/>
      <c r="Y26" s="432"/>
      <c r="Z26" s="432"/>
      <c r="AA26" s="432"/>
      <c r="AB26" s="432"/>
      <c r="AC26" s="432"/>
      <c r="AD26" s="432"/>
      <c r="AE26" s="432"/>
      <c r="AF26" s="432"/>
    </row>
    <row r="27" spans="1:32">
      <c r="A27" s="1743"/>
      <c r="B27" s="1716"/>
      <c r="C27" s="1749" t="s">
        <v>578</v>
      </c>
      <c r="D27" s="1750"/>
      <c r="E27" s="108">
        <v>19</v>
      </c>
      <c r="F27" s="86">
        <v>11</v>
      </c>
      <c r="G27" s="86">
        <v>13</v>
      </c>
      <c r="H27" s="86">
        <v>24</v>
      </c>
      <c r="I27" s="86">
        <v>14</v>
      </c>
      <c r="J27" s="86">
        <v>9</v>
      </c>
      <c r="K27" s="86">
        <v>13</v>
      </c>
      <c r="L27" s="86">
        <v>8</v>
      </c>
      <c r="M27" s="86">
        <v>16</v>
      </c>
      <c r="N27" s="86">
        <v>22</v>
      </c>
      <c r="O27" s="86">
        <v>10</v>
      </c>
      <c r="P27" s="380">
        <v>18</v>
      </c>
      <c r="Q27" s="1760">
        <f t="shared" si="0"/>
        <v>177</v>
      </c>
      <c r="R27" s="1761"/>
    </row>
    <row r="28" spans="1:32">
      <c r="A28" s="1591"/>
      <c r="B28" s="1763"/>
      <c r="C28" s="713"/>
      <c r="D28" s="1361" t="s">
        <v>958</v>
      </c>
      <c r="E28" s="108">
        <v>6</v>
      </c>
      <c r="F28" s="86">
        <v>3</v>
      </c>
      <c r="G28" s="86">
        <v>3</v>
      </c>
      <c r="H28" s="86">
        <v>9</v>
      </c>
      <c r="I28" s="86">
        <v>3</v>
      </c>
      <c r="J28" s="86">
        <v>4</v>
      </c>
      <c r="K28" s="86">
        <v>4</v>
      </c>
      <c r="L28" s="86">
        <v>2</v>
      </c>
      <c r="M28" s="86">
        <v>7</v>
      </c>
      <c r="N28" s="86">
        <v>6</v>
      </c>
      <c r="O28" s="86">
        <v>2</v>
      </c>
      <c r="P28" s="380">
        <v>8</v>
      </c>
      <c r="Q28" s="1762">
        <f t="shared" si="0"/>
        <v>57</v>
      </c>
      <c r="R28" s="1389"/>
      <c r="T28" s="711"/>
      <c r="U28" s="711"/>
      <c r="V28" s="711"/>
      <c r="W28" s="711"/>
      <c r="X28" s="711"/>
      <c r="Y28" s="711"/>
      <c r="Z28" s="711"/>
      <c r="AA28" s="711"/>
      <c r="AB28" s="711"/>
      <c r="AC28" s="711"/>
      <c r="AD28" s="711"/>
      <c r="AE28" s="711"/>
      <c r="AF28" s="432"/>
    </row>
    <row r="29" spans="1:32">
      <c r="A29" s="1757" t="s">
        <v>581</v>
      </c>
      <c r="B29" s="1758"/>
      <c r="C29" s="1746" t="s">
        <v>577</v>
      </c>
      <c r="D29" s="1496"/>
      <c r="E29" s="108">
        <v>0</v>
      </c>
      <c r="F29" s="86">
        <v>0</v>
      </c>
      <c r="G29" s="86">
        <v>0</v>
      </c>
      <c r="H29" s="86">
        <v>0</v>
      </c>
      <c r="I29" s="86">
        <v>0</v>
      </c>
      <c r="J29" s="86">
        <v>0</v>
      </c>
      <c r="K29" s="86">
        <v>1</v>
      </c>
      <c r="L29" s="86">
        <v>0</v>
      </c>
      <c r="M29" s="86">
        <v>1</v>
      </c>
      <c r="N29" s="86">
        <v>0</v>
      </c>
      <c r="O29" s="86">
        <v>0</v>
      </c>
      <c r="P29" s="380">
        <v>0</v>
      </c>
      <c r="Q29" s="1760">
        <f t="shared" si="0"/>
        <v>2</v>
      </c>
      <c r="R29" s="1761"/>
    </row>
    <row r="30" spans="1:32">
      <c r="A30" s="1743"/>
      <c r="B30" s="1716"/>
      <c r="C30" s="1749" t="s">
        <v>578</v>
      </c>
      <c r="D30" s="1750"/>
      <c r="E30" s="112">
        <v>10</v>
      </c>
      <c r="F30" s="80">
        <v>6</v>
      </c>
      <c r="G30" s="80">
        <v>7</v>
      </c>
      <c r="H30" s="80">
        <v>12</v>
      </c>
      <c r="I30" s="80">
        <v>10</v>
      </c>
      <c r="J30" s="80">
        <v>5</v>
      </c>
      <c r="K30" s="80">
        <v>5</v>
      </c>
      <c r="L30" s="80">
        <v>6</v>
      </c>
      <c r="M30" s="80">
        <v>2</v>
      </c>
      <c r="N30" s="80">
        <v>4</v>
      </c>
      <c r="O30" s="80">
        <v>6</v>
      </c>
      <c r="P30" s="382">
        <v>9</v>
      </c>
      <c r="Q30" s="1751">
        <f t="shared" si="0"/>
        <v>82</v>
      </c>
      <c r="R30" s="1752"/>
    </row>
    <row r="31" spans="1:32" ht="15" thickBot="1">
      <c r="A31" s="1427"/>
      <c r="B31" s="1759"/>
      <c r="C31" s="713"/>
      <c r="D31" s="1361" t="s">
        <v>958</v>
      </c>
      <c r="E31" s="372">
        <v>5</v>
      </c>
      <c r="F31" s="375">
        <v>2</v>
      </c>
      <c r="G31" s="375">
        <v>3</v>
      </c>
      <c r="H31" s="375">
        <v>5</v>
      </c>
      <c r="I31" s="375">
        <v>2</v>
      </c>
      <c r="J31" s="375">
        <v>1</v>
      </c>
      <c r="K31" s="375">
        <v>2</v>
      </c>
      <c r="L31" s="375">
        <v>3</v>
      </c>
      <c r="M31" s="375">
        <v>0</v>
      </c>
      <c r="N31" s="375">
        <v>1</v>
      </c>
      <c r="O31" s="375">
        <v>2</v>
      </c>
      <c r="P31" s="383">
        <v>4</v>
      </c>
      <c r="Q31" s="1762">
        <f t="shared" ref="Q31" si="3">SUM(E31:P31)</f>
        <v>30</v>
      </c>
      <c r="R31" s="1389"/>
      <c r="T31" s="711"/>
      <c r="U31" s="711"/>
      <c r="V31" s="711"/>
      <c r="W31" s="711"/>
      <c r="X31" s="711"/>
      <c r="Y31" s="711"/>
      <c r="Z31" s="711"/>
      <c r="AA31" s="711"/>
      <c r="AB31" s="711"/>
      <c r="AC31" s="711"/>
      <c r="AD31" s="711"/>
      <c r="AE31" s="711"/>
      <c r="AF31" s="432"/>
    </row>
    <row r="32" spans="1:32" ht="14.25" customHeight="1">
      <c r="A32" s="1678" t="s">
        <v>995</v>
      </c>
      <c r="B32" s="1742"/>
      <c r="C32" s="1754" t="s">
        <v>577</v>
      </c>
      <c r="D32" s="1513"/>
      <c r="E32" s="714">
        <f t="shared" ref="E32:P34" si="4">E17+E20+E23+E26+E29</f>
        <v>0</v>
      </c>
      <c r="F32" s="715">
        <f t="shared" si="4"/>
        <v>1</v>
      </c>
      <c r="G32" s="715">
        <f t="shared" si="4"/>
        <v>0</v>
      </c>
      <c r="H32" s="715">
        <f t="shared" si="4"/>
        <v>1</v>
      </c>
      <c r="I32" s="715">
        <f t="shared" si="4"/>
        <v>2</v>
      </c>
      <c r="J32" s="715">
        <f t="shared" si="4"/>
        <v>3</v>
      </c>
      <c r="K32" s="715">
        <f t="shared" si="4"/>
        <v>1</v>
      </c>
      <c r="L32" s="715">
        <f t="shared" si="4"/>
        <v>2</v>
      </c>
      <c r="M32" s="715">
        <f t="shared" si="4"/>
        <v>2</v>
      </c>
      <c r="N32" s="715">
        <f t="shared" si="4"/>
        <v>0</v>
      </c>
      <c r="O32" s="715">
        <f t="shared" si="4"/>
        <v>2</v>
      </c>
      <c r="P32" s="716">
        <f t="shared" si="4"/>
        <v>3</v>
      </c>
      <c r="Q32" s="1755">
        <f>SUM(E32:P32)</f>
        <v>17</v>
      </c>
      <c r="R32" s="1756"/>
    </row>
    <row r="33" spans="1:32" ht="14.25" customHeight="1">
      <c r="A33" s="1426"/>
      <c r="B33" s="1744"/>
      <c r="C33" s="1749" t="s">
        <v>578</v>
      </c>
      <c r="D33" s="1750"/>
      <c r="E33" s="717">
        <f t="shared" si="4"/>
        <v>95</v>
      </c>
      <c r="F33" s="718">
        <f t="shared" si="4"/>
        <v>81</v>
      </c>
      <c r="G33" s="718">
        <f t="shared" si="4"/>
        <v>113</v>
      </c>
      <c r="H33" s="718">
        <f t="shared" si="4"/>
        <v>122</v>
      </c>
      <c r="I33" s="718">
        <f t="shared" si="4"/>
        <v>104</v>
      </c>
      <c r="J33" s="718">
        <f t="shared" si="4"/>
        <v>92</v>
      </c>
      <c r="K33" s="718">
        <f t="shared" si="4"/>
        <v>99</v>
      </c>
      <c r="L33" s="718">
        <f t="shared" si="4"/>
        <v>77</v>
      </c>
      <c r="M33" s="718">
        <f t="shared" si="4"/>
        <v>96</v>
      </c>
      <c r="N33" s="718">
        <f t="shared" si="4"/>
        <v>114</v>
      </c>
      <c r="O33" s="718">
        <f t="shared" si="4"/>
        <v>100</v>
      </c>
      <c r="P33" s="719">
        <f t="shared" si="4"/>
        <v>107</v>
      </c>
      <c r="Q33" s="1751">
        <f t="shared" si="0"/>
        <v>1200</v>
      </c>
      <c r="R33" s="1752"/>
    </row>
    <row r="34" spans="1:32" ht="15" thickBot="1">
      <c r="A34" s="1427"/>
      <c r="B34" s="1745"/>
      <c r="C34" s="720"/>
      <c r="D34" s="958" t="s">
        <v>958</v>
      </c>
      <c r="E34" s="372">
        <f t="shared" si="4"/>
        <v>23</v>
      </c>
      <c r="F34" s="375">
        <f t="shared" si="4"/>
        <v>20</v>
      </c>
      <c r="G34" s="375">
        <f t="shared" si="4"/>
        <v>16</v>
      </c>
      <c r="H34" s="375">
        <f t="shared" si="4"/>
        <v>33</v>
      </c>
      <c r="I34" s="375">
        <f t="shared" si="4"/>
        <v>24</v>
      </c>
      <c r="J34" s="375">
        <f t="shared" si="4"/>
        <v>23</v>
      </c>
      <c r="K34" s="375">
        <f t="shared" si="4"/>
        <v>21</v>
      </c>
      <c r="L34" s="375">
        <f t="shared" si="4"/>
        <v>17</v>
      </c>
      <c r="M34" s="375">
        <f t="shared" si="4"/>
        <v>24</v>
      </c>
      <c r="N34" s="375">
        <f t="shared" si="4"/>
        <v>23</v>
      </c>
      <c r="O34" s="375">
        <f t="shared" si="4"/>
        <v>25</v>
      </c>
      <c r="P34" s="383">
        <f t="shared" si="4"/>
        <v>28</v>
      </c>
      <c r="Q34" s="1753">
        <f t="shared" si="0"/>
        <v>277</v>
      </c>
      <c r="R34" s="1446"/>
      <c r="T34" s="711"/>
      <c r="U34" s="711"/>
      <c r="V34" s="711"/>
      <c r="W34" s="711"/>
      <c r="X34" s="711"/>
      <c r="Y34" s="711"/>
      <c r="Z34" s="711"/>
      <c r="AA34" s="711"/>
      <c r="AB34" s="711"/>
      <c r="AC34" s="711"/>
      <c r="AD34" s="711"/>
      <c r="AE34" s="711"/>
      <c r="AF34" s="432"/>
    </row>
    <row r="35" spans="1:32">
      <c r="A35" s="1678" t="s">
        <v>582</v>
      </c>
      <c r="B35" s="1742"/>
      <c r="C35" s="1746" t="s">
        <v>577</v>
      </c>
      <c r="D35" s="1496"/>
      <c r="E35" s="714">
        <v>2</v>
      </c>
      <c r="F35" s="715">
        <v>3</v>
      </c>
      <c r="G35" s="715">
        <v>5</v>
      </c>
      <c r="H35" s="715">
        <v>6</v>
      </c>
      <c r="I35" s="715">
        <v>5</v>
      </c>
      <c r="J35" s="715">
        <v>6</v>
      </c>
      <c r="K35" s="715">
        <v>2</v>
      </c>
      <c r="L35" s="715">
        <v>6</v>
      </c>
      <c r="M35" s="715">
        <v>5</v>
      </c>
      <c r="N35" s="715">
        <v>6</v>
      </c>
      <c r="O35" s="715">
        <v>5</v>
      </c>
      <c r="P35" s="716">
        <v>6</v>
      </c>
      <c r="Q35" s="1747">
        <f t="shared" si="0"/>
        <v>57</v>
      </c>
      <c r="R35" s="1748"/>
    </row>
    <row r="36" spans="1:32">
      <c r="A36" s="1743"/>
      <c r="B36" s="1744"/>
      <c r="C36" s="1749" t="s">
        <v>578</v>
      </c>
      <c r="D36" s="1750"/>
      <c r="E36" s="717">
        <v>344</v>
      </c>
      <c r="F36" s="718">
        <v>308</v>
      </c>
      <c r="G36" s="718">
        <v>343</v>
      </c>
      <c r="H36" s="718">
        <v>350</v>
      </c>
      <c r="I36" s="718">
        <v>315</v>
      </c>
      <c r="J36" s="718">
        <v>347</v>
      </c>
      <c r="K36" s="718">
        <v>340</v>
      </c>
      <c r="L36" s="718">
        <v>344</v>
      </c>
      <c r="M36" s="718">
        <v>318</v>
      </c>
      <c r="N36" s="718">
        <v>385</v>
      </c>
      <c r="O36" s="718">
        <v>399</v>
      </c>
      <c r="P36" s="719">
        <v>403</v>
      </c>
      <c r="Q36" s="1751">
        <f t="shared" si="0"/>
        <v>4196</v>
      </c>
      <c r="R36" s="1752"/>
    </row>
    <row r="37" spans="1:32" ht="15" thickBot="1">
      <c r="A37" s="1427"/>
      <c r="B37" s="1745"/>
      <c r="C37" s="720"/>
      <c r="D37" s="958" t="s">
        <v>958</v>
      </c>
      <c r="E37" s="372">
        <v>80</v>
      </c>
      <c r="F37" s="375">
        <v>71</v>
      </c>
      <c r="G37" s="375">
        <v>71</v>
      </c>
      <c r="H37" s="375">
        <v>88</v>
      </c>
      <c r="I37" s="375">
        <v>63</v>
      </c>
      <c r="J37" s="375">
        <v>66</v>
      </c>
      <c r="K37" s="375">
        <v>69</v>
      </c>
      <c r="L37" s="375">
        <v>76</v>
      </c>
      <c r="M37" s="375">
        <v>77</v>
      </c>
      <c r="N37" s="375">
        <v>76</v>
      </c>
      <c r="O37" s="375">
        <v>79</v>
      </c>
      <c r="P37" s="383">
        <v>88</v>
      </c>
      <c r="Q37" s="1753">
        <f t="shared" si="0"/>
        <v>904</v>
      </c>
      <c r="R37" s="1446"/>
      <c r="T37" s="711"/>
      <c r="U37" s="711"/>
      <c r="V37" s="711"/>
      <c r="W37" s="711"/>
      <c r="X37" s="711"/>
      <c r="Y37" s="711"/>
      <c r="Z37" s="711"/>
      <c r="AA37" s="711"/>
      <c r="AB37" s="711"/>
      <c r="AC37" s="711"/>
      <c r="AD37" s="711"/>
      <c r="AE37" s="711"/>
      <c r="AF37" s="432"/>
    </row>
    <row r="38" spans="1:32">
      <c r="A38" s="492" t="s">
        <v>583</v>
      </c>
      <c r="B38" s="721"/>
      <c r="C38" s="721"/>
      <c r="D38" s="721"/>
      <c r="E38" s="722"/>
      <c r="F38" s="722"/>
      <c r="G38" s="722"/>
      <c r="H38" s="722"/>
      <c r="I38" s="722"/>
      <c r="J38" s="722"/>
      <c r="K38" s="722"/>
      <c r="L38" s="722"/>
      <c r="M38" s="722"/>
      <c r="N38" s="722"/>
      <c r="O38" s="722"/>
      <c r="P38" s="722"/>
      <c r="Q38" s="723"/>
    </row>
    <row r="39" spans="1:32" ht="30" customHeight="1">
      <c r="A39" s="690"/>
      <c r="B39" s="690"/>
      <c r="C39" s="690"/>
      <c r="D39" s="690"/>
      <c r="E39" s="690"/>
      <c r="F39" s="690"/>
      <c r="G39" s="690"/>
      <c r="H39" s="690"/>
      <c r="I39" s="690"/>
      <c r="J39" s="690"/>
      <c r="K39" s="690"/>
      <c r="L39" s="690"/>
    </row>
    <row r="40" spans="1:32">
      <c r="A40" s="690"/>
      <c r="B40" s="690"/>
      <c r="C40" s="690"/>
      <c r="D40" s="690"/>
      <c r="E40" s="690"/>
      <c r="F40" s="690"/>
      <c r="G40" s="690"/>
      <c r="H40" s="690"/>
      <c r="I40" s="690"/>
      <c r="J40" s="690"/>
      <c r="K40" s="690"/>
      <c r="L40" s="690"/>
    </row>
  </sheetData>
  <mergeCells count="80">
    <mergeCell ref="B8:D8"/>
    <mergeCell ref="J4:J5"/>
    <mergeCell ref="K4:K5"/>
    <mergeCell ref="L4:L5"/>
    <mergeCell ref="M4:M5"/>
    <mergeCell ref="A4:D4"/>
    <mergeCell ref="E4:E5"/>
    <mergeCell ref="F4:F5"/>
    <mergeCell ref="G4:G5"/>
    <mergeCell ref="H4:H5"/>
    <mergeCell ref="I4:I5"/>
    <mergeCell ref="P4:P5"/>
    <mergeCell ref="Q4:Q5"/>
    <mergeCell ref="A5:B5"/>
    <mergeCell ref="A6:D6"/>
    <mergeCell ref="A7:D7"/>
    <mergeCell ref="N4:N5"/>
    <mergeCell ref="O4:O5"/>
    <mergeCell ref="A15:D15"/>
    <mergeCell ref="E15:E16"/>
    <mergeCell ref="F15:F16"/>
    <mergeCell ref="G15:G16"/>
    <mergeCell ref="H15:H16"/>
    <mergeCell ref="A9:D9"/>
    <mergeCell ref="A10:D10"/>
    <mergeCell ref="A11:Q11"/>
    <mergeCell ref="A12:Q12"/>
    <mergeCell ref="P14:Q14"/>
    <mergeCell ref="O15:O16"/>
    <mergeCell ref="P15:P16"/>
    <mergeCell ref="Q15:R16"/>
    <mergeCell ref="A16:B16"/>
    <mergeCell ref="A17:B19"/>
    <mergeCell ref="C17:D17"/>
    <mergeCell ref="Q17:R17"/>
    <mergeCell ref="C18:D18"/>
    <mergeCell ref="Q18:R18"/>
    <mergeCell ref="Q19:R19"/>
    <mergeCell ref="I15:I16"/>
    <mergeCell ref="J15:J16"/>
    <mergeCell ref="K15:K16"/>
    <mergeCell ref="L15:L16"/>
    <mergeCell ref="M15:M16"/>
    <mergeCell ref="N15:N16"/>
    <mergeCell ref="A20:B22"/>
    <mergeCell ref="C20:D20"/>
    <mergeCell ref="Q20:R20"/>
    <mergeCell ref="C21:D21"/>
    <mergeCell ref="Q21:R21"/>
    <mergeCell ref="Q22:R22"/>
    <mergeCell ref="A23:B25"/>
    <mergeCell ref="C23:D23"/>
    <mergeCell ref="Q23:R23"/>
    <mergeCell ref="C24:D24"/>
    <mergeCell ref="Q24:R24"/>
    <mergeCell ref="Q25:R25"/>
    <mergeCell ref="A26:B28"/>
    <mergeCell ref="C26:D26"/>
    <mergeCell ref="Q26:R26"/>
    <mergeCell ref="C27:D27"/>
    <mergeCell ref="Q27:R27"/>
    <mergeCell ref="Q28:R28"/>
    <mergeCell ref="A29:B31"/>
    <mergeCell ref="C29:D29"/>
    <mergeCell ref="Q29:R29"/>
    <mergeCell ref="C30:D30"/>
    <mergeCell ref="Q30:R30"/>
    <mergeCell ref="Q31:R31"/>
    <mergeCell ref="A32:B34"/>
    <mergeCell ref="C32:D32"/>
    <mergeCell ref="Q32:R32"/>
    <mergeCell ref="C33:D33"/>
    <mergeCell ref="Q33:R33"/>
    <mergeCell ref="Q34:R34"/>
    <mergeCell ref="A35:B37"/>
    <mergeCell ref="C35:D35"/>
    <mergeCell ref="Q35:R35"/>
    <mergeCell ref="C36:D36"/>
    <mergeCell ref="Q36:R36"/>
    <mergeCell ref="Q37:R37"/>
  </mergeCells>
  <phoneticPr fontId="3"/>
  <pageMargins left="0.65" right="0.53" top="0.98425196850393704" bottom="0.98425196850393704" header="0.51181102362204722" footer="0.51181102362204722"/>
  <pageSetup paperSize="9" scale="85" orientation="portrait" r:id="rId1"/>
  <headerFooter alignWithMargins="0">
    <oddFooter>&amp;C－17－</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view="pageBreakPreview" topLeftCell="A28" zoomScaleNormal="100" zoomScaleSheetLayoutView="100" workbookViewId="0">
      <selection activeCell="A31" sqref="A31"/>
    </sheetView>
  </sheetViews>
  <sheetFormatPr defaultRowHeight="14.25"/>
  <cols>
    <col min="1" max="1" width="7" style="2" customWidth="1"/>
    <col min="2" max="2" width="6" style="2" customWidth="1"/>
    <col min="3" max="3" width="7.5" style="2" customWidth="1"/>
    <col min="4" max="4" width="8" style="2" customWidth="1"/>
    <col min="5" max="5" width="6" style="2" customWidth="1"/>
    <col min="6" max="6" width="7.5" style="2" customWidth="1"/>
    <col min="7" max="7" width="8" style="2" customWidth="1"/>
    <col min="8" max="8" width="6" style="2" customWidth="1"/>
    <col min="9" max="9" width="7.5" style="2" customWidth="1"/>
    <col min="10" max="10" width="8" style="2" customWidth="1"/>
    <col min="11" max="11" width="6" style="2" customWidth="1"/>
    <col min="12" max="12" width="7.5" style="2" customWidth="1"/>
    <col min="13" max="13" width="8" style="2" customWidth="1"/>
    <col min="14" max="14" width="6" style="2" customWidth="1"/>
    <col min="15" max="15" width="7.5" style="2" customWidth="1"/>
    <col min="16" max="16" width="8" style="2" customWidth="1"/>
    <col min="17" max="17" width="6" style="2" customWidth="1"/>
    <col min="18" max="18" width="7.5" style="2" customWidth="1"/>
    <col min="19" max="19" width="8" style="2" customWidth="1"/>
    <col min="20" max="16384" width="9" style="2"/>
  </cols>
  <sheetData>
    <row r="1" spans="1:30" ht="15">
      <c r="A1" s="70" t="s">
        <v>584</v>
      </c>
    </row>
    <row r="2" spans="1:30" ht="15" thickBot="1">
      <c r="Q2" s="1394" t="s">
        <v>570</v>
      </c>
      <c r="R2" s="1394"/>
      <c r="S2" s="1797"/>
    </row>
    <row r="3" spans="1:30">
      <c r="A3" s="724" t="s">
        <v>585</v>
      </c>
      <c r="B3" s="1798" t="s">
        <v>586</v>
      </c>
      <c r="C3" s="1799"/>
      <c r="D3" s="1800"/>
      <c r="E3" s="1803" t="s">
        <v>587</v>
      </c>
      <c r="F3" s="1519"/>
      <c r="G3" s="1519"/>
      <c r="H3" s="1519"/>
      <c r="I3" s="1519"/>
      <c r="J3" s="1519"/>
      <c r="K3" s="1519"/>
      <c r="L3" s="1519"/>
      <c r="M3" s="1519"/>
      <c r="N3" s="1519"/>
      <c r="O3" s="1519"/>
      <c r="P3" s="1519"/>
      <c r="Q3" s="1519"/>
      <c r="R3" s="1519"/>
      <c r="S3" s="1520"/>
    </row>
    <row r="4" spans="1:30" ht="27" customHeight="1">
      <c r="A4" s="725"/>
      <c r="B4" s="1801"/>
      <c r="C4" s="1533"/>
      <c r="D4" s="1802"/>
      <c r="E4" s="1801" t="s">
        <v>588</v>
      </c>
      <c r="F4" s="1533"/>
      <c r="G4" s="1802"/>
      <c r="H4" s="1801" t="s">
        <v>589</v>
      </c>
      <c r="I4" s="1533"/>
      <c r="J4" s="1802"/>
      <c r="K4" s="1804" t="s">
        <v>590</v>
      </c>
      <c r="L4" s="1805"/>
      <c r="M4" s="1806"/>
      <c r="N4" s="1807" t="s">
        <v>591</v>
      </c>
      <c r="O4" s="1808"/>
      <c r="P4" s="1802"/>
      <c r="Q4" s="1801" t="s">
        <v>331</v>
      </c>
      <c r="R4" s="1533"/>
      <c r="S4" s="1809"/>
    </row>
    <row r="5" spans="1:30" ht="5.25" customHeight="1">
      <c r="A5" s="1793" t="s">
        <v>592</v>
      </c>
      <c r="B5" s="1465" t="s">
        <v>593</v>
      </c>
      <c r="C5" s="1464" t="s">
        <v>594</v>
      </c>
      <c r="D5" s="726"/>
      <c r="E5" s="1465" t="s">
        <v>593</v>
      </c>
      <c r="F5" s="1464" t="s">
        <v>594</v>
      </c>
      <c r="G5" s="726"/>
      <c r="H5" s="1465" t="s">
        <v>593</v>
      </c>
      <c r="I5" s="1464" t="s">
        <v>594</v>
      </c>
      <c r="J5" s="726"/>
      <c r="K5" s="1465" t="s">
        <v>593</v>
      </c>
      <c r="L5" s="1464" t="s">
        <v>594</v>
      </c>
      <c r="M5" s="726"/>
      <c r="N5" s="1465" t="s">
        <v>593</v>
      </c>
      <c r="O5" s="1464" t="s">
        <v>594</v>
      </c>
      <c r="P5" s="726"/>
      <c r="Q5" s="1465" t="s">
        <v>593</v>
      </c>
      <c r="R5" s="1464" t="s">
        <v>594</v>
      </c>
      <c r="S5" s="726"/>
    </row>
    <row r="6" spans="1:30" ht="15" thickBot="1">
      <c r="A6" s="1794"/>
      <c r="B6" s="1795"/>
      <c r="C6" s="1796"/>
      <c r="D6" s="1360" t="s">
        <v>957</v>
      </c>
      <c r="E6" s="1795"/>
      <c r="F6" s="1796"/>
      <c r="G6" s="1360" t="s">
        <v>957</v>
      </c>
      <c r="H6" s="1795"/>
      <c r="I6" s="1796"/>
      <c r="J6" s="1360" t="s">
        <v>957</v>
      </c>
      <c r="K6" s="1795"/>
      <c r="L6" s="1796"/>
      <c r="M6" s="1360" t="s">
        <v>957</v>
      </c>
      <c r="N6" s="1795"/>
      <c r="O6" s="1796"/>
      <c r="P6" s="1360" t="s">
        <v>957</v>
      </c>
      <c r="Q6" s="1795"/>
      <c r="R6" s="1796"/>
      <c r="S6" s="1360" t="s">
        <v>957</v>
      </c>
    </row>
    <row r="7" spans="1:30" ht="20.100000000000001" customHeight="1">
      <c r="A7" s="727" t="s">
        <v>185</v>
      </c>
      <c r="B7" s="728">
        <f t="shared" ref="B7:D30" si="0">E7+H7+K7+N7+Q7</f>
        <v>0</v>
      </c>
      <c r="C7" s="729">
        <f t="shared" si="0"/>
        <v>93</v>
      </c>
      <c r="D7" s="730">
        <f t="shared" si="0"/>
        <v>13</v>
      </c>
      <c r="E7" s="731">
        <v>0</v>
      </c>
      <c r="F7" s="729">
        <v>18</v>
      </c>
      <c r="G7" s="730">
        <v>7</v>
      </c>
      <c r="H7" s="728">
        <v>0</v>
      </c>
      <c r="I7" s="729">
        <v>27</v>
      </c>
      <c r="J7" s="730">
        <v>5</v>
      </c>
      <c r="K7" s="731">
        <v>0</v>
      </c>
      <c r="L7" s="729">
        <v>4</v>
      </c>
      <c r="M7" s="730">
        <v>1</v>
      </c>
      <c r="N7" s="728">
        <v>0</v>
      </c>
      <c r="O7" s="729">
        <v>44</v>
      </c>
      <c r="P7" s="730">
        <v>0</v>
      </c>
      <c r="Q7" s="731">
        <v>0</v>
      </c>
      <c r="R7" s="729">
        <v>0</v>
      </c>
      <c r="S7" s="730">
        <v>0</v>
      </c>
      <c r="AB7" s="2">
        <v>94</v>
      </c>
      <c r="AC7" s="2">
        <v>0</v>
      </c>
      <c r="AD7" s="2">
        <v>0</v>
      </c>
    </row>
    <row r="8" spans="1:30" ht="20.100000000000001" customHeight="1">
      <c r="A8" s="494" t="s">
        <v>187</v>
      </c>
      <c r="B8" s="732">
        <f t="shared" si="0"/>
        <v>0</v>
      </c>
      <c r="C8" s="733">
        <f t="shared" si="0"/>
        <v>54</v>
      </c>
      <c r="D8" s="734">
        <f t="shared" si="0"/>
        <v>12</v>
      </c>
      <c r="E8" s="735">
        <v>0</v>
      </c>
      <c r="F8" s="733">
        <v>17</v>
      </c>
      <c r="G8" s="734">
        <v>6</v>
      </c>
      <c r="H8" s="732">
        <v>0</v>
      </c>
      <c r="I8" s="733">
        <v>25</v>
      </c>
      <c r="J8" s="734">
        <v>5</v>
      </c>
      <c r="K8" s="735">
        <v>0</v>
      </c>
      <c r="L8" s="733">
        <v>1</v>
      </c>
      <c r="M8" s="734">
        <v>0</v>
      </c>
      <c r="N8" s="732">
        <v>0</v>
      </c>
      <c r="O8" s="733">
        <v>11</v>
      </c>
      <c r="P8" s="734">
        <v>1</v>
      </c>
      <c r="Q8" s="735">
        <v>0</v>
      </c>
      <c r="R8" s="733">
        <v>0</v>
      </c>
      <c r="S8" s="734">
        <v>0</v>
      </c>
      <c r="AB8" s="2">
        <v>14</v>
      </c>
      <c r="AC8" s="2">
        <v>0</v>
      </c>
      <c r="AD8" s="2">
        <v>0</v>
      </c>
    </row>
    <row r="9" spans="1:30" ht="20.100000000000001" customHeight="1">
      <c r="A9" s="494" t="s">
        <v>189</v>
      </c>
      <c r="B9" s="732">
        <f t="shared" si="0"/>
        <v>0</v>
      </c>
      <c r="C9" s="733">
        <f t="shared" si="0"/>
        <v>14</v>
      </c>
      <c r="D9" s="734">
        <f t="shared" si="0"/>
        <v>5</v>
      </c>
      <c r="E9" s="735">
        <v>0</v>
      </c>
      <c r="F9" s="733">
        <v>2</v>
      </c>
      <c r="G9" s="734">
        <v>1</v>
      </c>
      <c r="H9" s="732">
        <v>0</v>
      </c>
      <c r="I9" s="733">
        <v>6</v>
      </c>
      <c r="J9" s="734">
        <v>2</v>
      </c>
      <c r="K9" s="735">
        <v>0</v>
      </c>
      <c r="L9" s="733">
        <v>2</v>
      </c>
      <c r="M9" s="734">
        <v>2</v>
      </c>
      <c r="N9" s="732">
        <v>0</v>
      </c>
      <c r="O9" s="733">
        <v>4</v>
      </c>
      <c r="P9" s="734">
        <v>0</v>
      </c>
      <c r="Q9" s="735">
        <v>0</v>
      </c>
      <c r="R9" s="733">
        <v>0</v>
      </c>
      <c r="S9" s="734">
        <v>0</v>
      </c>
      <c r="AB9" s="2">
        <v>25</v>
      </c>
      <c r="AC9" s="2">
        <v>0</v>
      </c>
      <c r="AD9" s="2">
        <v>0</v>
      </c>
    </row>
    <row r="10" spans="1:30" ht="20.100000000000001" customHeight="1">
      <c r="A10" s="494" t="s">
        <v>190</v>
      </c>
      <c r="B10" s="732">
        <f t="shared" si="0"/>
        <v>0</v>
      </c>
      <c r="C10" s="733">
        <f t="shared" si="0"/>
        <v>16</v>
      </c>
      <c r="D10" s="734">
        <f t="shared" si="0"/>
        <v>8</v>
      </c>
      <c r="E10" s="735">
        <v>0</v>
      </c>
      <c r="F10" s="733">
        <v>5</v>
      </c>
      <c r="G10" s="734">
        <v>4</v>
      </c>
      <c r="H10" s="732">
        <v>0</v>
      </c>
      <c r="I10" s="733">
        <v>8</v>
      </c>
      <c r="J10" s="734">
        <v>4</v>
      </c>
      <c r="K10" s="735">
        <v>0</v>
      </c>
      <c r="L10" s="733">
        <v>0</v>
      </c>
      <c r="M10" s="734">
        <v>0</v>
      </c>
      <c r="N10" s="732">
        <v>0</v>
      </c>
      <c r="O10" s="733">
        <v>3</v>
      </c>
      <c r="P10" s="734">
        <v>0</v>
      </c>
      <c r="Q10" s="735">
        <v>0</v>
      </c>
      <c r="R10" s="733">
        <v>0</v>
      </c>
      <c r="S10" s="734">
        <v>0</v>
      </c>
      <c r="AB10" s="2">
        <v>7</v>
      </c>
      <c r="AC10" s="2">
        <v>0</v>
      </c>
      <c r="AD10" s="2">
        <v>0</v>
      </c>
    </row>
    <row r="11" spans="1:30" ht="20.100000000000001" customHeight="1">
      <c r="A11" s="494" t="s">
        <v>192</v>
      </c>
      <c r="B11" s="732">
        <f t="shared" si="0"/>
        <v>0</v>
      </c>
      <c r="C11" s="733">
        <f t="shared" si="0"/>
        <v>71</v>
      </c>
      <c r="D11" s="734">
        <f t="shared" si="0"/>
        <v>19</v>
      </c>
      <c r="E11" s="735">
        <v>0</v>
      </c>
      <c r="F11" s="733">
        <v>13</v>
      </c>
      <c r="G11" s="734">
        <v>7</v>
      </c>
      <c r="H11" s="732">
        <v>0</v>
      </c>
      <c r="I11" s="733">
        <v>21</v>
      </c>
      <c r="J11" s="734">
        <v>10</v>
      </c>
      <c r="K11" s="735">
        <v>0</v>
      </c>
      <c r="L11" s="733">
        <v>6</v>
      </c>
      <c r="M11" s="734">
        <v>1</v>
      </c>
      <c r="N11" s="732">
        <v>0</v>
      </c>
      <c r="O11" s="733">
        <v>31</v>
      </c>
      <c r="P11" s="734">
        <v>1</v>
      </c>
      <c r="Q11" s="735">
        <v>0</v>
      </c>
      <c r="R11" s="733">
        <v>0</v>
      </c>
      <c r="S11" s="734">
        <v>0</v>
      </c>
      <c r="AB11" s="2">
        <v>71</v>
      </c>
      <c r="AC11" s="2">
        <v>0</v>
      </c>
      <c r="AD11" s="2">
        <v>0</v>
      </c>
    </row>
    <row r="12" spans="1:30" ht="20.100000000000001" customHeight="1">
      <c r="A12" s="494" t="s">
        <v>193</v>
      </c>
      <c r="B12" s="732">
        <f t="shared" si="0"/>
        <v>2</v>
      </c>
      <c r="C12" s="733">
        <f t="shared" si="0"/>
        <v>28</v>
      </c>
      <c r="D12" s="734">
        <f t="shared" si="0"/>
        <v>5</v>
      </c>
      <c r="E12" s="735">
        <v>1</v>
      </c>
      <c r="F12" s="733">
        <v>3</v>
      </c>
      <c r="G12" s="734">
        <v>1</v>
      </c>
      <c r="H12" s="732">
        <v>1</v>
      </c>
      <c r="I12" s="733">
        <v>15</v>
      </c>
      <c r="J12" s="734">
        <v>4</v>
      </c>
      <c r="K12" s="735">
        <v>0</v>
      </c>
      <c r="L12" s="733">
        <v>2</v>
      </c>
      <c r="M12" s="734">
        <v>0</v>
      </c>
      <c r="N12" s="732">
        <v>0</v>
      </c>
      <c r="O12" s="733">
        <v>8</v>
      </c>
      <c r="P12" s="734">
        <v>0</v>
      </c>
      <c r="Q12" s="735">
        <v>0</v>
      </c>
      <c r="R12" s="733">
        <v>0</v>
      </c>
      <c r="S12" s="734">
        <v>0</v>
      </c>
      <c r="AB12" s="2">
        <v>29</v>
      </c>
      <c r="AC12" s="2">
        <v>0</v>
      </c>
      <c r="AD12" s="2">
        <v>0</v>
      </c>
    </row>
    <row r="13" spans="1:30" ht="20.100000000000001" customHeight="1">
      <c r="A13" s="494" t="s">
        <v>205</v>
      </c>
      <c r="B13" s="732">
        <f t="shared" si="0"/>
        <v>0</v>
      </c>
      <c r="C13" s="733">
        <f t="shared" si="0"/>
        <v>23</v>
      </c>
      <c r="D13" s="734">
        <f t="shared" si="0"/>
        <v>9</v>
      </c>
      <c r="E13" s="735">
        <v>0</v>
      </c>
      <c r="F13" s="733">
        <v>3</v>
      </c>
      <c r="G13" s="734">
        <v>2</v>
      </c>
      <c r="H13" s="732">
        <v>0</v>
      </c>
      <c r="I13" s="733">
        <v>11</v>
      </c>
      <c r="J13" s="734">
        <v>5</v>
      </c>
      <c r="K13" s="735">
        <v>0</v>
      </c>
      <c r="L13" s="733">
        <v>1</v>
      </c>
      <c r="M13" s="734">
        <v>1</v>
      </c>
      <c r="N13" s="732">
        <v>0</v>
      </c>
      <c r="O13" s="733">
        <v>8</v>
      </c>
      <c r="P13" s="734">
        <v>1</v>
      </c>
      <c r="Q13" s="735">
        <v>0</v>
      </c>
      <c r="R13" s="733">
        <v>0</v>
      </c>
      <c r="S13" s="734">
        <v>0</v>
      </c>
      <c r="AB13" s="2">
        <v>15</v>
      </c>
      <c r="AC13" s="2">
        <v>0</v>
      </c>
      <c r="AD13" s="2">
        <v>0</v>
      </c>
    </row>
    <row r="14" spans="1:30" ht="20.100000000000001" customHeight="1">
      <c r="A14" s="494" t="s">
        <v>595</v>
      </c>
      <c r="B14" s="732">
        <f t="shared" si="0"/>
        <v>0</v>
      </c>
      <c r="C14" s="733">
        <f t="shared" si="0"/>
        <v>19</v>
      </c>
      <c r="D14" s="734">
        <f t="shared" si="0"/>
        <v>7</v>
      </c>
      <c r="E14" s="735">
        <v>0</v>
      </c>
      <c r="F14" s="733">
        <v>1</v>
      </c>
      <c r="G14" s="734">
        <v>1</v>
      </c>
      <c r="H14" s="732">
        <v>0</v>
      </c>
      <c r="I14" s="733">
        <v>9</v>
      </c>
      <c r="J14" s="734">
        <v>3</v>
      </c>
      <c r="K14" s="735">
        <v>0</v>
      </c>
      <c r="L14" s="733">
        <v>1</v>
      </c>
      <c r="M14" s="734">
        <v>0</v>
      </c>
      <c r="N14" s="732">
        <v>0</v>
      </c>
      <c r="O14" s="733">
        <v>8</v>
      </c>
      <c r="P14" s="734">
        <v>3</v>
      </c>
      <c r="Q14" s="735">
        <v>0</v>
      </c>
      <c r="R14" s="733">
        <v>0</v>
      </c>
      <c r="S14" s="734">
        <v>0</v>
      </c>
      <c r="AB14" s="2">
        <v>6</v>
      </c>
      <c r="AC14" s="2">
        <v>0</v>
      </c>
      <c r="AD14" s="2">
        <v>0</v>
      </c>
    </row>
    <row r="15" spans="1:30" ht="20.100000000000001" customHeight="1">
      <c r="A15" s="494" t="s">
        <v>207</v>
      </c>
      <c r="B15" s="732">
        <f t="shared" si="0"/>
        <v>1</v>
      </c>
      <c r="C15" s="733">
        <f t="shared" si="0"/>
        <v>52</v>
      </c>
      <c r="D15" s="734">
        <f t="shared" si="0"/>
        <v>8</v>
      </c>
      <c r="E15" s="735">
        <v>1</v>
      </c>
      <c r="F15" s="733">
        <v>6</v>
      </c>
      <c r="G15" s="734">
        <v>3</v>
      </c>
      <c r="H15" s="732">
        <v>0</v>
      </c>
      <c r="I15" s="733">
        <v>21</v>
      </c>
      <c r="J15" s="734">
        <v>4</v>
      </c>
      <c r="K15" s="735">
        <v>0</v>
      </c>
      <c r="L15" s="733">
        <v>5</v>
      </c>
      <c r="M15" s="734">
        <v>1</v>
      </c>
      <c r="N15" s="732">
        <v>0</v>
      </c>
      <c r="O15" s="733">
        <v>20</v>
      </c>
      <c r="P15" s="734">
        <v>0</v>
      </c>
      <c r="Q15" s="735">
        <v>0</v>
      </c>
      <c r="R15" s="733">
        <v>0</v>
      </c>
      <c r="S15" s="734">
        <v>0</v>
      </c>
      <c r="AB15" s="2">
        <v>32</v>
      </c>
      <c r="AC15" s="2">
        <v>0</v>
      </c>
      <c r="AD15" s="2">
        <v>0</v>
      </c>
    </row>
    <row r="16" spans="1:30" ht="20.100000000000001" customHeight="1">
      <c r="A16" s="494" t="s">
        <v>208</v>
      </c>
      <c r="B16" s="732">
        <f t="shared" si="0"/>
        <v>1</v>
      </c>
      <c r="C16" s="733">
        <f t="shared" si="0"/>
        <v>36</v>
      </c>
      <c r="D16" s="734">
        <f t="shared" si="0"/>
        <v>3</v>
      </c>
      <c r="E16" s="735">
        <v>1</v>
      </c>
      <c r="F16" s="733">
        <v>9</v>
      </c>
      <c r="G16" s="734">
        <v>2</v>
      </c>
      <c r="H16" s="732">
        <v>0</v>
      </c>
      <c r="I16" s="733">
        <v>8</v>
      </c>
      <c r="J16" s="734">
        <v>1</v>
      </c>
      <c r="K16" s="735">
        <v>0</v>
      </c>
      <c r="L16" s="733">
        <v>1</v>
      </c>
      <c r="M16" s="734">
        <v>0</v>
      </c>
      <c r="N16" s="732">
        <v>0</v>
      </c>
      <c r="O16" s="733">
        <v>18</v>
      </c>
      <c r="P16" s="734">
        <v>0</v>
      </c>
      <c r="Q16" s="735">
        <v>0</v>
      </c>
      <c r="R16" s="733">
        <v>0</v>
      </c>
      <c r="S16" s="734">
        <v>0</v>
      </c>
      <c r="AB16" s="2">
        <v>47</v>
      </c>
      <c r="AC16" s="2">
        <v>0</v>
      </c>
      <c r="AD16" s="2">
        <v>0</v>
      </c>
    </row>
    <row r="17" spans="1:30" ht="20.100000000000001" customHeight="1">
      <c r="A17" s="494" t="s">
        <v>596</v>
      </c>
      <c r="B17" s="732">
        <f t="shared" si="0"/>
        <v>0</v>
      </c>
      <c r="C17" s="733">
        <f t="shared" si="0"/>
        <v>27</v>
      </c>
      <c r="D17" s="734">
        <f t="shared" si="0"/>
        <v>8</v>
      </c>
      <c r="E17" s="735">
        <v>0</v>
      </c>
      <c r="F17" s="733">
        <v>7</v>
      </c>
      <c r="G17" s="734">
        <v>3</v>
      </c>
      <c r="H17" s="732">
        <v>0</v>
      </c>
      <c r="I17" s="733">
        <v>13</v>
      </c>
      <c r="J17" s="734">
        <v>4</v>
      </c>
      <c r="K17" s="735">
        <v>0</v>
      </c>
      <c r="L17" s="733">
        <v>3</v>
      </c>
      <c r="M17" s="734">
        <v>1</v>
      </c>
      <c r="N17" s="732">
        <v>0</v>
      </c>
      <c r="O17" s="733">
        <v>4</v>
      </c>
      <c r="P17" s="734">
        <v>0</v>
      </c>
      <c r="Q17" s="735">
        <v>0</v>
      </c>
      <c r="R17" s="733">
        <v>0</v>
      </c>
      <c r="S17" s="734">
        <v>0</v>
      </c>
      <c r="AB17" s="2">
        <v>15</v>
      </c>
      <c r="AC17" s="2">
        <v>0</v>
      </c>
      <c r="AD17" s="2">
        <v>0</v>
      </c>
    </row>
    <row r="18" spans="1:30" ht="20.100000000000001" customHeight="1">
      <c r="A18" s="494" t="s">
        <v>210</v>
      </c>
      <c r="B18" s="732">
        <f t="shared" si="0"/>
        <v>1</v>
      </c>
      <c r="C18" s="733">
        <f t="shared" si="0"/>
        <v>79</v>
      </c>
      <c r="D18" s="734">
        <f t="shared" si="0"/>
        <v>22</v>
      </c>
      <c r="E18" s="735">
        <v>0</v>
      </c>
      <c r="F18" s="733">
        <v>16</v>
      </c>
      <c r="G18" s="734">
        <v>5</v>
      </c>
      <c r="H18" s="732">
        <v>0</v>
      </c>
      <c r="I18" s="733">
        <v>49</v>
      </c>
      <c r="J18" s="734">
        <v>15</v>
      </c>
      <c r="K18" s="735">
        <v>0</v>
      </c>
      <c r="L18" s="733">
        <v>3</v>
      </c>
      <c r="M18" s="734">
        <v>1</v>
      </c>
      <c r="N18" s="732">
        <v>1</v>
      </c>
      <c r="O18" s="733">
        <v>11</v>
      </c>
      <c r="P18" s="734">
        <v>1</v>
      </c>
      <c r="Q18" s="735">
        <v>0</v>
      </c>
      <c r="R18" s="733">
        <v>0</v>
      </c>
      <c r="S18" s="734">
        <v>0</v>
      </c>
      <c r="AB18" s="2">
        <v>40</v>
      </c>
      <c r="AC18" s="2">
        <v>0</v>
      </c>
      <c r="AD18" s="2">
        <v>0</v>
      </c>
    </row>
    <row r="19" spans="1:30" ht="20.100000000000001" customHeight="1">
      <c r="A19" s="494" t="s">
        <v>597</v>
      </c>
      <c r="B19" s="732">
        <f t="shared" si="0"/>
        <v>4</v>
      </c>
      <c r="C19" s="733">
        <f t="shared" si="0"/>
        <v>79</v>
      </c>
      <c r="D19" s="734">
        <f t="shared" si="0"/>
        <v>22</v>
      </c>
      <c r="E19" s="735">
        <v>3</v>
      </c>
      <c r="F19" s="733">
        <v>16</v>
      </c>
      <c r="G19" s="734">
        <v>11</v>
      </c>
      <c r="H19" s="732">
        <v>1</v>
      </c>
      <c r="I19" s="733">
        <v>45</v>
      </c>
      <c r="J19" s="734">
        <v>10</v>
      </c>
      <c r="K19" s="735">
        <v>0</v>
      </c>
      <c r="L19" s="733">
        <v>4</v>
      </c>
      <c r="M19" s="734">
        <v>1</v>
      </c>
      <c r="N19" s="732">
        <v>0</v>
      </c>
      <c r="O19" s="733">
        <v>14</v>
      </c>
      <c r="P19" s="734">
        <v>0</v>
      </c>
      <c r="Q19" s="735">
        <v>0</v>
      </c>
      <c r="R19" s="733">
        <v>0</v>
      </c>
      <c r="S19" s="734">
        <v>0</v>
      </c>
      <c r="AB19" s="2">
        <v>35</v>
      </c>
      <c r="AC19" s="2">
        <v>0</v>
      </c>
      <c r="AD19" s="2">
        <v>0</v>
      </c>
    </row>
    <row r="20" spans="1:30" ht="20.100000000000001" customHeight="1">
      <c r="A20" s="494" t="s">
        <v>213</v>
      </c>
      <c r="B20" s="732">
        <f t="shared" si="0"/>
        <v>0</v>
      </c>
      <c r="C20" s="733">
        <f t="shared" si="0"/>
        <v>51</v>
      </c>
      <c r="D20" s="734">
        <f t="shared" si="0"/>
        <v>9</v>
      </c>
      <c r="E20" s="735">
        <v>0</v>
      </c>
      <c r="F20" s="733">
        <v>7</v>
      </c>
      <c r="G20" s="734">
        <v>5</v>
      </c>
      <c r="H20" s="732">
        <v>0</v>
      </c>
      <c r="I20" s="733">
        <v>24</v>
      </c>
      <c r="J20" s="734">
        <v>4</v>
      </c>
      <c r="K20" s="735">
        <v>0</v>
      </c>
      <c r="L20" s="733">
        <v>7</v>
      </c>
      <c r="M20" s="734">
        <v>0</v>
      </c>
      <c r="N20" s="732">
        <v>0</v>
      </c>
      <c r="O20" s="733">
        <v>13</v>
      </c>
      <c r="P20" s="734">
        <v>0</v>
      </c>
      <c r="Q20" s="735">
        <v>0</v>
      </c>
      <c r="R20" s="733">
        <v>0</v>
      </c>
      <c r="S20" s="734">
        <v>0</v>
      </c>
      <c r="AB20" s="2">
        <v>23</v>
      </c>
      <c r="AC20" s="2">
        <v>0</v>
      </c>
      <c r="AD20" s="2">
        <v>0</v>
      </c>
    </row>
    <row r="21" spans="1:30" ht="20.100000000000001" customHeight="1">
      <c r="A21" s="494" t="s">
        <v>215</v>
      </c>
      <c r="B21" s="732">
        <f t="shared" si="0"/>
        <v>0</v>
      </c>
      <c r="C21" s="733">
        <f t="shared" si="0"/>
        <v>61</v>
      </c>
      <c r="D21" s="734">
        <f t="shared" si="0"/>
        <v>14</v>
      </c>
      <c r="E21" s="735">
        <v>0</v>
      </c>
      <c r="F21" s="733">
        <v>4</v>
      </c>
      <c r="G21" s="734">
        <v>2</v>
      </c>
      <c r="H21" s="732">
        <v>0</v>
      </c>
      <c r="I21" s="733">
        <v>36</v>
      </c>
      <c r="J21" s="734">
        <v>11</v>
      </c>
      <c r="K21" s="735">
        <v>0</v>
      </c>
      <c r="L21" s="733">
        <v>7</v>
      </c>
      <c r="M21" s="734">
        <v>1</v>
      </c>
      <c r="N21" s="732">
        <v>0</v>
      </c>
      <c r="O21" s="733">
        <v>14</v>
      </c>
      <c r="P21" s="734">
        <v>0</v>
      </c>
      <c r="Q21" s="735">
        <v>0</v>
      </c>
      <c r="R21" s="733">
        <v>0</v>
      </c>
      <c r="S21" s="734">
        <v>0</v>
      </c>
      <c r="AB21" s="2">
        <v>23</v>
      </c>
      <c r="AC21" s="2">
        <v>0</v>
      </c>
      <c r="AD21" s="2">
        <v>0</v>
      </c>
    </row>
    <row r="22" spans="1:30" ht="20.100000000000001" customHeight="1">
      <c r="A22" s="494" t="s">
        <v>216</v>
      </c>
      <c r="B22" s="732">
        <f t="shared" si="0"/>
        <v>0</v>
      </c>
      <c r="C22" s="733">
        <f t="shared" si="0"/>
        <v>33</v>
      </c>
      <c r="D22" s="734">
        <f t="shared" si="0"/>
        <v>5</v>
      </c>
      <c r="E22" s="735">
        <v>0</v>
      </c>
      <c r="F22" s="733">
        <v>4</v>
      </c>
      <c r="G22" s="734">
        <v>0</v>
      </c>
      <c r="H22" s="732">
        <v>0</v>
      </c>
      <c r="I22" s="733">
        <v>20</v>
      </c>
      <c r="J22" s="734">
        <v>4</v>
      </c>
      <c r="K22" s="735">
        <v>0</v>
      </c>
      <c r="L22" s="733">
        <v>1</v>
      </c>
      <c r="M22" s="734">
        <v>1</v>
      </c>
      <c r="N22" s="732">
        <v>0</v>
      </c>
      <c r="O22" s="733">
        <v>8</v>
      </c>
      <c r="P22" s="734">
        <v>0</v>
      </c>
      <c r="Q22" s="735">
        <v>0</v>
      </c>
      <c r="R22" s="733">
        <v>0</v>
      </c>
      <c r="S22" s="734">
        <v>0</v>
      </c>
      <c r="AB22" s="2">
        <v>16</v>
      </c>
      <c r="AC22" s="2">
        <v>0</v>
      </c>
      <c r="AD22" s="2">
        <v>0</v>
      </c>
    </row>
    <row r="23" spans="1:30" ht="20.100000000000001" customHeight="1">
      <c r="A23" s="494" t="s">
        <v>217</v>
      </c>
      <c r="B23" s="732">
        <f t="shared" si="0"/>
        <v>0</v>
      </c>
      <c r="C23" s="733">
        <f t="shared" si="0"/>
        <v>56</v>
      </c>
      <c r="D23" s="734">
        <f t="shared" si="0"/>
        <v>11</v>
      </c>
      <c r="E23" s="735">
        <v>0</v>
      </c>
      <c r="F23" s="733">
        <v>11</v>
      </c>
      <c r="G23" s="734">
        <v>1</v>
      </c>
      <c r="H23" s="732">
        <v>0</v>
      </c>
      <c r="I23" s="733">
        <v>36</v>
      </c>
      <c r="J23" s="734">
        <v>10</v>
      </c>
      <c r="K23" s="735">
        <v>0</v>
      </c>
      <c r="L23" s="733">
        <v>0</v>
      </c>
      <c r="M23" s="734">
        <v>0</v>
      </c>
      <c r="N23" s="732">
        <v>0</v>
      </c>
      <c r="O23" s="733">
        <v>9</v>
      </c>
      <c r="P23" s="734">
        <v>0</v>
      </c>
      <c r="Q23" s="735">
        <v>0</v>
      </c>
      <c r="R23" s="733">
        <v>0</v>
      </c>
      <c r="S23" s="734">
        <v>0</v>
      </c>
      <c r="AB23" s="2">
        <v>28</v>
      </c>
      <c r="AC23" s="2">
        <v>0</v>
      </c>
      <c r="AD23" s="2">
        <v>0</v>
      </c>
    </row>
    <row r="24" spans="1:30" ht="20.100000000000001" customHeight="1">
      <c r="A24" s="494" t="s">
        <v>218</v>
      </c>
      <c r="B24" s="732">
        <f t="shared" si="0"/>
        <v>1</v>
      </c>
      <c r="C24" s="733">
        <f t="shared" si="0"/>
        <v>31</v>
      </c>
      <c r="D24" s="734">
        <f t="shared" si="0"/>
        <v>8</v>
      </c>
      <c r="E24" s="735">
        <v>0</v>
      </c>
      <c r="F24" s="733">
        <v>5</v>
      </c>
      <c r="G24" s="734">
        <v>3</v>
      </c>
      <c r="H24" s="732">
        <v>0</v>
      </c>
      <c r="I24" s="733">
        <v>19</v>
      </c>
      <c r="J24" s="734">
        <v>5</v>
      </c>
      <c r="K24" s="735">
        <v>1</v>
      </c>
      <c r="L24" s="733">
        <v>2</v>
      </c>
      <c r="M24" s="734">
        <v>0</v>
      </c>
      <c r="N24" s="732">
        <v>0</v>
      </c>
      <c r="O24" s="733">
        <v>5</v>
      </c>
      <c r="P24" s="734">
        <v>0</v>
      </c>
      <c r="Q24" s="735">
        <v>0</v>
      </c>
      <c r="R24" s="733">
        <v>0</v>
      </c>
      <c r="S24" s="734">
        <v>0</v>
      </c>
      <c r="AB24" s="2">
        <v>23</v>
      </c>
      <c r="AC24" s="2">
        <v>0</v>
      </c>
      <c r="AD24" s="2">
        <v>0</v>
      </c>
    </row>
    <row r="25" spans="1:30" ht="20.100000000000001" customHeight="1">
      <c r="A25" s="494" t="s">
        <v>219</v>
      </c>
      <c r="B25" s="732">
        <f t="shared" si="0"/>
        <v>0</v>
      </c>
      <c r="C25" s="733">
        <f t="shared" si="0"/>
        <v>38</v>
      </c>
      <c r="D25" s="734">
        <f t="shared" si="0"/>
        <v>10</v>
      </c>
      <c r="E25" s="735">
        <v>0</v>
      </c>
      <c r="F25" s="733">
        <v>8</v>
      </c>
      <c r="G25" s="734">
        <v>4</v>
      </c>
      <c r="H25" s="732">
        <v>0</v>
      </c>
      <c r="I25" s="733">
        <v>18</v>
      </c>
      <c r="J25" s="734">
        <v>4</v>
      </c>
      <c r="K25" s="735">
        <v>0</v>
      </c>
      <c r="L25" s="733">
        <v>4</v>
      </c>
      <c r="M25" s="734">
        <v>2</v>
      </c>
      <c r="N25" s="732">
        <v>0</v>
      </c>
      <c r="O25" s="733">
        <v>8</v>
      </c>
      <c r="P25" s="734">
        <v>0</v>
      </c>
      <c r="Q25" s="735">
        <v>0</v>
      </c>
      <c r="R25" s="733">
        <v>0</v>
      </c>
      <c r="S25" s="734">
        <v>0</v>
      </c>
      <c r="AB25" s="2">
        <v>19</v>
      </c>
      <c r="AC25" s="2">
        <v>0</v>
      </c>
      <c r="AD25" s="2">
        <v>0</v>
      </c>
    </row>
    <row r="26" spans="1:30" ht="20.100000000000001" customHeight="1">
      <c r="A26" s="494" t="s">
        <v>220</v>
      </c>
      <c r="B26" s="732">
        <f t="shared" si="0"/>
        <v>1</v>
      </c>
      <c r="C26" s="733">
        <f t="shared" si="0"/>
        <v>44</v>
      </c>
      <c r="D26" s="734">
        <f t="shared" si="0"/>
        <v>14</v>
      </c>
      <c r="E26" s="735">
        <v>0</v>
      </c>
      <c r="F26" s="733">
        <v>12</v>
      </c>
      <c r="G26" s="734">
        <v>7</v>
      </c>
      <c r="H26" s="732">
        <v>0</v>
      </c>
      <c r="I26" s="733">
        <v>18</v>
      </c>
      <c r="J26" s="734">
        <v>5</v>
      </c>
      <c r="K26" s="735">
        <v>1</v>
      </c>
      <c r="L26" s="733">
        <v>2</v>
      </c>
      <c r="M26" s="734">
        <v>2</v>
      </c>
      <c r="N26" s="732">
        <v>0</v>
      </c>
      <c r="O26" s="733">
        <v>12</v>
      </c>
      <c r="P26" s="734">
        <v>0</v>
      </c>
      <c r="Q26" s="735">
        <v>0</v>
      </c>
      <c r="R26" s="733">
        <v>0</v>
      </c>
      <c r="S26" s="734">
        <v>0</v>
      </c>
      <c r="AB26" s="2">
        <v>33</v>
      </c>
      <c r="AC26" s="2">
        <v>0</v>
      </c>
      <c r="AD26" s="2">
        <v>0</v>
      </c>
    </row>
    <row r="27" spans="1:30" ht="20.100000000000001" customHeight="1">
      <c r="A27" s="494" t="s">
        <v>221</v>
      </c>
      <c r="B27" s="732">
        <f t="shared" si="0"/>
        <v>0</v>
      </c>
      <c r="C27" s="733">
        <f t="shared" si="0"/>
        <v>86</v>
      </c>
      <c r="D27" s="734">
        <f t="shared" si="0"/>
        <v>22</v>
      </c>
      <c r="E27" s="735">
        <v>0</v>
      </c>
      <c r="F27" s="733">
        <v>15</v>
      </c>
      <c r="G27" s="734">
        <v>5</v>
      </c>
      <c r="H27" s="732">
        <v>0</v>
      </c>
      <c r="I27" s="733">
        <v>58</v>
      </c>
      <c r="J27" s="734">
        <v>14</v>
      </c>
      <c r="K27" s="735">
        <v>0</v>
      </c>
      <c r="L27" s="733">
        <v>4</v>
      </c>
      <c r="M27" s="734">
        <v>2</v>
      </c>
      <c r="N27" s="732">
        <v>0</v>
      </c>
      <c r="O27" s="733">
        <v>9</v>
      </c>
      <c r="P27" s="734">
        <v>1</v>
      </c>
      <c r="Q27" s="735">
        <v>0</v>
      </c>
      <c r="R27" s="733">
        <v>0</v>
      </c>
      <c r="S27" s="734">
        <v>0</v>
      </c>
      <c r="AB27" s="2">
        <v>34</v>
      </c>
      <c r="AC27" s="2">
        <v>0</v>
      </c>
      <c r="AD27" s="2">
        <v>0</v>
      </c>
    </row>
    <row r="28" spans="1:30" ht="20.100000000000001" customHeight="1">
      <c r="A28" s="494" t="s">
        <v>598</v>
      </c>
      <c r="B28" s="732">
        <f t="shared" si="0"/>
        <v>0</v>
      </c>
      <c r="C28" s="733">
        <f t="shared" si="0"/>
        <v>35</v>
      </c>
      <c r="D28" s="734">
        <f t="shared" si="0"/>
        <v>11</v>
      </c>
      <c r="E28" s="735">
        <v>0</v>
      </c>
      <c r="F28" s="733">
        <v>5</v>
      </c>
      <c r="G28" s="734">
        <v>2</v>
      </c>
      <c r="H28" s="732">
        <v>0</v>
      </c>
      <c r="I28" s="733">
        <v>19</v>
      </c>
      <c r="J28" s="734">
        <v>8</v>
      </c>
      <c r="K28" s="735">
        <v>0</v>
      </c>
      <c r="L28" s="733">
        <v>1</v>
      </c>
      <c r="M28" s="734">
        <v>1</v>
      </c>
      <c r="N28" s="732">
        <v>0</v>
      </c>
      <c r="O28" s="733">
        <v>10</v>
      </c>
      <c r="P28" s="734">
        <v>0</v>
      </c>
      <c r="Q28" s="735">
        <v>0</v>
      </c>
      <c r="R28" s="733">
        <v>0</v>
      </c>
      <c r="S28" s="734">
        <v>0</v>
      </c>
      <c r="AB28" s="2">
        <v>23</v>
      </c>
      <c r="AC28" s="2">
        <v>0</v>
      </c>
      <c r="AD28" s="2">
        <v>0</v>
      </c>
    </row>
    <row r="29" spans="1:30" ht="20.100000000000001" customHeight="1">
      <c r="A29" s="494" t="s">
        <v>223</v>
      </c>
      <c r="B29" s="732">
        <f t="shared" si="0"/>
        <v>3</v>
      </c>
      <c r="C29" s="733">
        <f t="shared" si="0"/>
        <v>122</v>
      </c>
      <c r="D29" s="734">
        <f t="shared" si="0"/>
        <v>21</v>
      </c>
      <c r="E29" s="735">
        <v>1</v>
      </c>
      <c r="F29" s="733">
        <v>15</v>
      </c>
      <c r="G29" s="734">
        <v>7</v>
      </c>
      <c r="H29" s="732">
        <v>0</v>
      </c>
      <c r="I29" s="733">
        <v>75</v>
      </c>
      <c r="J29" s="734">
        <v>11</v>
      </c>
      <c r="K29" s="735">
        <v>0</v>
      </c>
      <c r="L29" s="733">
        <v>7</v>
      </c>
      <c r="M29" s="734">
        <v>3</v>
      </c>
      <c r="N29" s="732">
        <v>2</v>
      </c>
      <c r="O29" s="733">
        <v>25</v>
      </c>
      <c r="P29" s="734">
        <v>0</v>
      </c>
      <c r="Q29" s="735">
        <v>0</v>
      </c>
      <c r="R29" s="733">
        <v>0</v>
      </c>
      <c r="S29" s="734">
        <v>0</v>
      </c>
      <c r="AB29" s="2">
        <v>71</v>
      </c>
      <c r="AC29" s="2">
        <v>0</v>
      </c>
      <c r="AD29" s="2">
        <v>0</v>
      </c>
    </row>
    <row r="30" spans="1:30" ht="20.100000000000001" customHeight="1" thickBot="1">
      <c r="A30" s="736" t="s">
        <v>224</v>
      </c>
      <c r="B30" s="737">
        <f t="shared" si="0"/>
        <v>3</v>
      </c>
      <c r="C30" s="738">
        <f t="shared" si="0"/>
        <v>52</v>
      </c>
      <c r="D30" s="739">
        <f t="shared" si="0"/>
        <v>11</v>
      </c>
      <c r="E30" s="740">
        <v>1</v>
      </c>
      <c r="F30" s="741">
        <v>14</v>
      </c>
      <c r="G30" s="739">
        <v>7</v>
      </c>
      <c r="H30" s="737">
        <v>1</v>
      </c>
      <c r="I30" s="738">
        <v>23</v>
      </c>
      <c r="J30" s="739">
        <v>4</v>
      </c>
      <c r="K30" s="740">
        <v>0</v>
      </c>
      <c r="L30" s="741">
        <v>0</v>
      </c>
      <c r="M30" s="739">
        <v>0</v>
      </c>
      <c r="N30" s="737">
        <v>1</v>
      </c>
      <c r="O30" s="738">
        <v>15</v>
      </c>
      <c r="P30" s="739">
        <v>0</v>
      </c>
      <c r="Q30" s="740">
        <v>0</v>
      </c>
      <c r="R30" s="741">
        <v>0</v>
      </c>
      <c r="S30" s="739">
        <v>0</v>
      </c>
      <c r="AB30" s="2">
        <v>26</v>
      </c>
      <c r="AC30" s="2">
        <v>0</v>
      </c>
      <c r="AD30" s="2">
        <v>0</v>
      </c>
    </row>
    <row r="31" spans="1:30" ht="20.100000000000001" customHeight="1" thickBot="1">
      <c r="A31" s="486" t="s">
        <v>599</v>
      </c>
      <c r="B31" s="742">
        <f t="shared" ref="B31:S31" si="1">SUM(B7:B30)</f>
        <v>17</v>
      </c>
      <c r="C31" s="743">
        <f t="shared" si="1"/>
        <v>1200</v>
      </c>
      <c r="D31" s="744">
        <f t="shared" si="1"/>
        <v>277</v>
      </c>
      <c r="E31" s="745">
        <f t="shared" si="1"/>
        <v>8</v>
      </c>
      <c r="F31" s="746">
        <f t="shared" si="1"/>
        <v>216</v>
      </c>
      <c r="G31" s="744">
        <f t="shared" si="1"/>
        <v>96</v>
      </c>
      <c r="H31" s="745">
        <f t="shared" si="1"/>
        <v>3</v>
      </c>
      <c r="I31" s="746">
        <f t="shared" si="1"/>
        <v>604</v>
      </c>
      <c r="J31" s="744">
        <f t="shared" si="1"/>
        <v>152</v>
      </c>
      <c r="K31" s="747">
        <f t="shared" si="1"/>
        <v>2</v>
      </c>
      <c r="L31" s="746">
        <f t="shared" si="1"/>
        <v>68</v>
      </c>
      <c r="M31" s="744">
        <f t="shared" si="1"/>
        <v>21</v>
      </c>
      <c r="N31" s="745">
        <f t="shared" si="1"/>
        <v>4</v>
      </c>
      <c r="O31" s="746">
        <f t="shared" si="1"/>
        <v>312</v>
      </c>
      <c r="P31" s="744">
        <f t="shared" si="1"/>
        <v>8</v>
      </c>
      <c r="Q31" s="747">
        <f t="shared" si="1"/>
        <v>0</v>
      </c>
      <c r="R31" s="746">
        <f t="shared" si="1"/>
        <v>0</v>
      </c>
      <c r="S31" s="744">
        <f t="shared" si="1"/>
        <v>0</v>
      </c>
    </row>
    <row r="32" spans="1:30">
      <c r="A32" s="482" t="s">
        <v>368</v>
      </c>
      <c r="B32" s="43" t="s">
        <v>600</v>
      </c>
      <c r="C32" s="43"/>
      <c r="D32" s="43"/>
    </row>
    <row r="33" spans="1:5" ht="15" thickBot="1">
      <c r="A33" s="458"/>
    </row>
    <row r="34" spans="1:5" ht="15" thickBot="1">
      <c r="E34" s="745">
        <f>SUM(E10:E33)</f>
        <v>16</v>
      </c>
    </row>
  </sheetData>
  <mergeCells count="21">
    <mergeCell ref="H5:H6"/>
    <mergeCell ref="Q2:S2"/>
    <mergeCell ref="B3:D4"/>
    <mergeCell ref="E3:S3"/>
    <mergeCell ref="E4:G4"/>
    <mergeCell ref="H4:J4"/>
    <mergeCell ref="K4:M4"/>
    <mergeCell ref="N4:P4"/>
    <mergeCell ref="Q4:S4"/>
    <mergeCell ref="R5:R6"/>
    <mergeCell ref="I5:I6"/>
    <mergeCell ref="K5:K6"/>
    <mergeCell ref="L5:L6"/>
    <mergeCell ref="N5:N6"/>
    <mergeCell ref="O5:O6"/>
    <mergeCell ref="Q5:Q6"/>
    <mergeCell ref="A5:A6"/>
    <mergeCell ref="B5:B6"/>
    <mergeCell ref="C5:C6"/>
    <mergeCell ref="E5:E6"/>
    <mergeCell ref="F5:F6"/>
  </mergeCells>
  <phoneticPr fontId="3"/>
  <pageMargins left="0.70866141732283472" right="0.59055118110236227" top="0.98425196850393704" bottom="0.98425196850393704" header="0.51181102362204722" footer="0.51181102362204722"/>
  <pageSetup paperSize="9" scale="65" orientation="portrait" r:id="rId1"/>
  <headerFooter alignWithMargins="0">
    <oddFooter>&amp;C－18－</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A27" sqref="A27"/>
    </sheetView>
  </sheetViews>
  <sheetFormatPr defaultRowHeight="14.25"/>
  <cols>
    <col min="1" max="1" width="2.625" style="2" customWidth="1"/>
    <col min="2" max="2" width="3" style="2" customWidth="1"/>
    <col min="3" max="3" width="30.5" style="2" customWidth="1"/>
    <col min="4" max="6" width="13.125" style="2" customWidth="1"/>
    <col min="7" max="7" width="14.875" style="2" customWidth="1"/>
    <col min="8" max="16384" width="9" style="2"/>
  </cols>
  <sheetData>
    <row r="1" spans="1:7" ht="15">
      <c r="A1" s="70" t="s">
        <v>601</v>
      </c>
    </row>
    <row r="2" spans="1:7" ht="15" thickBot="1">
      <c r="A2" s="7"/>
      <c r="B2" s="7"/>
      <c r="C2" s="7"/>
      <c r="D2" s="7"/>
      <c r="E2" s="7"/>
      <c r="F2" s="7"/>
    </row>
    <row r="3" spans="1:7" ht="6.75" customHeight="1" thickBot="1">
      <c r="A3" s="1810" t="s">
        <v>602</v>
      </c>
      <c r="B3" s="1811"/>
      <c r="C3" s="1812"/>
      <c r="D3" s="1546" t="s">
        <v>603</v>
      </c>
      <c r="E3" s="1817" t="s">
        <v>604</v>
      </c>
      <c r="F3" s="1818" t="s">
        <v>605</v>
      </c>
      <c r="G3" s="748"/>
    </row>
    <row r="4" spans="1:7" ht="20.25" customHeight="1" thickBot="1">
      <c r="A4" s="1813"/>
      <c r="B4" s="1814"/>
      <c r="C4" s="1815"/>
      <c r="D4" s="1816"/>
      <c r="E4" s="1816"/>
      <c r="F4" s="1816"/>
      <c r="G4" s="1334" t="s">
        <v>926</v>
      </c>
    </row>
    <row r="5" spans="1:7" ht="20.100000000000001" customHeight="1">
      <c r="A5" s="488"/>
      <c r="B5" s="605" t="s">
        <v>497</v>
      </c>
      <c r="C5" s="586"/>
      <c r="D5" s="749">
        <v>3</v>
      </c>
      <c r="E5" s="750">
        <v>2</v>
      </c>
      <c r="F5" s="750">
        <v>1</v>
      </c>
      <c r="G5" s="750">
        <v>1</v>
      </c>
    </row>
    <row r="6" spans="1:7" ht="20.100000000000001" customHeight="1">
      <c r="A6" s="473"/>
      <c r="B6" s="584" t="s">
        <v>499</v>
      </c>
      <c r="C6" s="608"/>
      <c r="D6" s="751">
        <v>0</v>
      </c>
      <c r="E6" s="752">
        <v>0</v>
      </c>
      <c r="F6" s="752">
        <v>0</v>
      </c>
      <c r="G6" s="752">
        <v>0</v>
      </c>
    </row>
    <row r="7" spans="1:7" ht="20.100000000000001" customHeight="1">
      <c r="A7" s="473"/>
      <c r="B7" s="1819" t="s">
        <v>606</v>
      </c>
      <c r="C7" s="608" t="s">
        <v>607</v>
      </c>
      <c r="D7" s="751">
        <v>0</v>
      </c>
      <c r="E7" s="752">
        <v>0</v>
      </c>
      <c r="F7" s="752">
        <v>0</v>
      </c>
      <c r="G7" s="752">
        <v>0</v>
      </c>
    </row>
    <row r="8" spans="1:7" ht="20.100000000000001" customHeight="1">
      <c r="A8" s="475" t="s">
        <v>522</v>
      </c>
      <c r="B8" s="1819"/>
      <c r="C8" s="608" t="s">
        <v>608</v>
      </c>
      <c r="D8" s="751">
        <v>0</v>
      </c>
      <c r="E8" s="752">
        <v>0</v>
      </c>
      <c r="F8" s="752">
        <v>0</v>
      </c>
      <c r="G8" s="752">
        <v>0</v>
      </c>
    </row>
    <row r="9" spans="1:7" ht="20.100000000000001" customHeight="1">
      <c r="A9" s="475"/>
      <c r="B9" s="1819"/>
      <c r="C9" s="608" t="s">
        <v>609</v>
      </c>
      <c r="D9" s="751">
        <v>0</v>
      </c>
      <c r="E9" s="752">
        <v>0</v>
      </c>
      <c r="F9" s="752">
        <v>0</v>
      </c>
      <c r="G9" s="752">
        <v>0</v>
      </c>
    </row>
    <row r="10" spans="1:7" ht="20.100000000000001" customHeight="1">
      <c r="A10" s="475" t="s">
        <v>526</v>
      </c>
      <c r="B10" s="1819"/>
      <c r="C10" s="608" t="s">
        <v>610</v>
      </c>
      <c r="D10" s="751">
        <v>0</v>
      </c>
      <c r="E10" s="752">
        <v>0</v>
      </c>
      <c r="F10" s="752">
        <v>0</v>
      </c>
      <c r="G10" s="752">
        <v>0</v>
      </c>
    </row>
    <row r="11" spans="1:7" ht="20.100000000000001" customHeight="1">
      <c r="A11" s="475"/>
      <c r="B11" s="1819"/>
      <c r="C11" s="608" t="s">
        <v>611</v>
      </c>
      <c r="D11" s="751">
        <v>1</v>
      </c>
      <c r="E11" s="752">
        <v>1</v>
      </c>
      <c r="F11" s="752">
        <v>0</v>
      </c>
      <c r="G11" s="752">
        <v>0</v>
      </c>
    </row>
    <row r="12" spans="1:7" ht="20.100000000000001" customHeight="1">
      <c r="A12" s="473" t="s">
        <v>612</v>
      </c>
      <c r="B12" s="584" t="s">
        <v>613</v>
      </c>
      <c r="C12" s="608"/>
      <c r="D12" s="751">
        <v>0</v>
      </c>
      <c r="E12" s="752">
        <v>0</v>
      </c>
      <c r="F12" s="752">
        <v>0</v>
      </c>
      <c r="G12" s="752">
        <v>0</v>
      </c>
    </row>
    <row r="13" spans="1:7" ht="20.100000000000001" customHeight="1">
      <c r="A13" s="473"/>
      <c r="B13" s="584" t="s">
        <v>530</v>
      </c>
      <c r="C13" s="608"/>
      <c r="D13" s="751">
        <v>0</v>
      </c>
      <c r="E13" s="752">
        <v>0</v>
      </c>
      <c r="F13" s="752">
        <v>0</v>
      </c>
      <c r="G13" s="752">
        <v>0</v>
      </c>
    </row>
    <row r="14" spans="1:7" ht="20.100000000000001" customHeight="1">
      <c r="A14" s="473"/>
      <c r="B14" s="584" t="s">
        <v>531</v>
      </c>
      <c r="C14" s="608"/>
      <c r="D14" s="751">
        <v>0</v>
      </c>
      <c r="E14" s="752">
        <v>0</v>
      </c>
      <c r="F14" s="752">
        <v>0</v>
      </c>
      <c r="G14" s="752">
        <v>0</v>
      </c>
    </row>
    <row r="15" spans="1:7" ht="20.100000000000001" customHeight="1" thickBot="1">
      <c r="A15" s="473"/>
      <c r="B15" s="584" t="s">
        <v>331</v>
      </c>
      <c r="C15" s="608"/>
      <c r="D15" s="751">
        <v>2</v>
      </c>
      <c r="E15" s="752">
        <v>0</v>
      </c>
      <c r="F15" s="752">
        <v>3</v>
      </c>
      <c r="G15" s="752">
        <v>1</v>
      </c>
    </row>
    <row r="16" spans="1:7" ht="20.100000000000001" customHeight="1">
      <c r="A16" s="484"/>
      <c r="B16" s="605" t="s">
        <v>497</v>
      </c>
      <c r="C16" s="586"/>
      <c r="D16" s="749">
        <v>10</v>
      </c>
      <c r="E16" s="750">
        <v>2</v>
      </c>
      <c r="F16" s="750">
        <v>10</v>
      </c>
      <c r="G16" s="750">
        <v>4</v>
      </c>
    </row>
    <row r="17" spans="1:7" ht="20.100000000000001" customHeight="1">
      <c r="A17" s="475" t="s">
        <v>614</v>
      </c>
      <c r="B17" s="584" t="s">
        <v>499</v>
      </c>
      <c r="C17" s="608"/>
      <c r="D17" s="751">
        <v>0</v>
      </c>
      <c r="E17" s="752">
        <v>0</v>
      </c>
      <c r="F17" s="752">
        <v>0</v>
      </c>
      <c r="G17" s="752">
        <v>0</v>
      </c>
    </row>
    <row r="18" spans="1:7" ht="20.100000000000001" customHeight="1">
      <c r="A18" s="475" t="s">
        <v>615</v>
      </c>
      <c r="B18" s="584" t="s">
        <v>616</v>
      </c>
      <c r="C18" s="608"/>
      <c r="D18" s="751">
        <v>0</v>
      </c>
      <c r="E18" s="752">
        <v>0</v>
      </c>
      <c r="F18" s="752">
        <v>0</v>
      </c>
      <c r="G18" s="752">
        <v>0</v>
      </c>
    </row>
    <row r="19" spans="1:7" ht="20.100000000000001" customHeight="1">
      <c r="A19" s="475" t="s">
        <v>500</v>
      </c>
      <c r="B19" s="584" t="s">
        <v>617</v>
      </c>
      <c r="C19" s="608"/>
      <c r="D19" s="751">
        <v>0</v>
      </c>
      <c r="E19" s="752">
        <v>0</v>
      </c>
      <c r="F19" s="752">
        <v>0</v>
      </c>
      <c r="G19" s="752">
        <v>0</v>
      </c>
    </row>
    <row r="20" spans="1:7" ht="20.100000000000001" customHeight="1">
      <c r="A20" s="475" t="s">
        <v>618</v>
      </c>
      <c r="B20" s="584" t="s">
        <v>619</v>
      </c>
      <c r="C20" s="608"/>
      <c r="D20" s="751">
        <v>0</v>
      </c>
      <c r="E20" s="752">
        <v>0</v>
      </c>
      <c r="F20" s="752">
        <v>0</v>
      </c>
      <c r="G20" s="752">
        <v>0</v>
      </c>
    </row>
    <row r="21" spans="1:7" ht="20.100000000000001" customHeight="1">
      <c r="A21" s="475" t="s">
        <v>620</v>
      </c>
      <c r="B21" s="584" t="s">
        <v>621</v>
      </c>
      <c r="C21" s="608"/>
      <c r="D21" s="751">
        <v>0</v>
      </c>
      <c r="E21" s="752">
        <v>0</v>
      </c>
      <c r="F21" s="752">
        <v>0</v>
      </c>
      <c r="G21" s="752">
        <v>0</v>
      </c>
    </row>
    <row r="22" spans="1:7" ht="20.100000000000001" customHeight="1">
      <c r="A22" s="475" t="s">
        <v>612</v>
      </c>
      <c r="B22" s="584" t="s">
        <v>511</v>
      </c>
      <c r="C22" s="608"/>
      <c r="D22" s="751">
        <v>5</v>
      </c>
      <c r="E22" s="752">
        <v>0</v>
      </c>
      <c r="F22" s="752">
        <v>5</v>
      </c>
      <c r="G22" s="752">
        <v>1</v>
      </c>
    </row>
    <row r="23" spans="1:7" ht="20.100000000000001" customHeight="1">
      <c r="A23" s="475"/>
      <c r="B23" s="584" t="s">
        <v>622</v>
      </c>
      <c r="C23" s="608"/>
      <c r="D23" s="751">
        <v>4</v>
      </c>
      <c r="E23" s="752">
        <v>1</v>
      </c>
      <c r="F23" s="752">
        <v>3</v>
      </c>
      <c r="G23" s="752">
        <v>0</v>
      </c>
    </row>
    <row r="24" spans="1:7" ht="20.100000000000001" customHeight="1">
      <c r="A24" s="475"/>
      <c r="B24" s="584" t="s">
        <v>520</v>
      </c>
      <c r="C24" s="608"/>
      <c r="D24" s="751">
        <v>37</v>
      </c>
      <c r="E24" s="752">
        <v>0</v>
      </c>
      <c r="F24" s="752">
        <v>41</v>
      </c>
      <c r="G24" s="752">
        <v>17</v>
      </c>
    </row>
    <row r="25" spans="1:7" ht="20.100000000000001" customHeight="1" thickBot="1">
      <c r="A25" s="475"/>
      <c r="B25" s="613" t="s">
        <v>331</v>
      </c>
      <c r="C25" s="611"/>
      <c r="D25" s="753">
        <v>22</v>
      </c>
      <c r="E25" s="754">
        <v>0</v>
      </c>
      <c r="F25" s="754">
        <v>23</v>
      </c>
      <c r="G25" s="754">
        <v>7</v>
      </c>
    </row>
    <row r="26" spans="1:7" ht="20.100000000000001" customHeight="1" thickBot="1">
      <c r="A26" s="562" t="s">
        <v>623</v>
      </c>
      <c r="B26" s="755"/>
      <c r="C26" s="573"/>
      <c r="D26" s="756">
        <v>1394</v>
      </c>
      <c r="E26" s="757">
        <v>5</v>
      </c>
      <c r="F26" s="757">
        <v>1551</v>
      </c>
      <c r="G26" s="757">
        <v>125</v>
      </c>
    </row>
    <row r="27" spans="1:7" ht="20.100000000000001" customHeight="1" thickBot="1">
      <c r="A27" s="1339" t="s">
        <v>998</v>
      </c>
      <c r="B27" s="590"/>
      <c r="C27" s="590"/>
      <c r="D27" s="758">
        <f>SUM(D5:D26)</f>
        <v>1478</v>
      </c>
      <c r="E27" s="757">
        <f>SUM(E5:E26)</f>
        <v>11</v>
      </c>
      <c r="F27" s="758">
        <f>SUM(F5:F26)</f>
        <v>1637</v>
      </c>
      <c r="G27" s="758">
        <f>SUM(G5:G26)</f>
        <v>156</v>
      </c>
    </row>
    <row r="28" spans="1:7">
      <c r="A28" s="1526" t="s">
        <v>368</v>
      </c>
      <c r="B28" s="1526"/>
      <c r="C28" s="483" t="s">
        <v>624</v>
      </c>
    </row>
  </sheetData>
  <mergeCells count="6">
    <mergeCell ref="A28:B28"/>
    <mergeCell ref="A3:C4"/>
    <mergeCell ref="D3:D4"/>
    <mergeCell ref="E3:E4"/>
    <mergeCell ref="F3:F4"/>
    <mergeCell ref="B7:B11"/>
  </mergeCells>
  <phoneticPr fontId="3"/>
  <pageMargins left="1.29" right="0.77" top="0.98425196850393704" bottom="0.98425196850393704" header="0.51181102362204722" footer="0.51181102362204722"/>
  <pageSetup paperSize="9" scale="89" orientation="portrait" r:id="rId1"/>
  <headerFooter alignWithMargins="0">
    <oddFooter>&amp;C－19－</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5"/>
  <sheetViews>
    <sheetView view="pageBreakPreview" zoomScaleNormal="100" zoomScaleSheetLayoutView="100" workbookViewId="0">
      <selection activeCell="J11" sqref="J11"/>
    </sheetView>
  </sheetViews>
  <sheetFormatPr defaultRowHeight="14.25"/>
  <cols>
    <col min="1" max="1" width="1.625" style="2" customWidth="1"/>
    <col min="2" max="2" width="13.625" style="2" customWidth="1"/>
    <col min="3" max="3" width="6.625" style="2" customWidth="1"/>
    <col min="4" max="13" width="6.25" style="2" customWidth="1"/>
    <col min="14" max="14" width="6.375" style="2" customWidth="1"/>
    <col min="15" max="15" width="7.125" style="2" customWidth="1"/>
    <col min="16" max="17" width="9" style="2"/>
    <col min="18" max="18" width="4.375" style="2" customWidth="1"/>
    <col min="19" max="19" width="5.625" style="2" customWidth="1"/>
    <col min="20" max="20" width="5.25" style="2" customWidth="1"/>
    <col min="21" max="21" width="6" style="2" customWidth="1"/>
    <col min="22" max="23" width="5.75" style="2" customWidth="1"/>
    <col min="24" max="24" width="5.625" style="2" customWidth="1"/>
    <col min="25" max="26" width="5.5" style="2" customWidth="1"/>
    <col min="27" max="27" width="5.375" style="2" customWidth="1"/>
    <col min="28" max="28" width="5.625" style="2" customWidth="1"/>
    <col min="29" max="29" width="5.75" style="2" customWidth="1"/>
    <col min="30" max="30" width="5.5" style="2" customWidth="1"/>
    <col min="31" max="16384" width="9" style="2"/>
  </cols>
  <sheetData>
    <row r="1" spans="1:44" ht="15">
      <c r="A1" s="759" t="s">
        <v>625</v>
      </c>
      <c r="B1" s="759"/>
      <c r="C1" s="690"/>
      <c r="D1" s="690"/>
      <c r="E1" s="690"/>
      <c r="F1" s="690"/>
      <c r="G1" s="690"/>
      <c r="H1" s="690"/>
      <c r="I1" s="690"/>
      <c r="J1" s="690"/>
      <c r="K1" s="690"/>
    </row>
    <row r="2" spans="1:44">
      <c r="A2" s="690"/>
      <c r="B2" s="690"/>
      <c r="C2" s="690"/>
      <c r="D2" s="690"/>
      <c r="E2" s="690"/>
      <c r="F2" s="690"/>
      <c r="G2" s="690"/>
      <c r="H2" s="690"/>
      <c r="I2" s="690"/>
      <c r="J2" s="690"/>
      <c r="K2" s="690"/>
    </row>
    <row r="3" spans="1:44" ht="15.75" thickBot="1">
      <c r="A3" s="70" t="s">
        <v>626</v>
      </c>
      <c r="B3" s="70"/>
      <c r="C3" s="690"/>
      <c r="D3" s="690"/>
      <c r="E3" s="690"/>
      <c r="F3" s="690"/>
      <c r="G3" s="690"/>
      <c r="H3" s="690"/>
      <c r="I3" s="690"/>
      <c r="J3" s="690"/>
      <c r="K3" s="690"/>
    </row>
    <row r="4" spans="1:44">
      <c r="A4" s="1548" t="s">
        <v>356</v>
      </c>
      <c r="B4" s="1828"/>
      <c r="C4" s="1791" t="s">
        <v>549</v>
      </c>
      <c r="D4" s="1708" t="s">
        <v>551</v>
      </c>
      <c r="E4" s="1708" t="s">
        <v>552</v>
      </c>
      <c r="F4" s="1708" t="s">
        <v>553</v>
      </c>
      <c r="G4" s="1708" t="s">
        <v>554</v>
      </c>
      <c r="H4" s="1708" t="s">
        <v>555</v>
      </c>
      <c r="I4" s="1708" t="s">
        <v>556</v>
      </c>
      <c r="J4" s="1708" t="s">
        <v>557</v>
      </c>
      <c r="K4" s="1708" t="s">
        <v>558</v>
      </c>
      <c r="L4" s="1708" t="s">
        <v>627</v>
      </c>
      <c r="M4" s="1827" t="s">
        <v>955</v>
      </c>
      <c r="N4" s="1824" t="s">
        <v>956</v>
      </c>
      <c r="P4" s="3"/>
      <c r="Q4" s="760" t="s">
        <v>628</v>
      </c>
      <c r="R4" s="761">
        <v>1</v>
      </c>
      <c r="S4" s="762">
        <v>2</v>
      </c>
      <c r="T4" s="762">
        <v>3</v>
      </c>
      <c r="U4" s="762">
        <v>4</v>
      </c>
      <c r="V4" s="762">
        <v>5</v>
      </c>
      <c r="W4" s="762">
        <v>6</v>
      </c>
      <c r="X4" s="762">
        <v>7</v>
      </c>
      <c r="Y4" s="762">
        <v>8</v>
      </c>
      <c r="Z4" s="762">
        <v>9</v>
      </c>
      <c r="AA4" s="762">
        <v>10</v>
      </c>
      <c r="AB4" s="762">
        <v>11</v>
      </c>
      <c r="AC4" s="763">
        <v>12</v>
      </c>
      <c r="AD4" s="764" t="s">
        <v>629</v>
      </c>
      <c r="AF4" s="761">
        <v>1</v>
      </c>
      <c r="AG4" s="762">
        <v>2</v>
      </c>
      <c r="AH4" s="762">
        <v>3</v>
      </c>
      <c r="AI4" s="762">
        <v>4</v>
      </c>
      <c r="AJ4" s="762">
        <v>5</v>
      </c>
      <c r="AK4" s="762">
        <v>6</v>
      </c>
      <c r="AL4" s="762">
        <v>7</v>
      </c>
      <c r="AM4" s="762">
        <v>8</v>
      </c>
      <c r="AN4" s="762">
        <v>9</v>
      </c>
      <c r="AO4" s="762">
        <v>10</v>
      </c>
      <c r="AP4" s="762">
        <v>11</v>
      </c>
      <c r="AQ4" s="763">
        <v>12</v>
      </c>
      <c r="AR4" s="764" t="s">
        <v>629</v>
      </c>
    </row>
    <row r="5" spans="1:44" ht="15" thickBot="1">
      <c r="A5" s="1826" t="s">
        <v>362</v>
      </c>
      <c r="B5" s="1797"/>
      <c r="C5" s="1792"/>
      <c r="D5" s="1783"/>
      <c r="E5" s="1783"/>
      <c r="F5" s="1783"/>
      <c r="G5" s="1783"/>
      <c r="H5" s="1783"/>
      <c r="I5" s="1783"/>
      <c r="J5" s="1783"/>
      <c r="K5" s="1783"/>
      <c r="L5" s="1783"/>
      <c r="M5" s="1783"/>
      <c r="N5" s="1825"/>
      <c r="P5" s="765" t="s">
        <v>630</v>
      </c>
      <c r="Q5" s="9"/>
      <c r="R5" s="766"/>
      <c r="S5" s="141"/>
      <c r="T5" s="141"/>
      <c r="U5" s="141"/>
      <c r="V5" s="141"/>
      <c r="W5" s="141"/>
      <c r="X5" s="141"/>
      <c r="Y5" s="141"/>
      <c r="Z5" s="141"/>
      <c r="AA5" s="141"/>
      <c r="AB5" s="141"/>
      <c r="AC5" s="767"/>
      <c r="AD5" s="53"/>
      <c r="AF5" s="766"/>
      <c r="AG5" s="141"/>
      <c r="AH5" s="141"/>
      <c r="AI5" s="141"/>
      <c r="AJ5" s="141"/>
      <c r="AK5" s="141"/>
      <c r="AL5" s="141"/>
      <c r="AM5" s="141"/>
      <c r="AN5" s="141"/>
      <c r="AO5" s="141"/>
      <c r="AP5" s="141"/>
      <c r="AQ5" s="767"/>
      <c r="AR5" s="53"/>
    </row>
    <row r="6" spans="1:44">
      <c r="A6" s="1646" t="s">
        <v>561</v>
      </c>
      <c r="B6" s="1417"/>
      <c r="C6" s="691">
        <v>42</v>
      </c>
      <c r="D6" s="768">
        <v>1</v>
      </c>
      <c r="E6" s="692">
        <v>1</v>
      </c>
      <c r="F6" s="693">
        <v>2</v>
      </c>
      <c r="G6" s="769">
        <v>0</v>
      </c>
      <c r="H6" s="769">
        <v>2</v>
      </c>
      <c r="I6" s="769">
        <v>0</v>
      </c>
      <c r="J6" s="769">
        <v>3</v>
      </c>
      <c r="K6" s="770">
        <v>0</v>
      </c>
      <c r="L6" s="771">
        <v>1</v>
      </c>
      <c r="M6" s="769">
        <v>0</v>
      </c>
      <c r="N6" s="772">
        <v>1</v>
      </c>
      <c r="P6" s="773" t="s">
        <v>631</v>
      </c>
      <c r="Q6" s="49" t="s">
        <v>632</v>
      </c>
      <c r="R6" s="72">
        <f>'[1]★２１ページ子ども（年齢別）'!C5</f>
        <v>0</v>
      </c>
      <c r="S6" s="72">
        <f>'[1]★２１ページ子ども（年齢別）'!D5</f>
        <v>0</v>
      </c>
      <c r="T6" s="72">
        <f>'[1]★２１ページ子ども（年齢別）'!E5</f>
        <v>0</v>
      </c>
      <c r="U6" s="72">
        <f>'[1]★２１ページ子ども（年齢別）'!F5</f>
        <v>0</v>
      </c>
      <c r="V6" s="72">
        <f>'[1]★２１ページ子ども（年齢別）'!G5</f>
        <v>0</v>
      </c>
      <c r="W6" s="72">
        <f>'[1]★２１ページ子ども（年齢別）'!H5</f>
        <v>0</v>
      </c>
      <c r="X6" s="72">
        <f>'[1]★２１ページ子ども（年齢別）'!I5</f>
        <v>0</v>
      </c>
      <c r="Y6" s="72">
        <v>1</v>
      </c>
      <c r="Z6" s="72">
        <f>'[1]★２１ページ子ども（年齢別）'!K5</f>
        <v>0</v>
      </c>
      <c r="AA6" s="72">
        <f>'[1]★２１ページ子ども（年齢別）'!L5</f>
        <v>0</v>
      </c>
      <c r="AB6" s="72">
        <f>'[1]★２１ページ子ども（年齢別）'!M5</f>
        <v>0</v>
      </c>
      <c r="AC6" s="72">
        <f>'[1]★２１ページ子ども（年齢別）'!N5</f>
        <v>0</v>
      </c>
      <c r="AD6" s="774">
        <f t="shared" ref="AD6:AD20" si="0">SUM(R6:AC6)</f>
        <v>1</v>
      </c>
      <c r="AF6" s="72" t="e">
        <f>'[1]★２１ページ子ども（年齢別）'!Q5</f>
        <v>#REF!</v>
      </c>
      <c r="AG6" s="72" t="e">
        <f>'[1]★２１ページ子ども（年齢別）'!R5</f>
        <v>#REF!</v>
      </c>
      <c r="AH6" s="72" t="e">
        <f>'[1]★２１ページ子ども（年齢別）'!S5</f>
        <v>#REF!</v>
      </c>
      <c r="AI6" s="72" t="e">
        <f>'[1]★２１ページ子ども（年齢別）'!T5</f>
        <v>#REF!</v>
      </c>
      <c r="AJ6" s="72" t="e">
        <f>'[1]★２１ページ子ども（年齢別）'!U5</f>
        <v>#REF!</v>
      </c>
      <c r="AK6" s="72" t="e">
        <f>'[1]★２１ページ子ども（年齢別）'!V5</f>
        <v>#REF!</v>
      </c>
      <c r="AL6" s="72" t="e">
        <f>'[1]★２１ページ子ども（年齢別）'!W5</f>
        <v>#REF!</v>
      </c>
      <c r="AM6" s="72" t="e">
        <f>'[1]★２１ページ子ども（年齢別）'!X5</f>
        <v>#REF!</v>
      </c>
      <c r="AN6" s="72" t="e">
        <f>'[1]★２１ページ子ども（年齢別）'!Y5</f>
        <v>#REF!</v>
      </c>
      <c r="AO6" s="72" t="e">
        <f>'[1]★２１ページ子ども（年齢別）'!Z5</f>
        <v>#REF!</v>
      </c>
      <c r="AP6" s="72" t="e">
        <f>'[1]★２１ページ子ども（年齢別）'!AA5</f>
        <v>#REF!</v>
      </c>
      <c r="AQ6" s="72" t="e">
        <f>'[1]★２１ページ子ども（年齢別）'!AB5</f>
        <v>#REF!</v>
      </c>
      <c r="AR6" s="774" t="e">
        <f t="shared" ref="AR6:AR20" si="1">SUM(AF6:AQ6)</f>
        <v>#REF!</v>
      </c>
    </row>
    <row r="7" spans="1:44">
      <c r="A7" s="1788" t="s">
        <v>562</v>
      </c>
      <c r="B7" s="1433"/>
      <c r="C7" s="112">
        <v>3913</v>
      </c>
      <c r="D7" s="83">
        <v>872</v>
      </c>
      <c r="E7" s="775">
        <v>818</v>
      </c>
      <c r="F7" s="82">
        <v>705</v>
      </c>
      <c r="G7" s="776">
        <v>634</v>
      </c>
      <c r="H7" s="776">
        <v>661</v>
      </c>
      <c r="I7" s="776">
        <v>615</v>
      </c>
      <c r="J7" s="776">
        <v>588</v>
      </c>
      <c r="K7" s="777">
        <v>547</v>
      </c>
      <c r="L7" s="778">
        <v>399</v>
      </c>
      <c r="M7" s="776">
        <v>426</v>
      </c>
      <c r="N7" s="779">
        <v>381</v>
      </c>
      <c r="P7" s="780" t="s">
        <v>633</v>
      </c>
      <c r="Q7" s="57" t="s">
        <v>632</v>
      </c>
      <c r="R7" s="781">
        <f>'[1]★２１ページ子ども（年齢別）'!C8</f>
        <v>0</v>
      </c>
      <c r="S7" s="781">
        <f>'[1]★２１ページ子ども（年齢別）'!D8</f>
        <v>0</v>
      </c>
      <c r="T7" s="781">
        <f>'[1]★２１ページ子ども（年齢別）'!E8</f>
        <v>0</v>
      </c>
      <c r="U7" s="781">
        <f>'[1]★２１ページ子ども（年齢別）'!F8</f>
        <v>0</v>
      </c>
      <c r="V7" s="781">
        <f>'[1]★２１ページ子ども（年齢別）'!G8</f>
        <v>0</v>
      </c>
      <c r="W7" s="781">
        <f>'[1]★２１ページ子ども（年齢別）'!H8</f>
        <v>0</v>
      </c>
      <c r="X7" s="781">
        <f>'[1]★２１ページ子ども（年齢別）'!I8</f>
        <v>0</v>
      </c>
      <c r="Y7" s="781">
        <f>'[1]★２１ページ子ども（年齢別）'!J8</f>
        <v>0</v>
      </c>
      <c r="Z7" s="781">
        <f>'[1]★２１ページ子ども（年齢別）'!K8</f>
        <v>0</v>
      </c>
      <c r="AA7" s="781">
        <f>'[1]★２１ページ子ども（年齢別）'!L8</f>
        <v>0</v>
      </c>
      <c r="AB7" s="781">
        <f>'[1]★２１ページ子ども（年齢別）'!M8</f>
        <v>0</v>
      </c>
      <c r="AC7" s="781">
        <f>'[1]★２１ページ子ども（年齢別）'!N8</f>
        <v>0</v>
      </c>
      <c r="AD7" s="782">
        <f t="shared" si="0"/>
        <v>0</v>
      </c>
      <c r="AF7" s="781" t="e">
        <f>'[1]★２１ページ子ども（年齢別）'!Q8</f>
        <v>#REF!</v>
      </c>
      <c r="AG7" s="781" t="e">
        <f>'[1]★２１ページ子ども（年齢別）'!R8</f>
        <v>#REF!</v>
      </c>
      <c r="AH7" s="781" t="e">
        <f>'[1]★２１ページ子ども（年齢別）'!S8</f>
        <v>#REF!</v>
      </c>
      <c r="AI7" s="781" t="e">
        <f>'[1]★２１ページ子ども（年齢別）'!T8</f>
        <v>#REF!</v>
      </c>
      <c r="AJ7" s="781" t="e">
        <f>'[1]★２１ページ子ども（年齢別）'!U8</f>
        <v>#REF!</v>
      </c>
      <c r="AK7" s="781" t="e">
        <f>'[1]★２１ページ子ども（年齢別）'!V8</f>
        <v>#REF!</v>
      </c>
      <c r="AL7" s="781" t="e">
        <f>'[1]★２１ページ子ども（年齢別）'!W8</f>
        <v>#REF!</v>
      </c>
      <c r="AM7" s="781" t="e">
        <f>'[1]★２１ページ子ども（年齢別）'!X8</f>
        <v>#REF!</v>
      </c>
      <c r="AN7" s="781" t="e">
        <f>'[1]★２１ページ子ども（年齢別）'!Y8</f>
        <v>#REF!</v>
      </c>
      <c r="AO7" s="781" t="e">
        <f>'[1]★２１ページ子ども（年齢別）'!Z8</f>
        <v>#REF!</v>
      </c>
      <c r="AP7" s="781" t="e">
        <f>'[1]★２１ページ子ども（年齢別）'!AA8</f>
        <v>#REF!</v>
      </c>
      <c r="AQ7" s="781" t="e">
        <f>'[1]★２１ページ子ども（年齢別）'!AB8</f>
        <v>#REF!</v>
      </c>
      <c r="AR7" s="782" t="e">
        <f t="shared" si="1"/>
        <v>#REF!</v>
      </c>
    </row>
    <row r="8" spans="1:44">
      <c r="A8" s="783"/>
      <c r="B8" s="1345" t="s">
        <v>928</v>
      </c>
      <c r="C8" s="697" t="s">
        <v>15</v>
      </c>
      <c r="D8" s="784" t="s">
        <v>634</v>
      </c>
      <c r="E8" s="700" t="s">
        <v>634</v>
      </c>
      <c r="F8" s="785" t="s">
        <v>634</v>
      </c>
      <c r="G8" s="786" t="s">
        <v>634</v>
      </c>
      <c r="H8" s="786" t="s">
        <v>634</v>
      </c>
      <c r="I8" s="786" t="s">
        <v>634</v>
      </c>
      <c r="J8" s="776">
        <v>33</v>
      </c>
      <c r="K8" s="777">
        <v>22</v>
      </c>
      <c r="L8" s="778">
        <v>27</v>
      </c>
      <c r="M8" s="776">
        <v>26</v>
      </c>
      <c r="N8" s="779">
        <v>11</v>
      </c>
      <c r="P8" s="780" t="s">
        <v>635</v>
      </c>
      <c r="Q8" s="57" t="s">
        <v>632</v>
      </c>
      <c r="R8" s="781">
        <f>'[1]★２１ページ子ども（年齢別）'!C11</f>
        <v>0</v>
      </c>
      <c r="S8" s="781">
        <f>'[1]★２１ページ子ども（年齢別）'!D11</f>
        <v>0</v>
      </c>
      <c r="T8" s="781">
        <f>'[1]★２１ページ子ども（年齢別）'!E11</f>
        <v>0</v>
      </c>
      <c r="U8" s="781">
        <f>'[1]★２１ページ子ども（年齢別）'!F11</f>
        <v>0</v>
      </c>
      <c r="V8" s="781">
        <f>'[1]★２１ページ子ども（年齢別）'!G11</f>
        <v>0</v>
      </c>
      <c r="W8" s="781">
        <f>'[1]★２１ページ子ども（年齢別）'!H11</f>
        <v>0</v>
      </c>
      <c r="X8" s="781">
        <f>'[1]★２１ページ子ども（年齢別）'!I11</f>
        <v>0</v>
      </c>
      <c r="Y8" s="781">
        <f>'[1]★２１ページ子ども（年齢別）'!J11</f>
        <v>0</v>
      </c>
      <c r="Z8" s="781">
        <f>'[1]★２１ページ子ども（年齢別）'!K11</f>
        <v>0</v>
      </c>
      <c r="AA8" s="781">
        <f>'[1]★２１ページ子ども（年齢別）'!L11</f>
        <v>0</v>
      </c>
      <c r="AB8" s="781">
        <f>'[1]★２１ページ子ども（年齢別）'!M11</f>
        <v>0</v>
      </c>
      <c r="AC8" s="781">
        <f>'[1]★２１ページ子ども（年齢別）'!N11</f>
        <v>0</v>
      </c>
      <c r="AD8" s="782">
        <f t="shared" si="0"/>
        <v>0</v>
      </c>
      <c r="AF8" s="781" t="e">
        <f>'[1]★２１ページ子ども（年齢別）'!Q11</f>
        <v>#REF!</v>
      </c>
      <c r="AG8" s="781" t="e">
        <f>'[1]★２１ページ子ども（年齢別）'!R11</f>
        <v>#REF!</v>
      </c>
      <c r="AH8" s="781" t="e">
        <f>'[1]★２１ページ子ども（年齢別）'!S11</f>
        <v>#REF!</v>
      </c>
      <c r="AI8" s="781" t="e">
        <f>'[1]★２１ページ子ども（年齢別）'!T11</f>
        <v>#REF!</v>
      </c>
      <c r="AJ8" s="781" t="e">
        <f>'[1]★２１ページ子ども（年齢別）'!U11</f>
        <v>#REF!</v>
      </c>
      <c r="AK8" s="781" t="e">
        <f>'[1]★２１ページ子ども（年齢別）'!V11</f>
        <v>#REF!</v>
      </c>
      <c r="AL8" s="781" t="e">
        <f>'[1]★２１ページ子ども（年齢別）'!W11</f>
        <v>#REF!</v>
      </c>
      <c r="AM8" s="781" t="e">
        <f>'[1]★２１ページ子ども（年齢別）'!X11</f>
        <v>#REF!</v>
      </c>
      <c r="AN8" s="781" t="e">
        <f>'[1]★２１ページ子ども（年齢別）'!Y11</f>
        <v>#REF!</v>
      </c>
      <c r="AO8" s="781" t="e">
        <f>'[1]★２１ページ子ども（年齢別）'!Z11</f>
        <v>#REF!</v>
      </c>
      <c r="AP8" s="781" t="e">
        <f>'[1]★２１ページ子ども（年齢別）'!AA11</f>
        <v>#REF!</v>
      </c>
      <c r="AQ8" s="781" t="e">
        <f>'[1]★２１ページ子ども（年齢別）'!AB11</f>
        <v>#REF!</v>
      </c>
      <c r="AR8" s="782" t="e">
        <f t="shared" si="1"/>
        <v>#REF!</v>
      </c>
    </row>
    <row r="9" spans="1:44">
      <c r="A9" s="1630" t="s">
        <v>565</v>
      </c>
      <c r="B9" s="1433"/>
      <c r="C9" s="108">
        <v>280</v>
      </c>
      <c r="D9" s="86">
        <v>51</v>
      </c>
      <c r="E9" s="703">
        <v>49</v>
      </c>
      <c r="F9" s="109">
        <v>51</v>
      </c>
      <c r="G9" s="787">
        <v>51</v>
      </c>
      <c r="H9" s="787">
        <v>49</v>
      </c>
      <c r="I9" s="787">
        <v>44</v>
      </c>
      <c r="J9" s="787">
        <v>44</v>
      </c>
      <c r="K9" s="788">
        <v>34</v>
      </c>
      <c r="L9" s="789">
        <v>37</v>
      </c>
      <c r="M9" s="787">
        <v>43</v>
      </c>
      <c r="N9" s="790">
        <v>40</v>
      </c>
      <c r="P9" s="780" t="s">
        <v>636</v>
      </c>
      <c r="Q9" s="57" t="s">
        <v>632</v>
      </c>
      <c r="R9" s="781">
        <f>'[1]★２１ページ子ども（年齢別）'!C14</f>
        <v>0</v>
      </c>
      <c r="S9" s="781">
        <f>'[1]★２１ページ子ども（年齢別）'!D14</f>
        <v>0</v>
      </c>
      <c r="T9" s="781">
        <f>'[1]★２１ページ子ども（年齢別）'!E14</f>
        <v>0</v>
      </c>
      <c r="U9" s="781">
        <f>'[1]★２１ページ子ども（年齢別）'!F14</f>
        <v>0</v>
      </c>
      <c r="V9" s="781">
        <f>'[1]★２１ページ子ども（年齢別）'!G14</f>
        <v>0</v>
      </c>
      <c r="W9" s="781">
        <f>'[1]★２１ページ子ども（年齢別）'!H14</f>
        <v>0</v>
      </c>
      <c r="X9" s="781">
        <f>'[1]★２１ページ子ども（年齢別）'!I14</f>
        <v>0</v>
      </c>
      <c r="Y9" s="781">
        <f>'[1]★２１ページ子ども（年齢別）'!J14</f>
        <v>0</v>
      </c>
      <c r="Z9" s="781">
        <f>'[1]★２１ページ子ども（年齢別）'!K14</f>
        <v>0</v>
      </c>
      <c r="AA9" s="781">
        <f>'[1]★２１ページ子ども（年齢別）'!L14</f>
        <v>0</v>
      </c>
      <c r="AB9" s="781">
        <f>'[1]★２１ページ子ども（年齢別）'!M14</f>
        <v>0</v>
      </c>
      <c r="AC9" s="781">
        <f>'[1]★２１ページ子ども（年齢別）'!N14</f>
        <v>0</v>
      </c>
      <c r="AD9" s="782">
        <f t="shared" si="0"/>
        <v>0</v>
      </c>
      <c r="AF9" s="781" t="e">
        <f>'[1]★２１ページ子ども（年齢別）'!Q14</f>
        <v>#REF!</v>
      </c>
      <c r="AG9" s="781" t="e">
        <f>'[1]★２１ページ子ども（年齢別）'!R14</f>
        <v>#REF!</v>
      </c>
      <c r="AH9" s="781" t="e">
        <f>'[1]★２１ページ子ども（年齢別）'!S14</f>
        <v>#REF!</v>
      </c>
      <c r="AI9" s="781" t="e">
        <f>'[1]★２１ページ子ども（年齢別）'!T14</f>
        <v>#REF!</v>
      </c>
      <c r="AJ9" s="781" t="e">
        <f>'[1]★２１ページ子ども（年齢別）'!U14</f>
        <v>#REF!</v>
      </c>
      <c r="AK9" s="781" t="e">
        <f>'[1]★２１ページ子ども（年齢別）'!V14</f>
        <v>#REF!</v>
      </c>
      <c r="AL9" s="781" t="e">
        <f>'[1]★２１ページ子ども（年齢別）'!W14</f>
        <v>#REF!</v>
      </c>
      <c r="AM9" s="781" t="e">
        <f>'[1]★２１ページ子ども（年齢別）'!X14</f>
        <v>#REF!</v>
      </c>
      <c r="AN9" s="781" t="e">
        <f>'[1]★２１ページ子ども（年齢別）'!Y14</f>
        <v>#REF!</v>
      </c>
      <c r="AO9" s="781" t="e">
        <f>'[1]★２１ページ子ども（年齢別）'!Z14</f>
        <v>#REF!</v>
      </c>
      <c r="AP9" s="781" t="e">
        <f>'[1]★２１ページ子ども（年齢別）'!AA14</f>
        <v>#REF!</v>
      </c>
      <c r="AQ9" s="781" t="e">
        <f>'[1]★２１ページ子ども（年齢別）'!AB14</f>
        <v>#REF!</v>
      </c>
      <c r="AR9" s="782" t="e">
        <f t="shared" si="1"/>
        <v>#REF!</v>
      </c>
    </row>
    <row r="10" spans="1:44" ht="15" thickBot="1">
      <c r="A10" s="1775" t="s">
        <v>566</v>
      </c>
      <c r="B10" s="1823"/>
      <c r="C10" s="791">
        <f>C6/C9*100</f>
        <v>15</v>
      </c>
      <c r="D10" s="792">
        <v>1.5384615384615385</v>
      </c>
      <c r="E10" s="792">
        <v>1.9607843137254901</v>
      </c>
      <c r="F10" s="792">
        <v>2.0408163265306123</v>
      </c>
      <c r="G10" s="793">
        <v>3.9215686274509802</v>
      </c>
      <c r="H10" s="793">
        <v>0</v>
      </c>
      <c r="I10" s="793">
        <v>4.0816326530612246</v>
      </c>
      <c r="J10" s="794">
        <v>0</v>
      </c>
      <c r="K10" s="795">
        <v>6.8181818181818175</v>
      </c>
      <c r="L10" s="792">
        <f>L6/L9*100</f>
        <v>2.7027027027027026</v>
      </c>
      <c r="M10" s="794">
        <f>M6/M9*100</f>
        <v>0</v>
      </c>
      <c r="N10" s="796">
        <f>N6/N9*100</f>
        <v>2.5</v>
      </c>
      <c r="P10" s="780" t="s">
        <v>637</v>
      </c>
      <c r="Q10" s="57" t="s">
        <v>632</v>
      </c>
      <c r="R10" s="781">
        <f>'[1]★２１ページ子ども（年齢別）'!C17</f>
        <v>0</v>
      </c>
      <c r="S10" s="781">
        <f>'[1]★２１ページ子ども（年齢別）'!D17</f>
        <v>0</v>
      </c>
      <c r="T10" s="781">
        <f>'[1]★２１ページ子ども（年齢別）'!E17</f>
        <v>0</v>
      </c>
      <c r="U10" s="781">
        <f>'[1]★２１ページ子ども（年齢別）'!F17</f>
        <v>0</v>
      </c>
      <c r="V10" s="781">
        <f>'[1]★２１ページ子ども（年齢別）'!G17</f>
        <v>0</v>
      </c>
      <c r="W10" s="781">
        <f>'[1]★２１ページ子ども（年齢別）'!H17</f>
        <v>0</v>
      </c>
      <c r="X10" s="781">
        <f>'[1]★２１ページ子ども（年齢別）'!I17</f>
        <v>0</v>
      </c>
      <c r="Y10" s="781">
        <f>'[1]★２１ページ子ども（年齢別）'!J17</f>
        <v>0</v>
      </c>
      <c r="Z10" s="781">
        <f>'[1]★２１ページ子ども（年齢別）'!K17</f>
        <v>0</v>
      </c>
      <c r="AA10" s="781">
        <f>'[1]★２１ページ子ども（年齢別）'!L17</f>
        <v>0</v>
      </c>
      <c r="AB10" s="781">
        <f>'[1]★２１ページ子ども（年齢別）'!M17</f>
        <v>0</v>
      </c>
      <c r="AC10" s="781">
        <f>'[1]★２１ページ子ども（年齢別）'!N17</f>
        <v>0</v>
      </c>
      <c r="AD10" s="782">
        <f t="shared" si="0"/>
        <v>0</v>
      </c>
      <c r="AF10" s="781" t="e">
        <f>'[1]★２１ページ子ども（年齢別）'!Q17</f>
        <v>#REF!</v>
      </c>
      <c r="AG10" s="781" t="e">
        <f>'[1]★２１ページ子ども（年齢別）'!R17</f>
        <v>#REF!</v>
      </c>
      <c r="AH10" s="781" t="e">
        <f>'[1]★２１ページ子ども（年齢別）'!S17</f>
        <v>#REF!</v>
      </c>
      <c r="AI10" s="781" t="e">
        <f>'[1]★２１ページ子ども（年齢別）'!T17</f>
        <v>#REF!</v>
      </c>
      <c r="AJ10" s="781" t="e">
        <f>'[1]★２１ページ子ども（年齢別）'!U17</f>
        <v>#REF!</v>
      </c>
      <c r="AK10" s="781" t="e">
        <f>'[1]★２１ページ子ども（年齢別）'!V17</f>
        <v>#REF!</v>
      </c>
      <c r="AL10" s="781" t="e">
        <f>'[1]★２１ページ子ども（年齢別）'!W17</f>
        <v>#REF!</v>
      </c>
      <c r="AM10" s="781" t="e">
        <f>'[1]★２１ページ子ども（年齢別）'!X17</f>
        <v>#REF!</v>
      </c>
      <c r="AN10" s="781" t="e">
        <f>'[1]★２１ページ子ども（年齢別）'!Y17</f>
        <v>#REF!</v>
      </c>
      <c r="AO10" s="781" t="e">
        <f>'[1]★２１ページ子ども（年齢別）'!Z17</f>
        <v>#REF!</v>
      </c>
      <c r="AP10" s="781" t="e">
        <f>'[1]★２１ページ子ども（年齢別）'!AA17</f>
        <v>#REF!</v>
      </c>
      <c r="AQ10" s="781" t="e">
        <f>'[1]★２１ページ子ども（年齢別）'!AB17</f>
        <v>#REF!</v>
      </c>
      <c r="AR10" s="782" t="e">
        <f t="shared" si="1"/>
        <v>#REF!</v>
      </c>
    </row>
    <row r="11" spans="1:44" ht="28.5" customHeight="1">
      <c r="A11" s="1820" t="s">
        <v>638</v>
      </c>
      <c r="B11" s="1820"/>
      <c r="C11" s="1821"/>
      <c r="D11" s="1821"/>
      <c r="E11" s="1821"/>
      <c r="F11" s="1821"/>
      <c r="G11" s="1821"/>
      <c r="H11" s="1822"/>
      <c r="I11" s="708"/>
      <c r="J11" s="708"/>
      <c r="K11" s="708"/>
      <c r="L11" s="9"/>
      <c r="P11" s="780" t="s">
        <v>639</v>
      </c>
      <c r="Q11" s="57" t="s">
        <v>632</v>
      </c>
      <c r="R11" s="781">
        <f>'[1]★２１ページ子ども（年齢別）'!C20</f>
        <v>0</v>
      </c>
      <c r="S11" s="781">
        <f>'[1]★２１ページ子ども（年齢別）'!D20</f>
        <v>0</v>
      </c>
      <c r="T11" s="781">
        <f>'[1]★２１ページ子ども（年齢別）'!E20</f>
        <v>0</v>
      </c>
      <c r="U11" s="781">
        <f>'[1]★２１ページ子ども（年齢別）'!F20</f>
        <v>0</v>
      </c>
      <c r="V11" s="781">
        <f>'[1]★２１ページ子ども（年齢別）'!G20</f>
        <v>0</v>
      </c>
      <c r="W11" s="781">
        <f>'[1]★２１ページ子ども（年齢別）'!H20</f>
        <v>0</v>
      </c>
      <c r="X11" s="781">
        <f>'[1]★２１ページ子ども（年齢別）'!I20</f>
        <v>0</v>
      </c>
      <c r="Y11" s="781">
        <f>'[1]★２１ページ子ども（年齢別）'!J20</f>
        <v>0</v>
      </c>
      <c r="Z11" s="781">
        <f>'[1]★２１ページ子ども（年齢別）'!K20</f>
        <v>0</v>
      </c>
      <c r="AA11" s="781">
        <f>'[1]★２１ページ子ども（年齢別）'!L20</f>
        <v>0</v>
      </c>
      <c r="AB11" s="781">
        <f>'[1]★２１ページ子ども（年齢別）'!M20</f>
        <v>0</v>
      </c>
      <c r="AC11" s="781">
        <f>'[1]★２１ページ子ども（年齢別）'!N20</f>
        <v>0</v>
      </c>
      <c r="AD11" s="782">
        <f t="shared" si="0"/>
        <v>0</v>
      </c>
      <c r="AF11" s="781" t="e">
        <f>'[1]★２１ページ子ども（年齢別）'!Q20</f>
        <v>#REF!</v>
      </c>
      <c r="AG11" s="781" t="e">
        <f>'[1]★２１ページ子ども（年齢別）'!R20</f>
        <v>#REF!</v>
      </c>
      <c r="AH11" s="781" t="e">
        <f>'[1]★２１ページ子ども（年齢別）'!S20</f>
        <v>#REF!</v>
      </c>
      <c r="AI11" s="781" t="e">
        <f>'[1]★２１ページ子ども（年齢別）'!T20</f>
        <v>#REF!</v>
      </c>
      <c r="AJ11" s="781" t="e">
        <f>'[1]★２１ページ子ども（年齢別）'!U20</f>
        <v>#REF!</v>
      </c>
      <c r="AK11" s="781" t="e">
        <f>'[1]★２１ページ子ども（年齢別）'!V20</f>
        <v>#REF!</v>
      </c>
      <c r="AL11" s="781" t="e">
        <f>'[1]★２１ページ子ども（年齢別）'!W20</f>
        <v>#REF!</v>
      </c>
      <c r="AM11" s="781" t="e">
        <f>'[1]★２１ページ子ども（年齢別）'!X20</f>
        <v>#REF!</v>
      </c>
      <c r="AN11" s="781" t="e">
        <f>'[1]★２１ページ子ども（年齢別）'!Y20</f>
        <v>#REF!</v>
      </c>
      <c r="AO11" s="781" t="e">
        <f>'[1]★２１ページ子ども（年齢別）'!Z20</f>
        <v>#REF!</v>
      </c>
      <c r="AP11" s="781" t="e">
        <f>'[1]★２１ページ子ども（年齢別）'!AA20</f>
        <v>#REF!</v>
      </c>
      <c r="AQ11" s="781" t="e">
        <f>'[1]★２１ページ子ども（年齢別）'!AB20</f>
        <v>#REF!</v>
      </c>
      <c r="AR11" s="782" t="e">
        <f t="shared" si="1"/>
        <v>#REF!</v>
      </c>
    </row>
    <row r="12" spans="1:44" ht="23.25" customHeight="1">
      <c r="A12" s="708"/>
      <c r="B12" s="708"/>
      <c r="C12" s="708"/>
      <c r="D12" s="708"/>
      <c r="E12" s="708"/>
      <c r="F12" s="708"/>
      <c r="G12" s="708"/>
      <c r="H12" s="708"/>
      <c r="I12" s="708"/>
      <c r="J12" s="708"/>
      <c r="K12" s="708"/>
      <c r="L12" s="9"/>
      <c r="P12" s="780" t="s">
        <v>640</v>
      </c>
      <c r="Q12" s="57" t="s">
        <v>632</v>
      </c>
      <c r="R12" s="781">
        <f>'[1]★２１ページ子ども（年齢別）'!C23</f>
        <v>0</v>
      </c>
      <c r="S12" s="781">
        <f>'[1]★２１ページ子ども（年齢別）'!D23</f>
        <v>0</v>
      </c>
      <c r="T12" s="781">
        <f>'[1]★２１ページ子ども（年齢別）'!E23</f>
        <v>0</v>
      </c>
      <c r="U12" s="781">
        <f>'[1]★２１ページ子ども（年齢別）'!F23</f>
        <v>0</v>
      </c>
      <c r="V12" s="781">
        <f>'[1]★２１ページ子ども（年齢別）'!G23</f>
        <v>0</v>
      </c>
      <c r="W12" s="781">
        <f>'[1]★２１ページ子ども（年齢別）'!H23</f>
        <v>0</v>
      </c>
      <c r="X12" s="781">
        <f>'[1]★２１ページ子ども（年齢別）'!I23</f>
        <v>0</v>
      </c>
      <c r="Y12" s="781">
        <f>'[1]★２１ページ子ども（年齢別）'!J23</f>
        <v>0</v>
      </c>
      <c r="Z12" s="781">
        <f>'[1]★２１ページ子ども（年齢別）'!K23</f>
        <v>0</v>
      </c>
      <c r="AA12" s="781">
        <f>'[1]★２１ページ子ども（年齢別）'!L23</f>
        <v>0</v>
      </c>
      <c r="AB12" s="781">
        <f>'[1]★２１ページ子ども（年齢別）'!M23</f>
        <v>0</v>
      </c>
      <c r="AC12" s="781">
        <f>'[1]★２１ページ子ども（年齢別）'!N23</f>
        <v>0</v>
      </c>
      <c r="AD12" s="782">
        <f t="shared" si="0"/>
        <v>0</v>
      </c>
      <c r="AF12" s="781" t="e">
        <f>'[1]★２１ページ子ども（年齢別）'!Q23</f>
        <v>#REF!</v>
      </c>
      <c r="AG12" s="781" t="e">
        <f>'[1]★２１ページ子ども（年齢別）'!R23</f>
        <v>#REF!</v>
      </c>
      <c r="AH12" s="781" t="e">
        <f>'[1]★２１ページ子ども（年齢別）'!S23</f>
        <v>#REF!</v>
      </c>
      <c r="AI12" s="781" t="e">
        <f>'[1]★２１ページ子ども（年齢別）'!T23</f>
        <v>#REF!</v>
      </c>
      <c r="AJ12" s="781" t="e">
        <f>'[1]★２１ページ子ども（年齢別）'!U23</f>
        <v>#REF!</v>
      </c>
      <c r="AK12" s="781" t="e">
        <f>'[1]★２１ページ子ども（年齢別）'!V23</f>
        <v>#REF!</v>
      </c>
      <c r="AL12" s="781" t="e">
        <f>'[1]★２１ページ子ども（年齢別）'!W23</f>
        <v>#REF!</v>
      </c>
      <c r="AM12" s="781" t="e">
        <f>'[1]★２１ページ子ども（年齢別）'!X23</f>
        <v>#REF!</v>
      </c>
      <c r="AN12" s="781" t="e">
        <f>'[1]★２１ページ子ども（年齢別）'!Y23</f>
        <v>#REF!</v>
      </c>
      <c r="AO12" s="781" t="e">
        <f>'[1]★２１ページ子ども（年齢別）'!Z23</f>
        <v>#REF!</v>
      </c>
      <c r="AP12" s="781" t="e">
        <f>'[1]★２１ページ子ども（年齢別）'!AA23</f>
        <v>#REF!</v>
      </c>
      <c r="AQ12" s="781" t="e">
        <f>'[1]★２１ページ子ども（年齢別）'!AB23</f>
        <v>#REF!</v>
      </c>
      <c r="AR12" s="782" t="e">
        <f t="shared" si="1"/>
        <v>#REF!</v>
      </c>
    </row>
    <row r="13" spans="1:44" ht="28.5" customHeight="1">
      <c r="A13" s="708"/>
      <c r="B13" s="708"/>
      <c r="C13" s="708"/>
      <c r="D13" s="708"/>
      <c r="E13" s="708"/>
      <c r="F13" s="708"/>
      <c r="G13" s="708"/>
      <c r="H13" s="708"/>
      <c r="I13" s="708"/>
      <c r="J13" s="708"/>
      <c r="K13" s="708"/>
      <c r="L13" s="9"/>
      <c r="P13" s="780" t="s">
        <v>641</v>
      </c>
      <c r="Q13" s="57" t="s">
        <v>632</v>
      </c>
      <c r="R13" s="781">
        <f>'[1]★２１ページ子ども（年齢別）'!C26</f>
        <v>0</v>
      </c>
      <c r="S13" s="781">
        <f>'[1]★２１ページ子ども（年齢別）'!D26</f>
        <v>0</v>
      </c>
      <c r="T13" s="781">
        <f>'[1]★２１ページ子ども（年齢別）'!E26</f>
        <v>0</v>
      </c>
      <c r="U13" s="781">
        <f>'[1]★２１ページ子ども（年齢別）'!F26</f>
        <v>0</v>
      </c>
      <c r="V13" s="781">
        <f>'[1]★２１ページ子ども（年齢別）'!G26</f>
        <v>0</v>
      </c>
      <c r="W13" s="781">
        <f>'[1]★２１ページ子ども（年齢別）'!H26</f>
        <v>0</v>
      </c>
      <c r="X13" s="781">
        <f>'[1]★２１ページ子ども（年齢別）'!I26</f>
        <v>0</v>
      </c>
      <c r="Y13" s="781">
        <f>'[1]★２１ページ子ども（年齢別）'!J26</f>
        <v>0</v>
      </c>
      <c r="Z13" s="781">
        <f>'[1]★２１ページ子ども（年齢別）'!K26</f>
        <v>0</v>
      </c>
      <c r="AA13" s="781">
        <f>'[1]★２１ページ子ども（年齢別）'!L26</f>
        <v>0</v>
      </c>
      <c r="AB13" s="781">
        <f>'[1]★２１ページ子ども（年齢別）'!M26</f>
        <v>0</v>
      </c>
      <c r="AC13" s="781">
        <f>'[1]★２１ページ子ども（年齢別）'!N26</f>
        <v>0</v>
      </c>
      <c r="AD13" s="782">
        <f t="shared" si="0"/>
        <v>0</v>
      </c>
      <c r="AF13" s="781" t="e">
        <f>'[1]★２１ページ子ども（年齢別）'!Q26</f>
        <v>#REF!</v>
      </c>
      <c r="AG13" s="781" t="e">
        <f>'[1]★２１ページ子ども（年齢別）'!R26</f>
        <v>#REF!</v>
      </c>
      <c r="AH13" s="781" t="e">
        <f>'[1]★２１ページ子ども（年齢別）'!S26</f>
        <v>#REF!</v>
      </c>
      <c r="AI13" s="781" t="e">
        <f>'[1]★２１ページ子ども（年齢別）'!T26</f>
        <v>#REF!</v>
      </c>
      <c r="AJ13" s="781" t="e">
        <f>'[1]★２１ページ子ども（年齢別）'!U26</f>
        <v>#REF!</v>
      </c>
      <c r="AK13" s="781" t="e">
        <f>'[1]★２１ページ子ども（年齢別）'!V26</f>
        <v>#REF!</v>
      </c>
      <c r="AL13" s="781" t="e">
        <f>'[1]★２１ページ子ども（年齢別）'!W26</f>
        <v>#REF!</v>
      </c>
      <c r="AM13" s="781" t="e">
        <f>'[1]★２１ページ子ども（年齢別）'!X26</f>
        <v>#REF!</v>
      </c>
      <c r="AN13" s="781" t="e">
        <f>'[1]★２１ページ子ども（年齢別）'!Y26</f>
        <v>#REF!</v>
      </c>
      <c r="AO13" s="781" t="e">
        <f>'[1]★２１ページ子ども（年齢別）'!Z26</f>
        <v>#REF!</v>
      </c>
      <c r="AP13" s="781" t="e">
        <f>'[1]★２１ページ子ども（年齢別）'!AA26</f>
        <v>#REF!</v>
      </c>
      <c r="AQ13" s="781" t="e">
        <f>'[1]★２１ページ子ども（年齢別）'!AB26</f>
        <v>#REF!</v>
      </c>
      <c r="AR13" s="782" t="e">
        <f t="shared" si="1"/>
        <v>#REF!</v>
      </c>
    </row>
    <row r="14" spans="1:44" ht="30" customHeight="1">
      <c r="A14" s="708"/>
      <c r="B14" s="708"/>
      <c r="C14" s="708"/>
      <c r="D14" s="708"/>
      <c r="E14" s="708"/>
      <c r="F14" s="708"/>
      <c r="G14" s="708"/>
      <c r="H14" s="708"/>
      <c r="I14" s="708"/>
      <c r="J14" s="708"/>
      <c r="K14" s="708"/>
      <c r="L14" s="9"/>
      <c r="P14" s="780" t="s">
        <v>642</v>
      </c>
      <c r="Q14" s="57" t="s">
        <v>632</v>
      </c>
      <c r="R14" s="781">
        <f>'[1]★２１ページ子ども（年齢別）'!C29</f>
        <v>0</v>
      </c>
      <c r="S14" s="781">
        <f>'[1]★２１ページ子ども（年齢別）'!D29</f>
        <v>0</v>
      </c>
      <c r="T14" s="781">
        <f>'[1]★２１ページ子ども（年齢別）'!E29</f>
        <v>0</v>
      </c>
      <c r="U14" s="781">
        <f>'[1]★２１ページ子ども（年齢別）'!F29</f>
        <v>0</v>
      </c>
      <c r="V14" s="781">
        <f>'[1]★２１ページ子ども（年齢別）'!G29</f>
        <v>0</v>
      </c>
      <c r="W14" s="781">
        <f>'[1]★２１ページ子ども（年齢別）'!H29</f>
        <v>0</v>
      </c>
      <c r="X14" s="781">
        <f>'[1]★２１ページ子ども（年齢別）'!I29</f>
        <v>0</v>
      </c>
      <c r="Y14" s="781">
        <f>'[1]★２１ページ子ども（年齢別）'!J29</f>
        <v>0</v>
      </c>
      <c r="Z14" s="781">
        <f>'[1]★２１ページ子ども（年齢別）'!K29</f>
        <v>0</v>
      </c>
      <c r="AA14" s="781">
        <f>'[1]★２１ページ子ども（年齢別）'!L29</f>
        <v>0</v>
      </c>
      <c r="AB14" s="781">
        <f>'[1]★２１ページ子ども（年齢別）'!M29</f>
        <v>0</v>
      </c>
      <c r="AC14" s="781">
        <f>'[1]★２１ページ子ども（年齢別）'!N29</f>
        <v>0</v>
      </c>
      <c r="AD14" s="782">
        <f t="shared" si="0"/>
        <v>0</v>
      </c>
      <c r="AF14" s="781" t="e">
        <f>'[1]★２１ページ子ども（年齢別）'!Q29</f>
        <v>#REF!</v>
      </c>
      <c r="AG14" s="781" t="e">
        <f>'[1]★２１ページ子ども（年齢別）'!R29</f>
        <v>#REF!</v>
      </c>
      <c r="AH14" s="781" t="e">
        <f>'[1]★２１ページ子ども（年齢別）'!S29</f>
        <v>#REF!</v>
      </c>
      <c r="AI14" s="781" t="e">
        <f>'[1]★２１ページ子ども（年齢別）'!T29</f>
        <v>#REF!</v>
      </c>
      <c r="AJ14" s="781" t="e">
        <f>'[1]★２１ページ子ども（年齢別）'!U29</f>
        <v>#REF!</v>
      </c>
      <c r="AK14" s="781" t="e">
        <f>'[1]★２１ページ子ども（年齢別）'!V29</f>
        <v>#REF!</v>
      </c>
      <c r="AL14" s="781" t="e">
        <f>'[1]★２１ページ子ども（年齢別）'!W29</f>
        <v>#REF!</v>
      </c>
      <c r="AM14" s="781" t="e">
        <f>'[1]★２１ページ子ども（年齢別）'!X29</f>
        <v>#REF!</v>
      </c>
      <c r="AN14" s="781" t="e">
        <f>'[1]★２１ページ子ども（年齢別）'!Y29</f>
        <v>#REF!</v>
      </c>
      <c r="AO14" s="781" t="e">
        <f>'[1]★２１ページ子ども（年齢別）'!Z29</f>
        <v>#REF!</v>
      </c>
      <c r="AP14" s="781" t="e">
        <f>'[1]★２１ページ子ども（年齢別）'!AA29</f>
        <v>#REF!</v>
      </c>
      <c r="AQ14" s="781" t="e">
        <f>'[1]★２１ページ子ども（年齢別）'!AB29</f>
        <v>#REF!</v>
      </c>
      <c r="AR14" s="782" t="e">
        <f t="shared" si="1"/>
        <v>#REF!</v>
      </c>
    </row>
    <row r="15" spans="1:44" ht="30" customHeight="1">
      <c r="A15" s="708"/>
      <c r="B15" s="708"/>
      <c r="C15" s="708"/>
      <c r="D15" s="708"/>
      <c r="E15" s="708"/>
      <c r="F15" s="708"/>
      <c r="G15" s="708"/>
      <c r="H15" s="708"/>
      <c r="I15" s="708"/>
      <c r="J15" s="708"/>
      <c r="K15" s="708"/>
      <c r="L15" s="9"/>
      <c r="P15" s="780" t="s">
        <v>643</v>
      </c>
      <c r="Q15" s="57" t="s">
        <v>632</v>
      </c>
      <c r="R15" s="781">
        <f>'[1]★２１ページ子ども（年齢別）'!C32</f>
        <v>0</v>
      </c>
      <c r="S15" s="781">
        <f>'[1]★２１ページ子ども（年齢別）'!D32</f>
        <v>0</v>
      </c>
      <c r="T15" s="781">
        <f>'[1]★２１ページ子ども（年齢別）'!E32</f>
        <v>0</v>
      </c>
      <c r="U15" s="781">
        <f>'[1]★２１ページ子ども（年齢別）'!F32</f>
        <v>0</v>
      </c>
      <c r="V15" s="781">
        <f>'[1]★２１ページ子ども（年齢別）'!G32</f>
        <v>0</v>
      </c>
      <c r="W15" s="781">
        <f>'[1]★２１ページ子ども（年齢別）'!H32</f>
        <v>0</v>
      </c>
      <c r="X15" s="781">
        <f>'[1]★２１ページ子ども（年齢別）'!I32</f>
        <v>0</v>
      </c>
      <c r="Y15" s="781">
        <f>'[1]★２１ページ子ども（年齢別）'!J32</f>
        <v>0</v>
      </c>
      <c r="Z15" s="781">
        <f>'[1]★２１ページ子ども（年齢別）'!K32</f>
        <v>0</v>
      </c>
      <c r="AA15" s="781">
        <f>'[1]★２１ページ子ども（年齢別）'!L32</f>
        <v>0</v>
      </c>
      <c r="AB15" s="781">
        <f>'[1]★２１ページ子ども（年齢別）'!M32</f>
        <v>0</v>
      </c>
      <c r="AC15" s="781">
        <f>'[1]★２１ページ子ども（年齢別）'!N32</f>
        <v>0</v>
      </c>
      <c r="AD15" s="782">
        <f t="shared" si="0"/>
        <v>0</v>
      </c>
      <c r="AF15" s="781" t="e">
        <f>'[1]★２１ページ子ども（年齢別）'!Q32</f>
        <v>#REF!</v>
      </c>
      <c r="AG15" s="781" t="e">
        <f>'[1]★２１ページ子ども（年齢別）'!R32</f>
        <v>#REF!</v>
      </c>
      <c r="AH15" s="781" t="e">
        <f>'[1]★２１ページ子ども（年齢別）'!S32</f>
        <v>#REF!</v>
      </c>
      <c r="AI15" s="781" t="e">
        <f>'[1]★２１ページ子ども（年齢別）'!T32</f>
        <v>#REF!</v>
      </c>
      <c r="AJ15" s="781" t="e">
        <f>'[1]★２１ページ子ども（年齢別）'!U32</f>
        <v>#REF!</v>
      </c>
      <c r="AK15" s="781" t="e">
        <f>'[1]★２１ページ子ども（年齢別）'!V32</f>
        <v>#REF!</v>
      </c>
      <c r="AL15" s="781" t="e">
        <f>'[1]★２１ページ子ども（年齢別）'!W32</f>
        <v>#REF!</v>
      </c>
      <c r="AM15" s="781" t="e">
        <f>'[1]★２１ページ子ども（年齢別）'!X32</f>
        <v>#REF!</v>
      </c>
      <c r="AN15" s="781" t="e">
        <f>'[1]★２１ページ子ども（年齢別）'!Y32</f>
        <v>#REF!</v>
      </c>
      <c r="AO15" s="781" t="e">
        <f>'[1]★２１ページ子ども（年齢別）'!Z32</f>
        <v>#REF!</v>
      </c>
      <c r="AP15" s="781" t="e">
        <f>'[1]★２１ページ子ども（年齢別）'!AA32</f>
        <v>#REF!</v>
      </c>
      <c r="AQ15" s="781" t="e">
        <f>'[1]★２１ページ子ども（年齢別）'!AB32</f>
        <v>#REF!</v>
      </c>
      <c r="AR15" s="782" t="e">
        <f t="shared" si="1"/>
        <v>#REF!</v>
      </c>
    </row>
    <row r="16" spans="1:44" ht="45" customHeight="1">
      <c r="A16" s="708"/>
      <c r="B16" s="708"/>
      <c r="C16" s="708"/>
      <c r="D16" s="708"/>
      <c r="E16" s="708"/>
      <c r="F16" s="708"/>
      <c r="G16" s="708"/>
      <c r="H16" s="708"/>
      <c r="I16" s="708"/>
      <c r="J16" s="708"/>
      <c r="K16" s="708"/>
      <c r="L16" s="9"/>
      <c r="P16" s="780" t="s">
        <v>644</v>
      </c>
      <c r="Q16" s="57" t="s">
        <v>632</v>
      </c>
      <c r="R16" s="781">
        <f>'[1]★２１ページ子ども（年齢別）'!C35</f>
        <v>0</v>
      </c>
      <c r="S16" s="781">
        <f>'[1]★２１ページ子ども（年齢別）'!D35</f>
        <v>0</v>
      </c>
      <c r="T16" s="781">
        <f>'[1]★２１ページ子ども（年齢別）'!E35</f>
        <v>0</v>
      </c>
      <c r="U16" s="781">
        <f>'[1]★２１ページ子ども（年齢別）'!F35</f>
        <v>0</v>
      </c>
      <c r="V16" s="781">
        <f>'[1]★２１ページ子ども（年齢別）'!G35</f>
        <v>0</v>
      </c>
      <c r="W16" s="781">
        <f>'[1]★２１ページ子ども（年齢別）'!H35</f>
        <v>0</v>
      </c>
      <c r="X16" s="781">
        <f>'[1]★２１ページ子ども（年齢別）'!I35</f>
        <v>0</v>
      </c>
      <c r="Y16" s="781">
        <f>'[1]★２１ページ子ども（年齢別）'!J35</f>
        <v>0</v>
      </c>
      <c r="Z16" s="781">
        <f>'[1]★２１ページ子ども（年齢別）'!K35</f>
        <v>0</v>
      </c>
      <c r="AA16" s="781">
        <f>'[1]★２１ページ子ども（年齢別）'!L35</f>
        <v>0</v>
      </c>
      <c r="AB16" s="781">
        <f>'[1]★２１ページ子ども（年齢別）'!M35</f>
        <v>0</v>
      </c>
      <c r="AC16" s="781">
        <f>'[1]★２１ページ子ども（年齢別）'!N35</f>
        <v>0</v>
      </c>
      <c r="AD16" s="782">
        <f t="shared" si="0"/>
        <v>0</v>
      </c>
      <c r="AF16" s="781" t="e">
        <f>'[1]★２１ページ子ども（年齢別）'!Q35</f>
        <v>#REF!</v>
      </c>
      <c r="AG16" s="781" t="e">
        <f>'[1]★２１ページ子ども（年齢別）'!R35</f>
        <v>#REF!</v>
      </c>
      <c r="AH16" s="781" t="e">
        <f>'[1]★２１ページ子ども（年齢別）'!S35</f>
        <v>#REF!</v>
      </c>
      <c r="AI16" s="781" t="e">
        <f>'[1]★２１ページ子ども（年齢別）'!T35</f>
        <v>#REF!</v>
      </c>
      <c r="AJ16" s="781" t="e">
        <f>'[1]★２１ページ子ども（年齢別）'!U35</f>
        <v>#REF!</v>
      </c>
      <c r="AK16" s="781" t="e">
        <f>'[1]★２１ページ子ども（年齢別）'!V35</f>
        <v>#REF!</v>
      </c>
      <c r="AL16" s="781" t="e">
        <f>'[1]★２１ページ子ども（年齢別）'!W35</f>
        <v>#REF!</v>
      </c>
      <c r="AM16" s="781" t="e">
        <f>'[1]★２１ページ子ども（年齢別）'!X35</f>
        <v>#REF!</v>
      </c>
      <c r="AN16" s="781" t="e">
        <f>'[1]★２１ページ子ども（年齢別）'!Y35</f>
        <v>#REF!</v>
      </c>
      <c r="AO16" s="781" t="e">
        <f>'[1]★２１ページ子ども（年齢別）'!Z35</f>
        <v>#REF!</v>
      </c>
      <c r="AP16" s="781" t="e">
        <f>'[1]★２１ページ子ども（年齢別）'!AA35</f>
        <v>#REF!</v>
      </c>
      <c r="AQ16" s="781" t="e">
        <f>'[1]★２１ページ子ども（年齢別）'!AB35</f>
        <v>#REF!</v>
      </c>
      <c r="AR16" s="782" t="e">
        <f t="shared" si="1"/>
        <v>#REF!</v>
      </c>
    </row>
    <row r="17" spans="1:44">
      <c r="A17" s="708"/>
      <c r="B17" s="708"/>
      <c r="C17" s="708"/>
      <c r="D17" s="708"/>
      <c r="E17" s="708"/>
      <c r="F17" s="708"/>
      <c r="G17" s="708"/>
      <c r="H17" s="708"/>
      <c r="I17" s="708"/>
      <c r="J17" s="708"/>
      <c r="K17" s="708"/>
      <c r="L17" s="9"/>
      <c r="P17" s="780" t="s">
        <v>645</v>
      </c>
      <c r="Q17" s="57" t="s">
        <v>632</v>
      </c>
      <c r="R17" s="781">
        <f>'[1]★２１ページ子ども（年齢別）'!C38</f>
        <v>0</v>
      </c>
      <c r="S17" s="781">
        <f>'[1]★２１ページ子ども（年齢別）'!D38</f>
        <v>0</v>
      </c>
      <c r="T17" s="781">
        <f>'[1]★２１ページ子ども（年齢別）'!E38</f>
        <v>0</v>
      </c>
      <c r="U17" s="781">
        <f>'[1]★２１ページ子ども（年齢別）'!F38</f>
        <v>0</v>
      </c>
      <c r="V17" s="781">
        <f>'[1]★２１ページ子ども（年齢別）'!G38</f>
        <v>0</v>
      </c>
      <c r="W17" s="781">
        <f>'[1]★２１ページ子ども（年齢別）'!H38</f>
        <v>0</v>
      </c>
      <c r="X17" s="781">
        <f>'[1]★２１ページ子ども（年齢別）'!I38</f>
        <v>0</v>
      </c>
      <c r="Y17" s="781">
        <f>'[1]★２１ページ子ども（年齢別）'!J38</f>
        <v>0</v>
      </c>
      <c r="Z17" s="781">
        <f>'[1]★２１ページ子ども（年齢別）'!K38</f>
        <v>0</v>
      </c>
      <c r="AA17" s="781">
        <f>'[1]★２１ページ子ども（年齢別）'!L38</f>
        <v>0</v>
      </c>
      <c r="AB17" s="781">
        <f>'[1]★２１ページ子ども（年齢別）'!M38</f>
        <v>0</v>
      </c>
      <c r="AC17" s="781">
        <f>'[1]★２１ページ子ども（年齢別）'!N38</f>
        <v>0</v>
      </c>
      <c r="AD17" s="782">
        <f t="shared" si="0"/>
        <v>0</v>
      </c>
      <c r="AF17" s="781" t="e">
        <f>'[1]★２１ページ子ども（年齢別）'!Q38</f>
        <v>#REF!</v>
      </c>
      <c r="AG17" s="781" t="e">
        <f>'[1]★２１ページ子ども（年齢別）'!R38</f>
        <v>#REF!</v>
      </c>
      <c r="AH17" s="781" t="e">
        <f>'[1]★２１ページ子ども（年齢別）'!S38</f>
        <v>#REF!</v>
      </c>
      <c r="AI17" s="781" t="e">
        <f>'[1]★２１ページ子ども（年齢別）'!T38</f>
        <v>#REF!</v>
      </c>
      <c r="AJ17" s="781" t="e">
        <f>'[1]★２１ページ子ども（年齢別）'!U38</f>
        <v>#REF!</v>
      </c>
      <c r="AK17" s="781" t="e">
        <f>'[1]★２１ページ子ども（年齢別）'!V38</f>
        <v>#REF!</v>
      </c>
      <c r="AL17" s="781" t="e">
        <f>'[1]★２１ページ子ども（年齢別）'!W38</f>
        <v>#REF!</v>
      </c>
      <c r="AM17" s="781" t="e">
        <f>'[1]★２１ページ子ども（年齢別）'!X38</f>
        <v>#REF!</v>
      </c>
      <c r="AN17" s="781" t="e">
        <f>'[1]★２１ページ子ども（年齢別）'!Y38</f>
        <v>#REF!</v>
      </c>
      <c r="AO17" s="781" t="e">
        <f>'[1]★２１ページ子ども（年齢別）'!Z38</f>
        <v>#REF!</v>
      </c>
      <c r="AP17" s="781" t="e">
        <f>'[1]★２１ページ子ども（年齢別）'!AA38</f>
        <v>#REF!</v>
      </c>
      <c r="AQ17" s="781" t="e">
        <f>'[1]★２１ページ子ども（年齢別）'!AB38</f>
        <v>#REF!</v>
      </c>
      <c r="AR17" s="782" t="e">
        <f t="shared" si="1"/>
        <v>#REF!</v>
      </c>
    </row>
    <row r="18" spans="1:44">
      <c r="A18" s="708"/>
      <c r="B18" s="708"/>
      <c r="C18" s="708"/>
      <c r="D18" s="708"/>
      <c r="E18" s="708"/>
      <c r="F18" s="708"/>
      <c r="G18" s="708"/>
      <c r="H18" s="708"/>
      <c r="I18" s="708"/>
      <c r="J18" s="708"/>
      <c r="L18" s="9"/>
      <c r="P18" s="780" t="s">
        <v>646</v>
      </c>
      <c r="Q18" s="57" t="s">
        <v>632</v>
      </c>
      <c r="R18" s="781">
        <f>'[1]★２１ページ子ども（年齢別）'!C41</f>
        <v>0</v>
      </c>
      <c r="S18" s="781">
        <f>'[1]★２１ページ子ども（年齢別）'!D41</f>
        <v>0</v>
      </c>
      <c r="T18" s="781">
        <f>'[1]★２１ページ子ども（年齢別）'!E41</f>
        <v>0</v>
      </c>
      <c r="U18" s="781">
        <f>'[1]★２１ページ子ども（年齢別）'!F41</f>
        <v>0</v>
      </c>
      <c r="V18" s="781">
        <f>'[1]★２１ページ子ども（年齢別）'!G41</f>
        <v>0</v>
      </c>
      <c r="W18" s="781">
        <f>'[1]★２１ページ子ども（年齢別）'!H41</f>
        <v>0</v>
      </c>
      <c r="X18" s="781">
        <f>'[1]★２１ページ子ども（年齢別）'!I41</f>
        <v>0</v>
      </c>
      <c r="Y18" s="781">
        <f>'[1]★２１ページ子ども（年齢別）'!J41</f>
        <v>0</v>
      </c>
      <c r="Z18" s="781">
        <f>'[1]★２１ページ子ども（年齢別）'!K41</f>
        <v>0</v>
      </c>
      <c r="AA18" s="781">
        <f>'[1]★２１ページ子ども（年齢別）'!L41</f>
        <v>0</v>
      </c>
      <c r="AB18" s="781">
        <f>'[1]★２１ページ子ども（年齢別）'!M41</f>
        <v>0</v>
      </c>
      <c r="AC18" s="781">
        <f>'[1]★２１ページ子ども（年齢別）'!N41</f>
        <v>0</v>
      </c>
      <c r="AD18" s="782">
        <f t="shared" si="0"/>
        <v>0</v>
      </c>
      <c r="AF18" s="781" t="e">
        <f>'[1]★２１ページ子ども（年齢別）'!Q41</f>
        <v>#REF!</v>
      </c>
      <c r="AG18" s="781" t="e">
        <f>'[1]★２１ページ子ども（年齢別）'!R41</f>
        <v>#REF!</v>
      </c>
      <c r="AH18" s="781" t="e">
        <f>'[1]★２１ページ子ども（年齢別）'!S41</f>
        <v>#REF!</v>
      </c>
      <c r="AI18" s="781" t="e">
        <f>'[1]★２１ページ子ども（年齢別）'!T41</f>
        <v>#REF!</v>
      </c>
      <c r="AJ18" s="781" t="e">
        <f>'[1]★２１ページ子ども（年齢別）'!U41</f>
        <v>#REF!</v>
      </c>
      <c r="AK18" s="781" t="e">
        <f>'[1]★２１ページ子ども（年齢別）'!V41</f>
        <v>#REF!</v>
      </c>
      <c r="AL18" s="781" t="e">
        <f>'[1]★２１ページ子ども（年齢別）'!W41</f>
        <v>#REF!</v>
      </c>
      <c r="AM18" s="781" t="e">
        <f>'[1]★２１ページ子ども（年齢別）'!X41</f>
        <v>#REF!</v>
      </c>
      <c r="AN18" s="781" t="e">
        <f>'[1]★２１ページ子ども（年齢別）'!Y41</f>
        <v>#REF!</v>
      </c>
      <c r="AO18" s="781" t="e">
        <f>'[1]★２１ページ子ども（年齢別）'!Z41</f>
        <v>#REF!</v>
      </c>
      <c r="AP18" s="781" t="e">
        <f>'[1]★２１ページ子ども（年齢別）'!AA41</f>
        <v>#REF!</v>
      </c>
      <c r="AQ18" s="781" t="e">
        <f>'[1]★２１ページ子ども（年齢別）'!AB41</f>
        <v>#REF!</v>
      </c>
      <c r="AR18" s="782" t="e">
        <f t="shared" si="1"/>
        <v>#REF!</v>
      </c>
    </row>
    <row r="19" spans="1:44">
      <c r="A19" s="708"/>
      <c r="B19" s="708"/>
      <c r="C19" s="708"/>
      <c r="D19" s="708"/>
      <c r="E19" s="708"/>
      <c r="F19" s="708"/>
      <c r="G19" s="708"/>
      <c r="H19" s="708"/>
      <c r="I19" s="708"/>
      <c r="J19" s="708"/>
      <c r="K19" s="708"/>
      <c r="L19" s="9"/>
      <c r="P19" s="780" t="s">
        <v>647</v>
      </c>
      <c r="Q19" s="57" t="s">
        <v>632</v>
      </c>
      <c r="R19" s="781">
        <f>'[1]★２１ページ子ども（年齢別）'!C44</f>
        <v>0</v>
      </c>
      <c r="S19" s="781">
        <f>'[1]★２１ページ子ども（年齢別）'!D44</f>
        <v>0</v>
      </c>
      <c r="T19" s="781">
        <f>'[1]★２１ページ子ども（年齢別）'!E44</f>
        <v>0</v>
      </c>
      <c r="U19" s="781">
        <f>'[1]★２１ページ子ども（年齢別）'!F44</f>
        <v>0</v>
      </c>
      <c r="V19" s="781">
        <f>'[1]★２１ページ子ども（年齢別）'!G44</f>
        <v>0</v>
      </c>
      <c r="W19" s="781">
        <f>'[1]★２１ページ子ども（年齢別）'!H44</f>
        <v>0</v>
      </c>
      <c r="X19" s="781">
        <f>'[1]★２１ページ子ども（年齢別）'!I44</f>
        <v>0</v>
      </c>
      <c r="Y19" s="781">
        <f>'[1]★２１ページ子ども（年齢別）'!J44</f>
        <v>0</v>
      </c>
      <c r="Z19" s="781">
        <f>'[1]★２１ページ子ども（年齢別）'!K44</f>
        <v>0</v>
      </c>
      <c r="AA19" s="781">
        <f>'[1]★２１ページ子ども（年齢別）'!L44</f>
        <v>0</v>
      </c>
      <c r="AB19" s="781">
        <f>'[1]★２１ページ子ども（年齢別）'!M44</f>
        <v>0</v>
      </c>
      <c r="AC19" s="781">
        <f>'[1]★２１ページ子ども（年齢別）'!N44</f>
        <v>0</v>
      </c>
      <c r="AD19" s="782">
        <f t="shared" si="0"/>
        <v>0</v>
      </c>
      <c r="AF19" s="781" t="e">
        <f>'[1]★２１ページ子ども（年齢別）'!Q44</f>
        <v>#REF!</v>
      </c>
      <c r="AG19" s="781" t="e">
        <f>'[1]★２１ページ子ども（年齢別）'!R44</f>
        <v>#REF!</v>
      </c>
      <c r="AH19" s="781" t="e">
        <f>'[1]★２１ページ子ども（年齢別）'!S44</f>
        <v>#REF!</v>
      </c>
      <c r="AI19" s="781" t="e">
        <f>'[1]★２１ページ子ども（年齢別）'!T44</f>
        <v>#REF!</v>
      </c>
      <c r="AJ19" s="781" t="e">
        <f>'[1]★２１ページ子ども（年齢別）'!U44</f>
        <v>#REF!</v>
      </c>
      <c r="AK19" s="781" t="e">
        <f>'[1]★２１ページ子ども（年齢別）'!V44</f>
        <v>#REF!</v>
      </c>
      <c r="AL19" s="781" t="e">
        <f>'[1]★２１ページ子ども（年齢別）'!W44</f>
        <v>#REF!</v>
      </c>
      <c r="AM19" s="781" t="e">
        <f>'[1]★２１ページ子ども（年齢別）'!X44</f>
        <v>#REF!</v>
      </c>
      <c r="AN19" s="781" t="e">
        <f>'[1]★２１ページ子ども（年齢別）'!Y44</f>
        <v>#REF!</v>
      </c>
      <c r="AO19" s="781" t="e">
        <f>'[1]★２１ページ子ども（年齢別）'!Z44</f>
        <v>#REF!</v>
      </c>
      <c r="AP19" s="781" t="e">
        <f>'[1]★２１ページ子ども（年齢別）'!AA44</f>
        <v>#REF!</v>
      </c>
      <c r="AQ19" s="781" t="e">
        <f>'[1]★２１ページ子ども（年齢別）'!AB44</f>
        <v>#REF!</v>
      </c>
      <c r="AR19" s="782" t="e">
        <f t="shared" si="1"/>
        <v>#REF!</v>
      </c>
    </row>
    <row r="20" spans="1:44" ht="15" thickBot="1">
      <c r="A20" s="708"/>
      <c r="B20" s="708"/>
      <c r="C20" s="708"/>
      <c r="D20" s="708"/>
      <c r="E20" s="708"/>
      <c r="F20" s="708"/>
      <c r="G20" s="708"/>
      <c r="H20" s="708"/>
      <c r="I20" s="708"/>
      <c r="J20" s="708"/>
      <c r="K20" s="708"/>
      <c r="L20" s="9"/>
      <c r="P20" s="797" t="s">
        <v>648</v>
      </c>
      <c r="Q20" s="554" t="s">
        <v>632</v>
      </c>
      <c r="R20" s="797">
        <f>'[1]★２１ページ子ども（年齢別）'!C47</f>
        <v>0</v>
      </c>
      <c r="S20" s="797">
        <f>'[1]★２１ページ子ども（年齢別）'!D47</f>
        <v>0</v>
      </c>
      <c r="T20" s="797">
        <f>'[1]★２１ページ子ども（年齢別）'!E47</f>
        <v>0</v>
      </c>
      <c r="U20" s="797">
        <f>'[1]★２１ページ子ども（年齢別）'!F47</f>
        <v>0</v>
      </c>
      <c r="V20" s="797">
        <f>'[1]★２１ページ子ども（年齢別）'!G47</f>
        <v>0</v>
      </c>
      <c r="W20" s="797">
        <f>'[1]★２１ページ子ども（年齢別）'!H47</f>
        <v>0</v>
      </c>
      <c r="X20" s="797">
        <f>'[1]★２１ページ子ども（年齢別）'!I47</f>
        <v>0</v>
      </c>
      <c r="Y20" s="797">
        <f>'[1]★２１ページ子ども（年齢別）'!J47</f>
        <v>0</v>
      </c>
      <c r="Z20" s="797">
        <f>'[1]★２１ページ子ども（年齢別）'!K47</f>
        <v>0</v>
      </c>
      <c r="AA20" s="797">
        <f>'[1]★２１ページ子ども（年齢別）'!L47</f>
        <v>0</v>
      </c>
      <c r="AB20" s="797">
        <f>'[1]★２１ページ子ども（年齢別）'!M47</f>
        <v>0</v>
      </c>
      <c r="AC20" s="797">
        <f>'[1]★２１ページ子ども（年齢別）'!N47</f>
        <v>0</v>
      </c>
      <c r="AD20" s="798">
        <f t="shared" si="0"/>
        <v>0</v>
      </c>
      <c r="AF20" s="797" t="e">
        <f>'[1]★２１ページ子ども（年齢別）'!Q47</f>
        <v>#REF!</v>
      </c>
      <c r="AG20" s="797" t="e">
        <f>'[1]★２１ページ子ども（年齢別）'!R47</f>
        <v>#REF!</v>
      </c>
      <c r="AH20" s="797" t="e">
        <f>'[1]★２１ページ子ども（年齢別）'!S47</f>
        <v>#REF!</v>
      </c>
      <c r="AI20" s="797" t="e">
        <f>'[1]★２１ページ子ども（年齢別）'!T47</f>
        <v>#REF!</v>
      </c>
      <c r="AJ20" s="797" t="e">
        <f>'[1]★２１ページ子ども（年齢別）'!U47</f>
        <v>#REF!</v>
      </c>
      <c r="AK20" s="797" t="e">
        <f>'[1]★２１ページ子ども（年齢別）'!V47</f>
        <v>#REF!</v>
      </c>
      <c r="AL20" s="797" t="e">
        <f>'[1]★２１ページ子ども（年齢別）'!W47</f>
        <v>#REF!</v>
      </c>
      <c r="AM20" s="797" t="e">
        <f>'[1]★２１ページ子ども（年齢別）'!X47</f>
        <v>#REF!</v>
      </c>
      <c r="AN20" s="797" t="e">
        <f>'[1]★２１ページ子ども（年齢別）'!Y47</f>
        <v>#REF!</v>
      </c>
      <c r="AO20" s="797" t="e">
        <f>'[1]★２１ページ子ども（年齢別）'!Z47</f>
        <v>#REF!</v>
      </c>
      <c r="AP20" s="797" t="e">
        <f>'[1]★２１ページ子ども（年齢別）'!AA47</f>
        <v>#REF!</v>
      </c>
      <c r="AQ20" s="797" t="e">
        <f>'[1]★２１ページ子ども（年齢別）'!AB47</f>
        <v>#REF!</v>
      </c>
      <c r="AR20" s="798" t="e">
        <f t="shared" si="1"/>
        <v>#REF!</v>
      </c>
    </row>
    <row r="21" spans="1:44" ht="15" thickBot="1">
      <c r="A21" s="708"/>
      <c r="B21" s="708"/>
      <c r="C21" s="708"/>
      <c r="D21" s="708"/>
      <c r="E21" s="708"/>
      <c r="F21" s="708"/>
      <c r="G21" s="708"/>
      <c r="H21" s="708"/>
      <c r="I21" s="708"/>
      <c r="J21" s="708"/>
      <c r="K21" s="708"/>
      <c r="L21" s="9"/>
      <c r="P21" s="799" t="s">
        <v>649</v>
      </c>
      <c r="Q21" s="237" t="s">
        <v>632</v>
      </c>
      <c r="R21" s="349">
        <f t="shared" ref="R21:AD21" si="2">SUM(R6:R20)</f>
        <v>0</v>
      </c>
      <c r="S21" s="349">
        <f t="shared" si="2"/>
        <v>0</v>
      </c>
      <c r="T21" s="349">
        <f t="shared" si="2"/>
        <v>0</v>
      </c>
      <c r="U21" s="349">
        <f t="shared" si="2"/>
        <v>0</v>
      </c>
      <c r="V21" s="349">
        <f t="shared" si="2"/>
        <v>0</v>
      </c>
      <c r="W21" s="349">
        <f t="shared" si="2"/>
        <v>0</v>
      </c>
      <c r="X21" s="349">
        <f t="shared" si="2"/>
        <v>0</v>
      </c>
      <c r="Y21" s="349">
        <f t="shared" si="2"/>
        <v>1</v>
      </c>
      <c r="Z21" s="349">
        <f t="shared" si="2"/>
        <v>0</v>
      </c>
      <c r="AA21" s="349">
        <f t="shared" si="2"/>
        <v>0</v>
      </c>
      <c r="AB21" s="349">
        <f t="shared" si="2"/>
        <v>0</v>
      </c>
      <c r="AC21" s="349">
        <f t="shared" si="2"/>
        <v>0</v>
      </c>
      <c r="AD21" s="349">
        <f t="shared" si="2"/>
        <v>1</v>
      </c>
      <c r="AF21" s="349" t="e">
        <f t="shared" ref="AF21:AQ21" si="3">SUM(AG6:AG20)</f>
        <v>#REF!</v>
      </c>
      <c r="AG21" s="800" t="e">
        <f t="shared" si="3"/>
        <v>#REF!</v>
      </c>
      <c r="AH21" s="800" t="e">
        <f t="shared" si="3"/>
        <v>#REF!</v>
      </c>
      <c r="AI21" s="800" t="e">
        <f t="shared" si="3"/>
        <v>#REF!</v>
      </c>
      <c r="AJ21" s="800" t="e">
        <f t="shared" si="3"/>
        <v>#REF!</v>
      </c>
      <c r="AK21" s="800" t="e">
        <f t="shared" si="3"/>
        <v>#REF!</v>
      </c>
      <c r="AL21" s="800" t="e">
        <f t="shared" si="3"/>
        <v>#REF!</v>
      </c>
      <c r="AM21" s="800" t="e">
        <f t="shared" si="3"/>
        <v>#REF!</v>
      </c>
      <c r="AN21" s="800" t="e">
        <f t="shared" si="3"/>
        <v>#REF!</v>
      </c>
      <c r="AO21" s="800" t="e">
        <f t="shared" si="3"/>
        <v>#REF!</v>
      </c>
      <c r="AP21" s="349" t="e">
        <f t="shared" si="3"/>
        <v>#REF!</v>
      </c>
      <c r="AQ21" s="800" t="e">
        <f t="shared" si="3"/>
        <v>#REF!</v>
      </c>
      <c r="AR21" s="801">
        <f>SUM(AS6:AS21)</f>
        <v>0</v>
      </c>
    </row>
    <row r="22" spans="1:44">
      <c r="A22" s="708"/>
      <c r="B22" s="708"/>
      <c r="C22" s="708"/>
      <c r="D22" s="708"/>
      <c r="E22" s="708"/>
      <c r="F22" s="708"/>
      <c r="G22" s="708"/>
      <c r="H22" s="708"/>
      <c r="I22" s="708"/>
      <c r="J22" s="708"/>
      <c r="K22" s="708"/>
      <c r="L22" s="9"/>
    </row>
    <row r="23" spans="1:44" ht="15" thickBot="1">
      <c r="A23" s="708"/>
      <c r="B23" s="708"/>
      <c r="C23" s="708"/>
      <c r="D23" s="708"/>
      <c r="E23" s="708"/>
      <c r="F23" s="708"/>
      <c r="G23" s="708"/>
      <c r="H23" s="708"/>
      <c r="I23" s="708"/>
      <c r="J23" s="708"/>
      <c r="K23" s="708"/>
      <c r="L23" s="9"/>
    </row>
    <row r="24" spans="1:44">
      <c r="A24" s="708"/>
      <c r="B24" s="708"/>
      <c r="C24" s="708"/>
      <c r="D24" s="708"/>
      <c r="E24" s="708"/>
      <c r="F24" s="708"/>
      <c r="G24" s="708"/>
      <c r="H24" s="708"/>
      <c r="I24" s="708"/>
      <c r="J24" s="708"/>
      <c r="K24" s="708"/>
      <c r="L24" s="9"/>
      <c r="P24" s="3"/>
      <c r="Q24" s="760" t="s">
        <v>628</v>
      </c>
      <c r="R24" s="761">
        <v>1</v>
      </c>
      <c r="S24" s="762">
        <v>2</v>
      </c>
      <c r="T24" s="762">
        <v>3</v>
      </c>
      <c r="U24" s="762">
        <v>4</v>
      </c>
      <c r="V24" s="762">
        <v>5</v>
      </c>
      <c r="W24" s="762">
        <v>6</v>
      </c>
      <c r="X24" s="762">
        <v>7</v>
      </c>
      <c r="Y24" s="762">
        <v>8</v>
      </c>
      <c r="Z24" s="762">
        <v>9</v>
      </c>
      <c r="AA24" s="762">
        <v>10</v>
      </c>
      <c r="AB24" s="762">
        <v>11</v>
      </c>
      <c r="AC24" s="763">
        <v>12</v>
      </c>
      <c r="AD24" s="764" t="s">
        <v>629</v>
      </c>
    </row>
    <row r="25" spans="1:44" ht="15" thickBot="1">
      <c r="A25" s="708"/>
      <c r="B25" s="708"/>
      <c r="C25" s="708"/>
      <c r="D25" s="708"/>
      <c r="E25" s="708"/>
      <c r="F25" s="708"/>
      <c r="G25" s="708"/>
      <c r="H25" s="708"/>
      <c r="I25" s="708"/>
      <c r="J25" s="708"/>
      <c r="K25" s="708"/>
      <c r="L25" s="9"/>
      <c r="P25" s="765" t="s">
        <v>630</v>
      </c>
      <c r="Q25" s="9"/>
      <c r="R25" s="766"/>
      <c r="S25" s="141"/>
      <c r="T25" s="141"/>
      <c r="U25" s="141"/>
      <c r="V25" s="141"/>
      <c r="W25" s="141"/>
      <c r="X25" s="141"/>
      <c r="Y25" s="141"/>
      <c r="Z25" s="141"/>
      <c r="AA25" s="141"/>
      <c r="AB25" s="141"/>
      <c r="AC25" s="767"/>
      <c r="AD25" s="53"/>
    </row>
    <row r="26" spans="1:44" ht="15" thickBot="1">
      <c r="A26" s="708"/>
      <c r="B26" s="708"/>
      <c r="C26" s="708"/>
      <c r="D26" s="708"/>
      <c r="E26" s="708"/>
      <c r="F26" s="708"/>
      <c r="G26" s="708"/>
      <c r="H26" s="708"/>
      <c r="I26" s="708"/>
      <c r="J26" s="708"/>
      <c r="K26" s="708"/>
      <c r="L26" s="9"/>
      <c r="P26" s="799" t="s">
        <v>649</v>
      </c>
      <c r="Q26" s="237" t="s">
        <v>650</v>
      </c>
      <c r="R26" s="349">
        <v>24</v>
      </c>
      <c r="S26" s="800">
        <v>29</v>
      </c>
      <c r="T26" s="349">
        <v>37</v>
      </c>
      <c r="U26" s="800">
        <v>35</v>
      </c>
      <c r="V26" s="349">
        <v>32</v>
      </c>
      <c r="W26" s="800">
        <v>34</v>
      </c>
      <c r="X26" s="349">
        <v>35</v>
      </c>
      <c r="Y26" s="800">
        <v>34</v>
      </c>
      <c r="Z26" s="349">
        <v>28</v>
      </c>
      <c r="AA26" s="800">
        <v>28</v>
      </c>
      <c r="AB26" s="349">
        <v>35</v>
      </c>
      <c r="AC26" s="800">
        <v>30</v>
      </c>
      <c r="AD26" s="801">
        <f>SUM(R26:AC26)</f>
        <v>381</v>
      </c>
    </row>
    <row r="27" spans="1:44">
      <c r="A27" s="708"/>
      <c r="B27" s="708"/>
      <c r="C27" s="708"/>
      <c r="D27" s="708"/>
      <c r="E27" s="708"/>
      <c r="F27" s="708"/>
      <c r="G27" s="708"/>
      <c r="H27" s="708"/>
      <c r="I27" s="708"/>
      <c r="J27" s="708"/>
      <c r="K27" s="708"/>
      <c r="L27" s="9"/>
      <c r="Q27" s="9"/>
      <c r="R27" s="9"/>
      <c r="S27" s="9"/>
      <c r="T27" s="9"/>
      <c r="U27" s="9"/>
      <c r="V27" s="9"/>
      <c r="W27" s="9"/>
      <c r="X27" s="9"/>
      <c r="Y27" s="9"/>
      <c r="Z27" s="9"/>
      <c r="AA27" s="9"/>
      <c r="AB27" s="9"/>
      <c r="AC27" s="9"/>
      <c r="AD27" s="9"/>
      <c r="AE27" s="802"/>
    </row>
    <row r="28" spans="1:44">
      <c r="A28" s="708"/>
      <c r="B28" s="708"/>
      <c r="C28" s="708"/>
      <c r="D28" s="708"/>
      <c r="E28" s="708"/>
      <c r="F28" s="708"/>
      <c r="G28" s="708"/>
      <c r="H28" s="708"/>
      <c r="I28" s="708"/>
      <c r="J28" s="708"/>
      <c r="K28" s="708"/>
      <c r="L28" s="9"/>
      <c r="Q28" s="9"/>
      <c r="R28" s="9"/>
      <c r="S28" s="9"/>
      <c r="T28" s="9"/>
      <c r="U28" s="9"/>
      <c r="V28" s="9"/>
      <c r="W28" s="9"/>
      <c r="X28" s="9"/>
      <c r="Y28" s="9"/>
      <c r="Z28" s="9"/>
      <c r="AA28" s="9"/>
      <c r="AB28" s="9"/>
      <c r="AC28" s="9"/>
      <c r="AD28" s="9"/>
      <c r="AE28" s="802"/>
    </row>
    <row r="29" spans="1:44">
      <c r="A29" s="708"/>
      <c r="B29" s="708"/>
      <c r="C29" s="708"/>
      <c r="D29" s="708"/>
      <c r="E29" s="708"/>
      <c r="F29" s="708"/>
      <c r="G29" s="708"/>
      <c r="H29" s="708"/>
      <c r="I29" s="708"/>
      <c r="J29" s="708"/>
      <c r="K29" s="708"/>
      <c r="L29" s="9"/>
      <c r="Q29" s="9"/>
      <c r="R29" s="9"/>
      <c r="S29" s="9"/>
      <c r="T29" s="9"/>
      <c r="U29" s="9"/>
      <c r="V29" s="9"/>
      <c r="W29" s="9"/>
      <c r="X29" s="9"/>
      <c r="Y29" s="9"/>
      <c r="Z29" s="9"/>
      <c r="AA29" s="9"/>
      <c r="AB29" s="9"/>
      <c r="AC29" s="9"/>
      <c r="AD29" s="9"/>
      <c r="AE29" s="802"/>
    </row>
    <row r="30" spans="1:44">
      <c r="A30" s="690"/>
      <c r="B30" s="690"/>
      <c r="C30" s="690"/>
      <c r="D30" s="690"/>
      <c r="E30" s="690"/>
      <c r="F30" s="690"/>
      <c r="G30" s="690"/>
      <c r="H30" s="690"/>
      <c r="I30" s="690"/>
      <c r="J30" s="690"/>
      <c r="K30" s="690"/>
      <c r="Q30" s="9"/>
      <c r="R30" s="9"/>
      <c r="S30" s="9"/>
      <c r="T30" s="9"/>
      <c r="U30" s="9"/>
      <c r="V30" s="9"/>
      <c r="W30" s="9"/>
      <c r="X30" s="9"/>
      <c r="Y30" s="9"/>
      <c r="Z30" s="9"/>
      <c r="AA30" s="9"/>
      <c r="AB30" s="9"/>
      <c r="AC30" s="9"/>
      <c r="AD30" s="9"/>
      <c r="AE30" s="802"/>
    </row>
    <row r="31" spans="1:44">
      <c r="A31" s="690"/>
      <c r="B31" s="690"/>
      <c r="C31" s="690"/>
      <c r="D31" s="690"/>
      <c r="E31" s="690"/>
      <c r="F31" s="690"/>
      <c r="G31" s="690"/>
      <c r="H31" s="690"/>
      <c r="I31" s="690"/>
      <c r="J31" s="690"/>
      <c r="K31" s="690"/>
      <c r="Q31" s="9"/>
      <c r="R31" s="9"/>
      <c r="S31" s="9"/>
      <c r="T31" s="9"/>
      <c r="U31" s="9"/>
      <c r="V31" s="9"/>
      <c r="W31" s="9"/>
      <c r="X31" s="9"/>
      <c r="Y31" s="9"/>
      <c r="Z31" s="9"/>
      <c r="AA31" s="9"/>
      <c r="AB31" s="9"/>
      <c r="AC31" s="9"/>
      <c r="AD31" s="9"/>
      <c r="AE31" s="802"/>
    </row>
    <row r="32" spans="1:44">
      <c r="A32" s="690"/>
      <c r="B32" s="690"/>
      <c r="C32" s="690"/>
      <c r="D32" s="690"/>
      <c r="E32" s="690"/>
      <c r="F32" s="690"/>
      <c r="G32" s="690"/>
      <c r="H32" s="690"/>
      <c r="I32" s="690"/>
      <c r="J32" s="690"/>
      <c r="K32" s="690"/>
      <c r="Q32" s="9"/>
      <c r="R32" s="9"/>
      <c r="S32" s="9"/>
      <c r="T32" s="9"/>
      <c r="U32" s="9"/>
      <c r="V32" s="9"/>
      <c r="W32" s="9"/>
      <c r="X32" s="9"/>
      <c r="Y32" s="9"/>
      <c r="Z32" s="9"/>
      <c r="AA32" s="9"/>
      <c r="AB32" s="9"/>
      <c r="AC32" s="9"/>
      <c r="AD32" s="9"/>
      <c r="AE32" s="802"/>
    </row>
    <row r="33" spans="1:31">
      <c r="A33" s="690"/>
      <c r="B33" s="690"/>
      <c r="C33" s="690"/>
      <c r="D33" s="690"/>
      <c r="E33" s="690"/>
      <c r="F33" s="690"/>
      <c r="G33" s="690"/>
      <c r="H33" s="690"/>
      <c r="I33" s="690"/>
      <c r="J33" s="690"/>
      <c r="K33" s="690"/>
      <c r="Q33" s="9"/>
      <c r="R33" s="9"/>
      <c r="S33" s="9"/>
      <c r="T33" s="9"/>
      <c r="U33" s="9"/>
      <c r="V33" s="9"/>
      <c r="W33" s="9"/>
      <c r="X33" s="9"/>
      <c r="Y33" s="9"/>
      <c r="Z33" s="9"/>
      <c r="AA33" s="9"/>
      <c r="AB33" s="9"/>
      <c r="AC33" s="9"/>
      <c r="AD33" s="9"/>
      <c r="AE33" s="802"/>
    </row>
    <row r="34" spans="1:31">
      <c r="A34" s="690"/>
      <c r="B34" s="690"/>
      <c r="C34" s="690"/>
      <c r="D34" s="690"/>
      <c r="E34" s="690"/>
      <c r="F34" s="690"/>
      <c r="G34" s="690"/>
      <c r="H34" s="690"/>
      <c r="I34" s="690"/>
      <c r="J34" s="690"/>
      <c r="K34" s="690"/>
    </row>
    <row r="35" spans="1:31">
      <c r="A35" s="690"/>
      <c r="B35" s="690"/>
      <c r="C35" s="690"/>
      <c r="D35" s="690"/>
      <c r="E35" s="690"/>
      <c r="F35" s="690"/>
      <c r="G35" s="690"/>
      <c r="H35" s="690"/>
      <c r="I35" s="690"/>
      <c r="J35" s="690"/>
      <c r="K35" s="690"/>
    </row>
  </sheetData>
  <mergeCells count="19">
    <mergeCell ref="N4:N5"/>
    <mergeCell ref="A5:B5"/>
    <mergeCell ref="A6:B6"/>
    <mergeCell ref="A7:B7"/>
    <mergeCell ref="A9:B9"/>
    <mergeCell ref="H4:H5"/>
    <mergeCell ref="I4:I5"/>
    <mergeCell ref="J4:J5"/>
    <mergeCell ref="K4:K5"/>
    <mergeCell ref="L4:L5"/>
    <mergeCell ref="M4:M5"/>
    <mergeCell ref="A4:B4"/>
    <mergeCell ref="C4:C5"/>
    <mergeCell ref="D4:D5"/>
    <mergeCell ref="A11:H11"/>
    <mergeCell ref="E4:E5"/>
    <mergeCell ref="F4:F5"/>
    <mergeCell ref="G4:G5"/>
    <mergeCell ref="A10:B10"/>
  </mergeCells>
  <phoneticPr fontId="3"/>
  <printOptions horizontalCentered="1"/>
  <pageMargins left="0.78740157480314965" right="0.39370078740157483" top="0.98425196850393704" bottom="0.98425196850393704" header="0.51181102362204722" footer="0.51181102362204722"/>
  <pageSetup paperSize="9" scale="98" orientation="portrait" r:id="rId1"/>
  <headerFooter alignWithMargins="0">
    <oddFooter>&amp;C－20－</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view="pageBreakPreview" zoomScaleNormal="100" zoomScaleSheetLayoutView="100" workbookViewId="0">
      <selection activeCell="K59" sqref="K59"/>
    </sheetView>
  </sheetViews>
  <sheetFormatPr defaultRowHeight="14.25"/>
  <cols>
    <col min="1" max="1" width="5.625" style="2" customWidth="1"/>
    <col min="2" max="2" width="1.5" style="2" customWidth="1"/>
    <col min="3" max="3" width="10.625" style="2" customWidth="1"/>
    <col min="4" max="15" width="5.625" style="2" customWidth="1"/>
    <col min="16" max="16" width="6.75" style="2" customWidth="1"/>
    <col min="17" max="16384" width="9" style="2"/>
  </cols>
  <sheetData>
    <row r="1" spans="1:16" ht="15">
      <c r="A1" s="70" t="s">
        <v>651</v>
      </c>
    </row>
    <row r="2" spans="1:16" ht="15" thickBot="1">
      <c r="N2" s="1394" t="s">
        <v>570</v>
      </c>
      <c r="O2" s="1394"/>
      <c r="P2" s="1394"/>
    </row>
    <row r="3" spans="1:16">
      <c r="A3" s="3"/>
      <c r="B3" s="803"/>
      <c r="C3" s="803" t="s">
        <v>1005</v>
      </c>
      <c r="D3" s="1542">
        <v>1</v>
      </c>
      <c r="E3" s="1544">
        <v>2</v>
      </c>
      <c r="F3" s="1544">
        <v>3</v>
      </c>
      <c r="G3" s="1544">
        <v>4</v>
      </c>
      <c r="H3" s="1544">
        <v>5</v>
      </c>
      <c r="I3" s="1544">
        <v>6</v>
      </c>
      <c r="J3" s="1544">
        <v>7</v>
      </c>
      <c r="K3" s="1544">
        <v>8</v>
      </c>
      <c r="L3" s="1544">
        <v>9</v>
      </c>
      <c r="M3" s="1544">
        <v>10</v>
      </c>
      <c r="N3" s="1705">
        <v>11</v>
      </c>
      <c r="O3" s="1438">
        <v>12</v>
      </c>
      <c r="P3" s="1546" t="s">
        <v>997</v>
      </c>
    </row>
    <row r="4" spans="1:16" ht="15" thickBot="1">
      <c r="A4" s="765" t="s">
        <v>572</v>
      </c>
      <c r="B4" s="9"/>
      <c r="C4" s="9"/>
      <c r="D4" s="1839"/>
      <c r="E4" s="1840"/>
      <c r="F4" s="1840"/>
      <c r="G4" s="1840"/>
      <c r="H4" s="1840"/>
      <c r="I4" s="1840"/>
      <c r="J4" s="1840"/>
      <c r="K4" s="1840"/>
      <c r="L4" s="1840"/>
      <c r="M4" s="1840"/>
      <c r="N4" s="1841"/>
      <c r="O4" s="1842"/>
      <c r="P4" s="1843"/>
    </row>
    <row r="5" spans="1:16" ht="18" customHeight="1">
      <c r="A5" s="1836" t="s">
        <v>652</v>
      </c>
      <c r="B5" s="1835" t="s">
        <v>653</v>
      </c>
      <c r="C5" s="1571"/>
      <c r="D5" s="709">
        <v>0</v>
      </c>
      <c r="E5" s="74">
        <v>0</v>
      </c>
      <c r="F5" s="74">
        <v>0</v>
      </c>
      <c r="G5" s="74">
        <v>0</v>
      </c>
      <c r="H5" s="74">
        <v>0</v>
      </c>
      <c r="I5" s="74">
        <v>0</v>
      </c>
      <c r="J5" s="74">
        <v>0</v>
      </c>
      <c r="K5" s="74">
        <v>1</v>
      </c>
      <c r="L5" s="74">
        <v>0</v>
      </c>
      <c r="M5" s="74">
        <v>0</v>
      </c>
      <c r="N5" s="74">
        <v>0</v>
      </c>
      <c r="O5" s="710">
        <v>0</v>
      </c>
      <c r="P5" s="804">
        <f t="shared" ref="P5:P55" si="0">SUM(D5:O5)</f>
        <v>1</v>
      </c>
    </row>
    <row r="6" spans="1:16" ht="18" customHeight="1">
      <c r="A6" s="1410"/>
      <c r="B6" s="1832" t="s">
        <v>654</v>
      </c>
      <c r="C6" s="1581"/>
      <c r="D6" s="108">
        <v>2</v>
      </c>
      <c r="E6" s="86">
        <v>1</v>
      </c>
      <c r="F6" s="86">
        <v>2</v>
      </c>
      <c r="G6" s="86">
        <v>3</v>
      </c>
      <c r="H6" s="86">
        <v>2</v>
      </c>
      <c r="I6" s="86">
        <v>2</v>
      </c>
      <c r="J6" s="86">
        <v>5</v>
      </c>
      <c r="K6" s="86">
        <v>2</v>
      </c>
      <c r="L6" s="86">
        <v>0</v>
      </c>
      <c r="M6" s="86">
        <v>3</v>
      </c>
      <c r="N6" s="86">
        <v>1</v>
      </c>
      <c r="O6" s="380">
        <v>1</v>
      </c>
      <c r="P6" s="805">
        <f t="shared" si="0"/>
        <v>24</v>
      </c>
    </row>
    <row r="7" spans="1:16" ht="18" customHeight="1">
      <c r="A7" s="1838"/>
      <c r="B7" s="806"/>
      <c r="C7" s="230" t="s">
        <v>952</v>
      </c>
      <c r="D7" s="108">
        <v>0</v>
      </c>
      <c r="E7" s="86">
        <v>0</v>
      </c>
      <c r="F7" s="86">
        <v>0</v>
      </c>
      <c r="G7" s="86">
        <v>0</v>
      </c>
      <c r="H7" s="86">
        <v>0</v>
      </c>
      <c r="I7" s="86">
        <v>0</v>
      </c>
      <c r="J7" s="86">
        <v>0</v>
      </c>
      <c r="K7" s="86">
        <v>0</v>
      </c>
      <c r="L7" s="86">
        <v>0</v>
      </c>
      <c r="M7" s="86">
        <v>0</v>
      </c>
      <c r="N7" s="86">
        <v>0</v>
      </c>
      <c r="O7" s="380">
        <v>0</v>
      </c>
      <c r="P7" s="805">
        <f t="shared" si="0"/>
        <v>0</v>
      </c>
    </row>
    <row r="8" spans="1:16" ht="18" customHeight="1">
      <c r="A8" s="1447" t="s">
        <v>655</v>
      </c>
      <c r="B8" s="1831" t="s">
        <v>653</v>
      </c>
      <c r="C8" s="1581"/>
      <c r="D8" s="108">
        <v>0</v>
      </c>
      <c r="E8" s="86">
        <v>0</v>
      </c>
      <c r="F8" s="86">
        <v>0</v>
      </c>
      <c r="G8" s="86">
        <v>0</v>
      </c>
      <c r="H8" s="86">
        <v>0</v>
      </c>
      <c r="I8" s="86">
        <v>0</v>
      </c>
      <c r="J8" s="86">
        <v>0</v>
      </c>
      <c r="K8" s="86">
        <v>0</v>
      </c>
      <c r="L8" s="86">
        <v>0</v>
      </c>
      <c r="M8" s="86">
        <v>0</v>
      </c>
      <c r="N8" s="86">
        <v>0</v>
      </c>
      <c r="O8" s="380">
        <v>0</v>
      </c>
      <c r="P8" s="805">
        <f t="shared" si="0"/>
        <v>0</v>
      </c>
    </row>
    <row r="9" spans="1:16" ht="18" customHeight="1">
      <c r="A9" s="1829"/>
      <c r="B9" s="1832" t="s">
        <v>654</v>
      </c>
      <c r="C9" s="1581"/>
      <c r="D9" s="108">
        <v>2</v>
      </c>
      <c r="E9" s="86">
        <v>2</v>
      </c>
      <c r="F9" s="86">
        <v>0</v>
      </c>
      <c r="G9" s="86">
        <v>2</v>
      </c>
      <c r="H9" s="86">
        <v>3</v>
      </c>
      <c r="I9" s="86">
        <v>2</v>
      </c>
      <c r="J9" s="86">
        <v>4</v>
      </c>
      <c r="K9" s="86">
        <v>3</v>
      </c>
      <c r="L9" s="86">
        <v>3</v>
      </c>
      <c r="M9" s="86">
        <v>0</v>
      </c>
      <c r="N9" s="86">
        <v>1</v>
      </c>
      <c r="O9" s="380">
        <v>1</v>
      </c>
      <c r="P9" s="805">
        <f t="shared" si="0"/>
        <v>23</v>
      </c>
    </row>
    <row r="10" spans="1:16" ht="18" customHeight="1">
      <c r="A10" s="1837"/>
      <c r="B10" s="806"/>
      <c r="C10" s="230" t="s">
        <v>952</v>
      </c>
      <c r="D10" s="108">
        <v>0</v>
      </c>
      <c r="E10" s="86">
        <v>0</v>
      </c>
      <c r="F10" s="86">
        <v>0</v>
      </c>
      <c r="G10" s="86">
        <v>0</v>
      </c>
      <c r="H10" s="86">
        <v>0</v>
      </c>
      <c r="I10" s="86">
        <v>0</v>
      </c>
      <c r="J10" s="86">
        <v>0</v>
      </c>
      <c r="K10" s="86">
        <v>0</v>
      </c>
      <c r="L10" s="86">
        <v>0</v>
      </c>
      <c r="M10" s="86">
        <v>0</v>
      </c>
      <c r="N10" s="86">
        <v>0</v>
      </c>
      <c r="O10" s="380">
        <v>0</v>
      </c>
      <c r="P10" s="805">
        <f t="shared" si="0"/>
        <v>0</v>
      </c>
    </row>
    <row r="11" spans="1:16" ht="18" customHeight="1">
      <c r="A11" s="1447" t="s">
        <v>656</v>
      </c>
      <c r="B11" s="1831" t="s">
        <v>653</v>
      </c>
      <c r="C11" s="1581"/>
      <c r="D11" s="108">
        <v>0</v>
      </c>
      <c r="E11" s="86">
        <v>0</v>
      </c>
      <c r="F11" s="86">
        <v>0</v>
      </c>
      <c r="G11" s="86">
        <v>0</v>
      </c>
      <c r="H11" s="86">
        <v>0</v>
      </c>
      <c r="I11" s="86">
        <v>0</v>
      </c>
      <c r="J11" s="86">
        <v>0</v>
      </c>
      <c r="K11" s="86">
        <v>0</v>
      </c>
      <c r="L11" s="86">
        <v>0</v>
      </c>
      <c r="M11" s="86">
        <v>0</v>
      </c>
      <c r="N11" s="86">
        <v>0</v>
      </c>
      <c r="O11" s="380">
        <v>0</v>
      </c>
      <c r="P11" s="805">
        <f t="shared" si="0"/>
        <v>0</v>
      </c>
    </row>
    <row r="12" spans="1:16" ht="18" customHeight="1">
      <c r="A12" s="1829"/>
      <c r="B12" s="1832" t="s">
        <v>654</v>
      </c>
      <c r="C12" s="1581"/>
      <c r="D12" s="108">
        <v>2</v>
      </c>
      <c r="E12" s="86">
        <v>4</v>
      </c>
      <c r="F12" s="86">
        <v>4</v>
      </c>
      <c r="G12" s="86">
        <v>2</v>
      </c>
      <c r="H12" s="86">
        <v>0</v>
      </c>
      <c r="I12" s="86">
        <v>3</v>
      </c>
      <c r="J12" s="86">
        <v>1</v>
      </c>
      <c r="K12" s="86">
        <v>2</v>
      </c>
      <c r="L12" s="86">
        <v>2</v>
      </c>
      <c r="M12" s="86">
        <v>2</v>
      </c>
      <c r="N12" s="86">
        <v>3</v>
      </c>
      <c r="O12" s="380">
        <v>2</v>
      </c>
      <c r="P12" s="805">
        <f t="shared" si="0"/>
        <v>27</v>
      </c>
    </row>
    <row r="13" spans="1:16" ht="18" customHeight="1">
      <c r="A13" s="1837"/>
      <c r="B13" s="806"/>
      <c r="C13" s="230" t="s">
        <v>952</v>
      </c>
      <c r="D13" s="108">
        <v>0</v>
      </c>
      <c r="E13" s="86">
        <v>0</v>
      </c>
      <c r="F13" s="86">
        <v>0</v>
      </c>
      <c r="G13" s="86">
        <v>0</v>
      </c>
      <c r="H13" s="86">
        <v>0</v>
      </c>
      <c r="I13" s="86">
        <v>0</v>
      </c>
      <c r="J13" s="86">
        <v>0</v>
      </c>
      <c r="K13" s="86">
        <v>0</v>
      </c>
      <c r="L13" s="86">
        <v>0</v>
      </c>
      <c r="M13" s="86">
        <v>0</v>
      </c>
      <c r="N13" s="86">
        <v>0</v>
      </c>
      <c r="O13" s="380">
        <v>0</v>
      </c>
      <c r="P13" s="805">
        <f t="shared" si="0"/>
        <v>0</v>
      </c>
    </row>
    <row r="14" spans="1:16" ht="18" customHeight="1">
      <c r="A14" s="1447" t="s">
        <v>657</v>
      </c>
      <c r="B14" s="1831" t="s">
        <v>653</v>
      </c>
      <c r="C14" s="1581"/>
      <c r="D14" s="108">
        <v>0</v>
      </c>
      <c r="E14" s="86">
        <v>0</v>
      </c>
      <c r="F14" s="86">
        <v>0</v>
      </c>
      <c r="G14" s="86">
        <v>0</v>
      </c>
      <c r="H14" s="86">
        <v>0</v>
      </c>
      <c r="I14" s="86">
        <v>0</v>
      </c>
      <c r="J14" s="86">
        <v>0</v>
      </c>
      <c r="K14" s="86">
        <v>0</v>
      </c>
      <c r="L14" s="86">
        <v>0</v>
      </c>
      <c r="M14" s="86">
        <v>0</v>
      </c>
      <c r="N14" s="86">
        <v>0</v>
      </c>
      <c r="O14" s="380">
        <v>0</v>
      </c>
      <c r="P14" s="805">
        <f t="shared" si="0"/>
        <v>0</v>
      </c>
    </row>
    <row r="15" spans="1:16" ht="18" customHeight="1">
      <c r="A15" s="1829"/>
      <c r="B15" s="1832" t="s">
        <v>654</v>
      </c>
      <c r="C15" s="1581"/>
      <c r="D15" s="108">
        <v>1</v>
      </c>
      <c r="E15" s="86">
        <v>0</v>
      </c>
      <c r="F15" s="86">
        <v>2</v>
      </c>
      <c r="G15" s="86">
        <v>2</v>
      </c>
      <c r="H15" s="86">
        <v>0</v>
      </c>
      <c r="I15" s="86">
        <v>5</v>
      </c>
      <c r="J15" s="86">
        <v>1</v>
      </c>
      <c r="K15" s="86">
        <v>2</v>
      </c>
      <c r="L15" s="86">
        <v>1</v>
      </c>
      <c r="M15" s="86">
        <v>1</v>
      </c>
      <c r="N15" s="86">
        <v>3</v>
      </c>
      <c r="O15" s="380">
        <v>1</v>
      </c>
      <c r="P15" s="805">
        <f t="shared" si="0"/>
        <v>19</v>
      </c>
    </row>
    <row r="16" spans="1:16" ht="18" customHeight="1">
      <c r="A16" s="1837"/>
      <c r="B16" s="806"/>
      <c r="C16" s="230" t="s">
        <v>952</v>
      </c>
      <c r="D16" s="108">
        <v>0</v>
      </c>
      <c r="E16" s="86">
        <v>0</v>
      </c>
      <c r="F16" s="86">
        <v>0</v>
      </c>
      <c r="G16" s="86">
        <v>0</v>
      </c>
      <c r="H16" s="86">
        <v>0</v>
      </c>
      <c r="I16" s="86">
        <v>0</v>
      </c>
      <c r="J16" s="86">
        <v>0</v>
      </c>
      <c r="K16" s="86">
        <v>0</v>
      </c>
      <c r="L16" s="86">
        <v>0</v>
      </c>
      <c r="M16" s="86">
        <v>0</v>
      </c>
      <c r="N16" s="86">
        <v>0</v>
      </c>
      <c r="O16" s="380">
        <v>0</v>
      </c>
      <c r="P16" s="805">
        <f t="shared" si="0"/>
        <v>0</v>
      </c>
    </row>
    <row r="17" spans="1:16" ht="18" customHeight="1">
      <c r="A17" s="1447" t="s">
        <v>658</v>
      </c>
      <c r="B17" s="1831" t="s">
        <v>653</v>
      </c>
      <c r="C17" s="1581"/>
      <c r="D17" s="108">
        <v>0</v>
      </c>
      <c r="E17" s="86">
        <v>0</v>
      </c>
      <c r="F17" s="86">
        <v>0</v>
      </c>
      <c r="G17" s="86">
        <v>0</v>
      </c>
      <c r="H17" s="86">
        <v>0</v>
      </c>
      <c r="I17" s="86">
        <v>0</v>
      </c>
      <c r="J17" s="86">
        <v>0</v>
      </c>
      <c r="K17" s="86">
        <v>0</v>
      </c>
      <c r="L17" s="86">
        <v>0</v>
      </c>
      <c r="M17" s="86">
        <v>0</v>
      </c>
      <c r="N17" s="86">
        <v>0</v>
      </c>
      <c r="O17" s="380">
        <v>0</v>
      </c>
      <c r="P17" s="805">
        <f t="shared" si="0"/>
        <v>0</v>
      </c>
    </row>
    <row r="18" spans="1:16" ht="18" customHeight="1">
      <c r="A18" s="1829"/>
      <c r="B18" s="1832" t="s">
        <v>654</v>
      </c>
      <c r="C18" s="1581"/>
      <c r="D18" s="108">
        <v>0</v>
      </c>
      <c r="E18" s="86">
        <v>0</v>
      </c>
      <c r="F18" s="86">
        <v>1</v>
      </c>
      <c r="G18" s="86">
        <v>1</v>
      </c>
      <c r="H18" s="86">
        <v>1</v>
      </c>
      <c r="I18" s="86">
        <v>2</v>
      </c>
      <c r="J18" s="86">
        <v>1</v>
      </c>
      <c r="K18" s="86">
        <v>1</v>
      </c>
      <c r="L18" s="86">
        <v>1</v>
      </c>
      <c r="M18" s="86">
        <v>1</v>
      </c>
      <c r="N18" s="86">
        <v>0</v>
      </c>
      <c r="O18" s="380">
        <v>1</v>
      </c>
      <c r="P18" s="805">
        <f t="shared" si="0"/>
        <v>10</v>
      </c>
    </row>
    <row r="19" spans="1:16" ht="18" customHeight="1">
      <c r="A19" s="1837"/>
      <c r="B19" s="806"/>
      <c r="C19" s="230" t="s">
        <v>952</v>
      </c>
      <c r="D19" s="108">
        <v>0</v>
      </c>
      <c r="E19" s="86">
        <v>0</v>
      </c>
      <c r="F19" s="86">
        <v>0</v>
      </c>
      <c r="G19" s="86">
        <v>0</v>
      </c>
      <c r="H19" s="86">
        <v>0</v>
      </c>
      <c r="I19" s="86">
        <v>0</v>
      </c>
      <c r="J19" s="86">
        <v>0</v>
      </c>
      <c r="K19" s="86">
        <v>0</v>
      </c>
      <c r="L19" s="86">
        <v>0</v>
      </c>
      <c r="M19" s="86">
        <v>0</v>
      </c>
      <c r="N19" s="86">
        <v>0</v>
      </c>
      <c r="O19" s="380">
        <v>0</v>
      </c>
      <c r="P19" s="805">
        <f t="shared" si="0"/>
        <v>0</v>
      </c>
    </row>
    <row r="20" spans="1:16" ht="18" customHeight="1">
      <c r="A20" s="1447" t="s">
        <v>659</v>
      </c>
      <c r="B20" s="1831" t="s">
        <v>653</v>
      </c>
      <c r="C20" s="1581"/>
      <c r="D20" s="108">
        <v>0</v>
      </c>
      <c r="E20" s="86">
        <v>0</v>
      </c>
      <c r="F20" s="86">
        <v>0</v>
      </c>
      <c r="G20" s="86">
        <v>0</v>
      </c>
      <c r="H20" s="86">
        <v>0</v>
      </c>
      <c r="I20" s="86">
        <v>0</v>
      </c>
      <c r="J20" s="86">
        <v>0</v>
      </c>
      <c r="K20" s="86">
        <v>0</v>
      </c>
      <c r="L20" s="86">
        <v>0</v>
      </c>
      <c r="M20" s="86">
        <v>0</v>
      </c>
      <c r="N20" s="86">
        <v>0</v>
      </c>
      <c r="O20" s="380">
        <v>0</v>
      </c>
      <c r="P20" s="805">
        <f t="shared" si="0"/>
        <v>0</v>
      </c>
    </row>
    <row r="21" spans="1:16" ht="18" customHeight="1">
      <c r="A21" s="1829"/>
      <c r="B21" s="1832" t="s">
        <v>654</v>
      </c>
      <c r="C21" s="1581"/>
      <c r="D21" s="108">
        <v>4</v>
      </c>
      <c r="E21" s="86">
        <v>1</v>
      </c>
      <c r="F21" s="86">
        <v>3</v>
      </c>
      <c r="G21" s="86">
        <v>1</v>
      </c>
      <c r="H21" s="86">
        <v>2</v>
      </c>
      <c r="I21" s="86">
        <v>1</v>
      </c>
      <c r="J21" s="86">
        <v>1</v>
      </c>
      <c r="K21" s="86">
        <v>2</v>
      </c>
      <c r="L21" s="86">
        <v>2</v>
      </c>
      <c r="M21" s="86">
        <v>2</v>
      </c>
      <c r="N21" s="86">
        <v>3</v>
      </c>
      <c r="O21" s="380">
        <v>3</v>
      </c>
      <c r="P21" s="805">
        <f t="shared" si="0"/>
        <v>25</v>
      </c>
    </row>
    <row r="22" spans="1:16" ht="18" customHeight="1">
      <c r="A22" s="1837"/>
      <c r="B22" s="806"/>
      <c r="C22" s="230" t="s">
        <v>952</v>
      </c>
      <c r="D22" s="108">
        <v>0</v>
      </c>
      <c r="E22" s="86">
        <v>0</v>
      </c>
      <c r="F22" s="86">
        <v>0</v>
      </c>
      <c r="G22" s="86">
        <v>0</v>
      </c>
      <c r="H22" s="86">
        <v>0</v>
      </c>
      <c r="I22" s="86">
        <v>0</v>
      </c>
      <c r="J22" s="86">
        <v>0</v>
      </c>
      <c r="K22" s="86">
        <v>0</v>
      </c>
      <c r="L22" s="86">
        <v>0</v>
      </c>
      <c r="M22" s="86">
        <v>0</v>
      </c>
      <c r="N22" s="86">
        <v>0</v>
      </c>
      <c r="O22" s="380">
        <v>0</v>
      </c>
      <c r="P22" s="805">
        <f t="shared" si="0"/>
        <v>0</v>
      </c>
    </row>
    <row r="23" spans="1:16" ht="18" customHeight="1">
      <c r="A23" s="1447" t="s">
        <v>660</v>
      </c>
      <c r="B23" s="1831" t="s">
        <v>653</v>
      </c>
      <c r="C23" s="1581"/>
      <c r="D23" s="108">
        <v>0</v>
      </c>
      <c r="E23" s="86">
        <v>0</v>
      </c>
      <c r="F23" s="86">
        <v>0</v>
      </c>
      <c r="G23" s="86">
        <v>0</v>
      </c>
      <c r="H23" s="86">
        <v>0</v>
      </c>
      <c r="I23" s="86">
        <v>0</v>
      </c>
      <c r="J23" s="86">
        <v>0</v>
      </c>
      <c r="K23" s="86">
        <v>0</v>
      </c>
      <c r="L23" s="86">
        <v>0</v>
      </c>
      <c r="M23" s="86">
        <v>0</v>
      </c>
      <c r="N23" s="86">
        <v>0</v>
      </c>
      <c r="O23" s="380">
        <v>0</v>
      </c>
      <c r="P23" s="805">
        <f t="shared" si="0"/>
        <v>0</v>
      </c>
    </row>
    <row r="24" spans="1:16" ht="18" customHeight="1">
      <c r="A24" s="1829"/>
      <c r="B24" s="1832" t="s">
        <v>654</v>
      </c>
      <c r="C24" s="1581"/>
      <c r="D24" s="108">
        <v>2</v>
      </c>
      <c r="E24" s="86">
        <v>0</v>
      </c>
      <c r="F24" s="86">
        <v>4</v>
      </c>
      <c r="G24" s="86">
        <v>6</v>
      </c>
      <c r="H24" s="86">
        <v>2</v>
      </c>
      <c r="I24" s="86">
        <v>3</v>
      </c>
      <c r="J24" s="86">
        <v>4</v>
      </c>
      <c r="K24" s="86">
        <v>1</v>
      </c>
      <c r="L24" s="86">
        <v>5</v>
      </c>
      <c r="M24" s="86">
        <v>5</v>
      </c>
      <c r="N24" s="86">
        <v>2</v>
      </c>
      <c r="O24" s="380">
        <v>2</v>
      </c>
      <c r="P24" s="805">
        <f t="shared" si="0"/>
        <v>36</v>
      </c>
    </row>
    <row r="25" spans="1:16" ht="18" customHeight="1">
      <c r="A25" s="1837"/>
      <c r="B25" s="806"/>
      <c r="C25" s="230" t="s">
        <v>952</v>
      </c>
      <c r="D25" s="108">
        <v>0</v>
      </c>
      <c r="E25" s="86">
        <v>0</v>
      </c>
      <c r="F25" s="86">
        <v>0</v>
      </c>
      <c r="G25" s="86">
        <v>0</v>
      </c>
      <c r="H25" s="86">
        <v>0</v>
      </c>
      <c r="I25" s="86">
        <v>0</v>
      </c>
      <c r="J25" s="86">
        <v>0</v>
      </c>
      <c r="K25" s="86">
        <v>1</v>
      </c>
      <c r="L25" s="86">
        <v>1</v>
      </c>
      <c r="M25" s="86">
        <v>1</v>
      </c>
      <c r="N25" s="86">
        <v>0</v>
      </c>
      <c r="O25" s="380">
        <v>0</v>
      </c>
      <c r="P25" s="805">
        <f t="shared" si="0"/>
        <v>3</v>
      </c>
    </row>
    <row r="26" spans="1:16" ht="18" customHeight="1">
      <c r="A26" s="1447" t="s">
        <v>661</v>
      </c>
      <c r="B26" s="1831" t="s">
        <v>653</v>
      </c>
      <c r="C26" s="1581"/>
      <c r="D26" s="108">
        <v>0</v>
      </c>
      <c r="E26" s="86">
        <v>0</v>
      </c>
      <c r="F26" s="86">
        <v>0</v>
      </c>
      <c r="G26" s="86">
        <v>0</v>
      </c>
      <c r="H26" s="86">
        <v>0</v>
      </c>
      <c r="I26" s="86">
        <v>0</v>
      </c>
      <c r="J26" s="86">
        <v>0</v>
      </c>
      <c r="K26" s="86">
        <v>0</v>
      </c>
      <c r="L26" s="86">
        <v>0</v>
      </c>
      <c r="M26" s="86">
        <v>0</v>
      </c>
      <c r="N26" s="86">
        <v>0</v>
      </c>
      <c r="O26" s="380">
        <v>0</v>
      </c>
      <c r="P26" s="805">
        <f t="shared" si="0"/>
        <v>0</v>
      </c>
    </row>
    <row r="27" spans="1:16" ht="18" customHeight="1">
      <c r="A27" s="1829"/>
      <c r="B27" s="1832" t="s">
        <v>654</v>
      </c>
      <c r="C27" s="1581"/>
      <c r="D27" s="108">
        <v>1</v>
      </c>
      <c r="E27" s="86">
        <v>2</v>
      </c>
      <c r="F27" s="86">
        <v>2</v>
      </c>
      <c r="G27" s="86">
        <v>6</v>
      </c>
      <c r="H27" s="86">
        <v>4</v>
      </c>
      <c r="I27" s="86">
        <v>3</v>
      </c>
      <c r="J27" s="86">
        <v>4</v>
      </c>
      <c r="K27" s="86">
        <v>4</v>
      </c>
      <c r="L27" s="86">
        <v>0</v>
      </c>
      <c r="M27" s="86">
        <v>2</v>
      </c>
      <c r="N27" s="86">
        <v>4</v>
      </c>
      <c r="O27" s="380">
        <v>5</v>
      </c>
      <c r="P27" s="805">
        <f t="shared" si="0"/>
        <v>37</v>
      </c>
    </row>
    <row r="28" spans="1:16" ht="18" customHeight="1">
      <c r="A28" s="1837"/>
      <c r="B28" s="806"/>
      <c r="C28" s="230" t="s">
        <v>952</v>
      </c>
      <c r="D28" s="108">
        <v>0</v>
      </c>
      <c r="E28" s="86">
        <v>0</v>
      </c>
      <c r="F28" s="86">
        <v>0</v>
      </c>
      <c r="G28" s="86">
        <v>0</v>
      </c>
      <c r="H28" s="86">
        <v>0</v>
      </c>
      <c r="I28" s="86">
        <v>0</v>
      </c>
      <c r="J28" s="86">
        <v>0</v>
      </c>
      <c r="K28" s="86">
        <v>0</v>
      </c>
      <c r="L28" s="86">
        <v>0</v>
      </c>
      <c r="M28" s="86">
        <v>1</v>
      </c>
      <c r="N28" s="86">
        <v>1</v>
      </c>
      <c r="O28" s="380">
        <v>0</v>
      </c>
      <c r="P28" s="805">
        <f t="shared" si="0"/>
        <v>2</v>
      </c>
    </row>
    <row r="29" spans="1:16" ht="18" customHeight="1">
      <c r="A29" s="1447" t="s">
        <v>662</v>
      </c>
      <c r="B29" s="1831" t="s">
        <v>653</v>
      </c>
      <c r="C29" s="1581"/>
      <c r="D29" s="108">
        <v>0</v>
      </c>
      <c r="E29" s="86">
        <v>0</v>
      </c>
      <c r="F29" s="86">
        <v>0</v>
      </c>
      <c r="G29" s="86">
        <v>0</v>
      </c>
      <c r="H29" s="86">
        <v>0</v>
      </c>
      <c r="I29" s="86">
        <v>0</v>
      </c>
      <c r="J29" s="86">
        <v>0</v>
      </c>
      <c r="K29" s="86">
        <v>0</v>
      </c>
      <c r="L29" s="86">
        <v>0</v>
      </c>
      <c r="M29" s="86">
        <v>0</v>
      </c>
      <c r="N29" s="86">
        <v>0</v>
      </c>
      <c r="O29" s="380">
        <v>0</v>
      </c>
      <c r="P29" s="805">
        <f t="shared" si="0"/>
        <v>0</v>
      </c>
    </row>
    <row r="30" spans="1:16" ht="18" customHeight="1">
      <c r="A30" s="1829"/>
      <c r="B30" s="1832" t="s">
        <v>654</v>
      </c>
      <c r="C30" s="1581"/>
      <c r="D30" s="108">
        <v>1</v>
      </c>
      <c r="E30" s="86">
        <v>4</v>
      </c>
      <c r="F30" s="86">
        <v>3</v>
      </c>
      <c r="G30" s="86">
        <v>4</v>
      </c>
      <c r="H30" s="86">
        <v>5</v>
      </c>
      <c r="I30" s="86">
        <v>4</v>
      </c>
      <c r="J30" s="86">
        <v>5</v>
      </c>
      <c r="K30" s="86">
        <v>2</v>
      </c>
      <c r="L30" s="86">
        <v>3</v>
      </c>
      <c r="M30" s="86">
        <v>5</v>
      </c>
      <c r="N30" s="86">
        <v>2</v>
      </c>
      <c r="O30" s="380">
        <v>3</v>
      </c>
      <c r="P30" s="805">
        <f t="shared" si="0"/>
        <v>41</v>
      </c>
    </row>
    <row r="31" spans="1:16" ht="18" customHeight="1">
      <c r="A31" s="1837"/>
      <c r="B31" s="806"/>
      <c r="C31" s="230" t="s">
        <v>952</v>
      </c>
      <c r="D31" s="108">
        <v>0</v>
      </c>
      <c r="E31" s="86">
        <v>0</v>
      </c>
      <c r="F31" s="86">
        <v>0</v>
      </c>
      <c r="G31" s="86">
        <v>0</v>
      </c>
      <c r="H31" s="86">
        <v>1</v>
      </c>
      <c r="I31" s="86">
        <v>0</v>
      </c>
      <c r="J31" s="86">
        <v>0</v>
      </c>
      <c r="K31" s="86">
        <v>0</v>
      </c>
      <c r="L31" s="86">
        <v>0</v>
      </c>
      <c r="M31" s="86">
        <v>0</v>
      </c>
      <c r="N31" s="86">
        <v>0</v>
      </c>
      <c r="O31" s="380">
        <v>0</v>
      </c>
      <c r="P31" s="805">
        <f t="shared" si="0"/>
        <v>1</v>
      </c>
    </row>
    <row r="32" spans="1:16" ht="18" customHeight="1">
      <c r="A32" s="1447" t="s">
        <v>663</v>
      </c>
      <c r="B32" s="1831" t="s">
        <v>653</v>
      </c>
      <c r="C32" s="1581"/>
      <c r="D32" s="108">
        <v>0</v>
      </c>
      <c r="E32" s="86">
        <v>0</v>
      </c>
      <c r="F32" s="86">
        <v>0</v>
      </c>
      <c r="G32" s="86">
        <v>0</v>
      </c>
      <c r="H32" s="86">
        <v>0</v>
      </c>
      <c r="I32" s="86">
        <v>0</v>
      </c>
      <c r="J32" s="86">
        <v>0</v>
      </c>
      <c r="K32" s="86">
        <v>0</v>
      </c>
      <c r="L32" s="86">
        <v>0</v>
      </c>
      <c r="M32" s="86">
        <v>0</v>
      </c>
      <c r="N32" s="86">
        <v>0</v>
      </c>
      <c r="O32" s="380">
        <v>0</v>
      </c>
      <c r="P32" s="805">
        <f t="shared" si="0"/>
        <v>0</v>
      </c>
    </row>
    <row r="33" spans="1:16" ht="18" customHeight="1">
      <c r="A33" s="1829"/>
      <c r="B33" s="1832" t="s">
        <v>654</v>
      </c>
      <c r="C33" s="1581"/>
      <c r="D33" s="108">
        <v>3</v>
      </c>
      <c r="E33" s="86">
        <v>0</v>
      </c>
      <c r="F33" s="86">
        <v>3</v>
      </c>
      <c r="G33" s="86">
        <v>1</v>
      </c>
      <c r="H33" s="86">
        <v>1</v>
      </c>
      <c r="I33" s="86">
        <v>3</v>
      </c>
      <c r="J33" s="86">
        <v>3</v>
      </c>
      <c r="K33" s="86">
        <v>2</v>
      </c>
      <c r="L33" s="86">
        <v>4</v>
      </c>
      <c r="M33" s="86">
        <v>2</v>
      </c>
      <c r="N33" s="86">
        <v>3</v>
      </c>
      <c r="O33" s="109">
        <v>2</v>
      </c>
      <c r="P33" s="805">
        <f t="shared" si="0"/>
        <v>27</v>
      </c>
    </row>
    <row r="34" spans="1:16" ht="18" customHeight="1">
      <c r="A34" s="1837"/>
      <c r="B34" s="806"/>
      <c r="C34" s="230" t="s">
        <v>952</v>
      </c>
      <c r="D34" s="108">
        <v>0</v>
      </c>
      <c r="E34" s="86">
        <v>0</v>
      </c>
      <c r="F34" s="86">
        <v>0</v>
      </c>
      <c r="G34" s="86">
        <v>0</v>
      </c>
      <c r="H34" s="86">
        <v>0</v>
      </c>
      <c r="I34" s="86">
        <v>0</v>
      </c>
      <c r="J34" s="86">
        <v>0</v>
      </c>
      <c r="K34" s="86">
        <v>0</v>
      </c>
      <c r="L34" s="86">
        <v>0</v>
      </c>
      <c r="M34" s="86">
        <v>0</v>
      </c>
      <c r="N34" s="86">
        <v>0</v>
      </c>
      <c r="O34" s="380">
        <v>0</v>
      </c>
      <c r="P34" s="805">
        <f t="shared" si="0"/>
        <v>0</v>
      </c>
    </row>
    <row r="35" spans="1:16" ht="18" customHeight="1">
      <c r="A35" s="1447" t="s">
        <v>664</v>
      </c>
      <c r="B35" s="1831" t="s">
        <v>653</v>
      </c>
      <c r="C35" s="1581"/>
      <c r="D35" s="108">
        <v>0</v>
      </c>
      <c r="E35" s="86">
        <v>0</v>
      </c>
      <c r="F35" s="86">
        <v>0</v>
      </c>
      <c r="G35" s="86">
        <v>0</v>
      </c>
      <c r="H35" s="86">
        <v>0</v>
      </c>
      <c r="I35" s="86">
        <v>0</v>
      </c>
      <c r="J35" s="86">
        <v>0</v>
      </c>
      <c r="K35" s="86">
        <v>0</v>
      </c>
      <c r="L35" s="86">
        <v>0</v>
      </c>
      <c r="M35" s="86">
        <v>0</v>
      </c>
      <c r="N35" s="86">
        <v>0</v>
      </c>
      <c r="O35" s="109">
        <v>0</v>
      </c>
      <c r="P35" s="805">
        <f t="shared" si="0"/>
        <v>0</v>
      </c>
    </row>
    <row r="36" spans="1:16" ht="18" customHeight="1">
      <c r="A36" s="1829"/>
      <c r="B36" s="1832" t="s">
        <v>654</v>
      </c>
      <c r="C36" s="1581"/>
      <c r="D36" s="108">
        <v>3</v>
      </c>
      <c r="E36" s="86">
        <v>4</v>
      </c>
      <c r="F36" s="86">
        <v>1</v>
      </c>
      <c r="G36" s="86">
        <v>3</v>
      </c>
      <c r="H36" s="86">
        <v>1</v>
      </c>
      <c r="I36" s="86">
        <v>1</v>
      </c>
      <c r="J36" s="86">
        <v>3</v>
      </c>
      <c r="K36" s="86">
        <v>4</v>
      </c>
      <c r="L36" s="86">
        <v>2</v>
      </c>
      <c r="M36" s="86">
        <v>1</v>
      </c>
      <c r="N36" s="86">
        <v>3</v>
      </c>
      <c r="O36" s="109">
        <v>2</v>
      </c>
      <c r="P36" s="805">
        <f t="shared" si="0"/>
        <v>28</v>
      </c>
    </row>
    <row r="37" spans="1:16" ht="18" customHeight="1">
      <c r="A37" s="1837"/>
      <c r="B37" s="807"/>
      <c r="C37" s="230" t="s">
        <v>952</v>
      </c>
      <c r="D37" s="108">
        <v>0</v>
      </c>
      <c r="E37" s="86">
        <v>0</v>
      </c>
      <c r="F37" s="86">
        <v>0</v>
      </c>
      <c r="G37" s="86">
        <v>0</v>
      </c>
      <c r="H37" s="86">
        <v>0</v>
      </c>
      <c r="I37" s="86">
        <v>0</v>
      </c>
      <c r="J37" s="86">
        <v>0</v>
      </c>
      <c r="K37" s="86">
        <v>0</v>
      </c>
      <c r="L37" s="86">
        <v>0</v>
      </c>
      <c r="M37" s="86">
        <v>0</v>
      </c>
      <c r="N37" s="86">
        <v>0</v>
      </c>
      <c r="O37" s="380">
        <v>0</v>
      </c>
      <c r="P37" s="805">
        <f t="shared" si="0"/>
        <v>0</v>
      </c>
    </row>
    <row r="38" spans="1:16" ht="18" customHeight="1">
      <c r="A38" s="1447" t="s">
        <v>665</v>
      </c>
      <c r="B38" s="1831" t="s">
        <v>477</v>
      </c>
      <c r="C38" s="1581"/>
      <c r="D38" s="108">
        <v>0</v>
      </c>
      <c r="E38" s="86">
        <v>0</v>
      </c>
      <c r="F38" s="86">
        <v>0</v>
      </c>
      <c r="G38" s="86">
        <v>0</v>
      </c>
      <c r="H38" s="86">
        <v>0</v>
      </c>
      <c r="I38" s="86">
        <v>0</v>
      </c>
      <c r="J38" s="86">
        <v>0</v>
      </c>
      <c r="K38" s="86">
        <v>0</v>
      </c>
      <c r="L38" s="86">
        <v>0</v>
      </c>
      <c r="M38" s="86">
        <v>0</v>
      </c>
      <c r="N38" s="86">
        <v>0</v>
      </c>
      <c r="O38" s="109">
        <v>0</v>
      </c>
      <c r="P38" s="805">
        <f t="shared" si="0"/>
        <v>0</v>
      </c>
    </row>
    <row r="39" spans="1:16" ht="18" customHeight="1">
      <c r="A39" s="1829"/>
      <c r="B39" s="1832" t="s">
        <v>654</v>
      </c>
      <c r="C39" s="1581"/>
      <c r="D39" s="108">
        <v>1</v>
      </c>
      <c r="E39" s="86">
        <v>2</v>
      </c>
      <c r="F39" s="86">
        <v>5</v>
      </c>
      <c r="G39" s="86">
        <v>3</v>
      </c>
      <c r="H39" s="86">
        <v>5</v>
      </c>
      <c r="I39" s="86">
        <v>2</v>
      </c>
      <c r="J39" s="86">
        <v>1</v>
      </c>
      <c r="K39" s="86">
        <v>4</v>
      </c>
      <c r="L39" s="86">
        <v>1</v>
      </c>
      <c r="M39" s="86">
        <v>2</v>
      </c>
      <c r="N39" s="86">
        <v>3</v>
      </c>
      <c r="O39" s="109">
        <v>0</v>
      </c>
      <c r="P39" s="805">
        <f t="shared" si="0"/>
        <v>29</v>
      </c>
    </row>
    <row r="40" spans="1:16" ht="18" customHeight="1">
      <c r="A40" s="1837"/>
      <c r="B40" s="806"/>
      <c r="C40" s="230" t="s">
        <v>952</v>
      </c>
      <c r="D40" s="108">
        <v>0</v>
      </c>
      <c r="E40" s="86">
        <v>1</v>
      </c>
      <c r="F40" s="86">
        <v>0</v>
      </c>
      <c r="G40" s="86">
        <v>0</v>
      </c>
      <c r="H40" s="86">
        <v>0</v>
      </c>
      <c r="I40" s="86">
        <v>0</v>
      </c>
      <c r="J40" s="86">
        <v>0</v>
      </c>
      <c r="K40" s="86">
        <v>0</v>
      </c>
      <c r="L40" s="86">
        <v>0</v>
      </c>
      <c r="M40" s="86">
        <v>1</v>
      </c>
      <c r="N40" s="86">
        <v>0</v>
      </c>
      <c r="O40" s="380">
        <v>0</v>
      </c>
      <c r="P40" s="805">
        <f t="shared" si="0"/>
        <v>2</v>
      </c>
    </row>
    <row r="41" spans="1:16" ht="18" customHeight="1">
      <c r="A41" s="1447" t="s">
        <v>666</v>
      </c>
      <c r="B41" s="1831" t="s">
        <v>653</v>
      </c>
      <c r="C41" s="1581"/>
      <c r="D41" s="108">
        <v>0</v>
      </c>
      <c r="E41" s="86">
        <v>0</v>
      </c>
      <c r="F41" s="86">
        <v>0</v>
      </c>
      <c r="G41" s="86">
        <v>0</v>
      </c>
      <c r="H41" s="86">
        <v>0</v>
      </c>
      <c r="I41" s="86">
        <v>0</v>
      </c>
      <c r="J41" s="86">
        <v>0</v>
      </c>
      <c r="K41" s="86">
        <v>0</v>
      </c>
      <c r="L41" s="86">
        <v>0</v>
      </c>
      <c r="M41" s="86">
        <v>0</v>
      </c>
      <c r="N41" s="86">
        <v>0</v>
      </c>
      <c r="O41" s="109">
        <v>0</v>
      </c>
      <c r="P41" s="805">
        <f t="shared" si="0"/>
        <v>0</v>
      </c>
    </row>
    <row r="42" spans="1:16" ht="18" customHeight="1">
      <c r="A42" s="1829"/>
      <c r="B42" s="1832" t="s">
        <v>654</v>
      </c>
      <c r="C42" s="1581"/>
      <c r="D42" s="108">
        <v>0</v>
      </c>
      <c r="E42" s="86">
        <v>3</v>
      </c>
      <c r="F42" s="86">
        <v>2</v>
      </c>
      <c r="G42" s="86">
        <v>0</v>
      </c>
      <c r="H42" s="86">
        <v>5</v>
      </c>
      <c r="I42" s="86">
        <v>2</v>
      </c>
      <c r="J42" s="86">
        <v>1</v>
      </c>
      <c r="K42" s="86">
        <v>3</v>
      </c>
      <c r="L42" s="86">
        <v>3</v>
      </c>
      <c r="M42" s="86">
        <v>1</v>
      </c>
      <c r="N42" s="86">
        <v>2</v>
      </c>
      <c r="O42" s="109">
        <v>3</v>
      </c>
      <c r="P42" s="805">
        <f t="shared" si="0"/>
        <v>25</v>
      </c>
    </row>
    <row r="43" spans="1:16" ht="18" customHeight="1">
      <c r="A43" s="1837"/>
      <c r="B43" s="807"/>
      <c r="C43" s="230" t="s">
        <v>952</v>
      </c>
      <c r="D43" s="108">
        <v>0</v>
      </c>
      <c r="E43" s="86">
        <v>0</v>
      </c>
      <c r="F43" s="86">
        <v>1</v>
      </c>
      <c r="G43" s="86">
        <v>0</v>
      </c>
      <c r="H43" s="86">
        <v>0</v>
      </c>
      <c r="I43" s="86">
        <v>0</v>
      </c>
      <c r="J43" s="86">
        <v>1</v>
      </c>
      <c r="K43" s="86">
        <v>0</v>
      </c>
      <c r="L43" s="86">
        <v>0</v>
      </c>
      <c r="M43" s="86">
        <v>0</v>
      </c>
      <c r="N43" s="86">
        <v>0</v>
      </c>
      <c r="O43" s="380">
        <v>0</v>
      </c>
      <c r="P43" s="805">
        <f t="shared" si="0"/>
        <v>2</v>
      </c>
    </row>
    <row r="44" spans="1:16" ht="18" customHeight="1">
      <c r="A44" s="1447" t="s">
        <v>667</v>
      </c>
      <c r="B44" s="1831" t="s">
        <v>653</v>
      </c>
      <c r="C44" s="1581"/>
      <c r="D44" s="108">
        <v>0</v>
      </c>
      <c r="E44" s="86">
        <v>0</v>
      </c>
      <c r="F44" s="86">
        <v>0</v>
      </c>
      <c r="G44" s="86">
        <v>0</v>
      </c>
      <c r="H44" s="86">
        <v>0</v>
      </c>
      <c r="I44" s="86">
        <v>0</v>
      </c>
      <c r="J44" s="86">
        <v>0</v>
      </c>
      <c r="K44" s="86">
        <v>0</v>
      </c>
      <c r="L44" s="86">
        <v>0</v>
      </c>
      <c r="M44" s="86">
        <v>0</v>
      </c>
      <c r="N44" s="86">
        <v>0</v>
      </c>
      <c r="O44" s="109">
        <v>0</v>
      </c>
      <c r="P44" s="805">
        <f t="shared" si="0"/>
        <v>0</v>
      </c>
    </row>
    <row r="45" spans="1:16" ht="18" customHeight="1">
      <c r="A45" s="1829"/>
      <c r="B45" s="1832" t="s">
        <v>654</v>
      </c>
      <c r="C45" s="1581"/>
      <c r="D45" s="108">
        <v>1</v>
      </c>
      <c r="E45" s="86">
        <v>4</v>
      </c>
      <c r="F45" s="86">
        <v>3</v>
      </c>
      <c r="G45" s="86">
        <v>1</v>
      </c>
      <c r="H45" s="86">
        <v>1</v>
      </c>
      <c r="I45" s="86">
        <v>1</v>
      </c>
      <c r="J45" s="86">
        <v>1</v>
      </c>
      <c r="K45" s="86">
        <v>1</v>
      </c>
      <c r="L45" s="86">
        <v>1</v>
      </c>
      <c r="M45" s="86">
        <v>0</v>
      </c>
      <c r="N45" s="86">
        <v>3</v>
      </c>
      <c r="O45" s="109">
        <v>2</v>
      </c>
      <c r="P45" s="805">
        <f t="shared" si="0"/>
        <v>19</v>
      </c>
    </row>
    <row r="46" spans="1:16" ht="18" customHeight="1">
      <c r="A46" s="1837"/>
      <c r="B46" s="806"/>
      <c r="C46" s="230" t="s">
        <v>952</v>
      </c>
      <c r="D46" s="108">
        <v>0</v>
      </c>
      <c r="E46" s="86">
        <v>0</v>
      </c>
      <c r="F46" s="86">
        <v>0</v>
      </c>
      <c r="G46" s="86">
        <v>0</v>
      </c>
      <c r="H46" s="86">
        <v>0</v>
      </c>
      <c r="I46" s="86">
        <v>0</v>
      </c>
      <c r="J46" s="86">
        <v>0</v>
      </c>
      <c r="K46" s="86">
        <v>0</v>
      </c>
      <c r="L46" s="86">
        <v>0</v>
      </c>
      <c r="M46" s="86">
        <v>0</v>
      </c>
      <c r="N46" s="86">
        <v>1</v>
      </c>
      <c r="O46" s="380">
        <v>0</v>
      </c>
      <c r="P46" s="805">
        <f t="shared" si="0"/>
        <v>1</v>
      </c>
    </row>
    <row r="47" spans="1:16" ht="18" customHeight="1">
      <c r="A47" s="1447" t="s">
        <v>668</v>
      </c>
      <c r="B47" s="1831" t="s">
        <v>653</v>
      </c>
      <c r="C47" s="1581"/>
      <c r="D47" s="108">
        <v>0</v>
      </c>
      <c r="E47" s="86">
        <v>0</v>
      </c>
      <c r="F47" s="86">
        <v>0</v>
      </c>
      <c r="G47" s="86">
        <v>0</v>
      </c>
      <c r="H47" s="86">
        <v>0</v>
      </c>
      <c r="I47" s="86">
        <v>0</v>
      </c>
      <c r="J47" s="86">
        <v>0</v>
      </c>
      <c r="K47" s="86">
        <v>0</v>
      </c>
      <c r="L47" s="86">
        <v>0</v>
      </c>
      <c r="M47" s="86">
        <v>0</v>
      </c>
      <c r="N47" s="86">
        <v>0</v>
      </c>
      <c r="O47" s="109">
        <v>0</v>
      </c>
      <c r="P47" s="805">
        <f t="shared" si="0"/>
        <v>0</v>
      </c>
    </row>
    <row r="48" spans="1:16" ht="18" customHeight="1">
      <c r="A48" s="1829"/>
      <c r="B48" s="1832" t="s">
        <v>654</v>
      </c>
      <c r="C48" s="1581"/>
      <c r="D48" s="112">
        <v>1</v>
      </c>
      <c r="E48" s="80">
        <v>2</v>
      </c>
      <c r="F48" s="80">
        <v>2</v>
      </c>
      <c r="G48" s="80">
        <v>0</v>
      </c>
      <c r="H48" s="80">
        <v>0</v>
      </c>
      <c r="I48" s="80">
        <v>0</v>
      </c>
      <c r="J48" s="80">
        <v>0</v>
      </c>
      <c r="K48" s="80">
        <v>1</v>
      </c>
      <c r="L48" s="80">
        <v>0</v>
      </c>
      <c r="M48" s="80">
        <v>1</v>
      </c>
      <c r="N48" s="80">
        <v>2</v>
      </c>
      <c r="O48" s="113">
        <v>2</v>
      </c>
      <c r="P48" s="808">
        <f t="shared" si="0"/>
        <v>11</v>
      </c>
    </row>
    <row r="49" spans="1:16" ht="18" customHeight="1" thickBot="1">
      <c r="A49" s="1830"/>
      <c r="B49" s="809"/>
      <c r="C49" s="356" t="s">
        <v>952</v>
      </c>
      <c r="D49" s="108">
        <v>0</v>
      </c>
      <c r="E49" s="86">
        <v>0</v>
      </c>
      <c r="F49" s="86">
        <v>0</v>
      </c>
      <c r="G49" s="86">
        <v>0</v>
      </c>
      <c r="H49" s="86">
        <v>0</v>
      </c>
      <c r="I49" s="86">
        <v>0</v>
      </c>
      <c r="J49" s="86">
        <v>0</v>
      </c>
      <c r="K49" s="86">
        <v>0</v>
      </c>
      <c r="L49" s="86">
        <v>0</v>
      </c>
      <c r="M49" s="86">
        <v>0</v>
      </c>
      <c r="N49" s="86">
        <v>0</v>
      </c>
      <c r="O49" s="380">
        <v>0</v>
      </c>
      <c r="P49" s="805">
        <f t="shared" si="0"/>
        <v>0</v>
      </c>
    </row>
    <row r="50" spans="1:16" ht="18" customHeight="1">
      <c r="A50" s="1542" t="s">
        <v>997</v>
      </c>
      <c r="B50" s="1835" t="s">
        <v>653</v>
      </c>
      <c r="C50" s="1571"/>
      <c r="D50" s="714">
        <f t="shared" ref="D50:O52" si="1">D5+D8+D11+D14+D17+D20+D23+D26+D29+D32+D35+D38+D41+D44+D47</f>
        <v>0</v>
      </c>
      <c r="E50" s="715">
        <f t="shared" si="1"/>
        <v>0</v>
      </c>
      <c r="F50" s="715">
        <f t="shared" si="1"/>
        <v>0</v>
      </c>
      <c r="G50" s="715">
        <f t="shared" si="1"/>
        <v>0</v>
      </c>
      <c r="H50" s="715">
        <f t="shared" si="1"/>
        <v>0</v>
      </c>
      <c r="I50" s="715">
        <f t="shared" si="1"/>
        <v>0</v>
      </c>
      <c r="J50" s="715">
        <f t="shared" si="1"/>
        <v>0</v>
      </c>
      <c r="K50" s="715">
        <f t="shared" si="1"/>
        <v>1</v>
      </c>
      <c r="L50" s="715">
        <f t="shared" si="1"/>
        <v>0</v>
      </c>
      <c r="M50" s="715">
        <f t="shared" si="1"/>
        <v>0</v>
      </c>
      <c r="N50" s="715">
        <f t="shared" si="1"/>
        <v>0</v>
      </c>
      <c r="O50" s="810">
        <f t="shared" si="1"/>
        <v>0</v>
      </c>
      <c r="P50" s="804">
        <f t="shared" si="0"/>
        <v>1</v>
      </c>
    </row>
    <row r="51" spans="1:16" ht="18" customHeight="1">
      <c r="A51" s="1448"/>
      <c r="B51" s="1832" t="s">
        <v>654</v>
      </c>
      <c r="C51" s="1581"/>
      <c r="D51" s="717">
        <f t="shared" si="1"/>
        <v>24</v>
      </c>
      <c r="E51" s="718">
        <f t="shared" si="1"/>
        <v>29</v>
      </c>
      <c r="F51" s="718">
        <f t="shared" si="1"/>
        <v>37</v>
      </c>
      <c r="G51" s="718">
        <f t="shared" si="1"/>
        <v>35</v>
      </c>
      <c r="H51" s="718">
        <f t="shared" si="1"/>
        <v>32</v>
      </c>
      <c r="I51" s="718">
        <f t="shared" si="1"/>
        <v>34</v>
      </c>
      <c r="J51" s="718">
        <f t="shared" si="1"/>
        <v>35</v>
      </c>
      <c r="K51" s="718">
        <f t="shared" si="1"/>
        <v>34</v>
      </c>
      <c r="L51" s="718">
        <f t="shared" si="1"/>
        <v>28</v>
      </c>
      <c r="M51" s="718">
        <f t="shared" si="1"/>
        <v>28</v>
      </c>
      <c r="N51" s="718">
        <f t="shared" si="1"/>
        <v>35</v>
      </c>
      <c r="O51" s="811">
        <f t="shared" si="1"/>
        <v>30</v>
      </c>
      <c r="P51" s="808">
        <f t="shared" si="0"/>
        <v>381</v>
      </c>
    </row>
    <row r="52" spans="1:16" ht="18" customHeight="1" thickBot="1">
      <c r="A52" s="1452"/>
      <c r="B52" s="809"/>
      <c r="C52" s="356" t="s">
        <v>952</v>
      </c>
      <c r="D52" s="108">
        <f t="shared" si="1"/>
        <v>0</v>
      </c>
      <c r="E52" s="80">
        <f t="shared" si="1"/>
        <v>1</v>
      </c>
      <c r="F52" s="80">
        <f t="shared" si="1"/>
        <v>1</v>
      </c>
      <c r="G52" s="80">
        <f t="shared" si="1"/>
        <v>0</v>
      </c>
      <c r="H52" s="80">
        <f t="shared" si="1"/>
        <v>1</v>
      </c>
      <c r="I52" s="80">
        <f t="shared" si="1"/>
        <v>0</v>
      </c>
      <c r="J52" s="80">
        <f t="shared" si="1"/>
        <v>1</v>
      </c>
      <c r="K52" s="80">
        <f t="shared" si="1"/>
        <v>1</v>
      </c>
      <c r="L52" s="80">
        <f t="shared" si="1"/>
        <v>1</v>
      </c>
      <c r="M52" s="80">
        <f t="shared" si="1"/>
        <v>3</v>
      </c>
      <c r="N52" s="80">
        <f t="shared" si="1"/>
        <v>2</v>
      </c>
      <c r="O52" s="382">
        <f t="shared" si="1"/>
        <v>0</v>
      </c>
      <c r="P52" s="808">
        <f t="shared" ref="P52" si="2">SUM(D52:O52)</f>
        <v>11</v>
      </c>
    </row>
    <row r="53" spans="1:16" ht="18" customHeight="1">
      <c r="A53" s="1836" t="s">
        <v>582</v>
      </c>
      <c r="B53" s="1835" t="s">
        <v>653</v>
      </c>
      <c r="C53" s="1571"/>
      <c r="D53" s="709">
        <v>0</v>
      </c>
      <c r="E53" s="74">
        <v>0</v>
      </c>
      <c r="F53" s="74">
        <v>2</v>
      </c>
      <c r="G53" s="74">
        <v>1</v>
      </c>
      <c r="H53" s="74">
        <v>0</v>
      </c>
      <c r="I53" s="74">
        <v>0</v>
      </c>
      <c r="J53" s="74">
        <v>0</v>
      </c>
      <c r="K53" s="74">
        <v>2</v>
      </c>
      <c r="L53" s="74">
        <v>0</v>
      </c>
      <c r="M53" s="74">
        <v>0</v>
      </c>
      <c r="N53" s="74">
        <v>0</v>
      </c>
      <c r="O53" s="74">
        <v>0</v>
      </c>
      <c r="P53" s="804">
        <f t="shared" si="0"/>
        <v>5</v>
      </c>
    </row>
    <row r="54" spans="1:16" ht="18" customHeight="1">
      <c r="A54" s="1410"/>
      <c r="B54" s="1832" t="s">
        <v>654</v>
      </c>
      <c r="C54" s="1581"/>
      <c r="D54" s="112">
        <v>85</v>
      </c>
      <c r="E54" s="80">
        <v>94</v>
      </c>
      <c r="F54" s="80">
        <v>131</v>
      </c>
      <c r="G54" s="80">
        <v>138</v>
      </c>
      <c r="H54" s="80">
        <v>143</v>
      </c>
      <c r="I54" s="80">
        <v>149</v>
      </c>
      <c r="J54" s="80">
        <v>137</v>
      </c>
      <c r="K54" s="80">
        <v>148</v>
      </c>
      <c r="L54" s="80">
        <v>112</v>
      </c>
      <c r="M54" s="80">
        <v>146</v>
      </c>
      <c r="N54" s="80">
        <v>163</v>
      </c>
      <c r="O54" s="382">
        <v>129</v>
      </c>
      <c r="P54" s="812">
        <f t="shared" si="0"/>
        <v>1575</v>
      </c>
    </row>
    <row r="55" spans="1:16" ht="18" customHeight="1" thickBot="1">
      <c r="A55" s="1411"/>
      <c r="B55" s="809"/>
      <c r="C55" s="356" t="s">
        <v>952</v>
      </c>
      <c r="D55" s="108">
        <v>4</v>
      </c>
      <c r="E55" s="86">
        <v>7</v>
      </c>
      <c r="F55" s="86">
        <v>12</v>
      </c>
      <c r="G55" s="86">
        <v>2</v>
      </c>
      <c r="H55" s="375">
        <v>9</v>
      </c>
      <c r="I55" s="375">
        <v>10</v>
      </c>
      <c r="J55" s="375">
        <v>5</v>
      </c>
      <c r="K55" s="375">
        <v>10</v>
      </c>
      <c r="L55" s="375">
        <v>4</v>
      </c>
      <c r="M55" s="375">
        <v>8</v>
      </c>
      <c r="N55" s="375">
        <v>10</v>
      </c>
      <c r="O55" s="383">
        <v>6</v>
      </c>
      <c r="P55" s="881">
        <f t="shared" si="0"/>
        <v>87</v>
      </c>
    </row>
    <row r="56" spans="1:16" ht="18" customHeight="1">
      <c r="A56" s="1833" t="s">
        <v>669</v>
      </c>
      <c r="B56" s="1834"/>
      <c r="C56" s="1834"/>
      <c r="D56" s="1834"/>
      <c r="E56" s="1834"/>
      <c r="F56" s="1834"/>
      <c r="G56" s="1834"/>
    </row>
    <row r="57" spans="1:16" ht="18" customHeight="1"/>
    <row r="58" spans="1:16" ht="18" customHeight="1"/>
    <row r="59" spans="1:16" ht="18" customHeight="1"/>
  </sheetData>
  <mergeCells count="66">
    <mergeCell ref="N2:P2"/>
    <mergeCell ref="D3:D4"/>
    <mergeCell ref="E3:E4"/>
    <mergeCell ref="F3:F4"/>
    <mergeCell ref="G3:G4"/>
    <mergeCell ref="H3:H4"/>
    <mergeCell ref="I3:I4"/>
    <mergeCell ref="J3:J4"/>
    <mergeCell ref="K3:K4"/>
    <mergeCell ref="L3:L4"/>
    <mergeCell ref="M3:M4"/>
    <mergeCell ref="N3:N4"/>
    <mergeCell ref="O3:O4"/>
    <mergeCell ref="P3:P4"/>
    <mergeCell ref="A5:A7"/>
    <mergeCell ref="B5:C5"/>
    <mergeCell ref="B6:C6"/>
    <mergeCell ref="A8:A10"/>
    <mergeCell ref="B8:C8"/>
    <mergeCell ref="B9:C9"/>
    <mergeCell ref="A11:A13"/>
    <mergeCell ref="B11:C11"/>
    <mergeCell ref="B12:C12"/>
    <mergeCell ref="A14:A16"/>
    <mergeCell ref="B14:C14"/>
    <mergeCell ref="B15:C15"/>
    <mergeCell ref="A17:A19"/>
    <mergeCell ref="B17:C17"/>
    <mergeCell ref="B18:C18"/>
    <mergeCell ref="A20:A22"/>
    <mergeCell ref="B20:C20"/>
    <mergeCell ref="B21:C21"/>
    <mergeCell ref="A23:A25"/>
    <mergeCell ref="B23:C23"/>
    <mergeCell ref="B24:C24"/>
    <mergeCell ref="A26:A28"/>
    <mergeCell ref="B26:C26"/>
    <mergeCell ref="B27:C27"/>
    <mergeCell ref="A29:A31"/>
    <mergeCell ref="B29:C29"/>
    <mergeCell ref="B30:C30"/>
    <mergeCell ref="A32:A34"/>
    <mergeCell ref="B32:C32"/>
    <mergeCell ref="B33:C33"/>
    <mergeCell ref="A35:A37"/>
    <mergeCell ref="B35:C35"/>
    <mergeCell ref="B36:C36"/>
    <mergeCell ref="A38:A40"/>
    <mergeCell ref="B38:C38"/>
    <mergeCell ref="B39:C39"/>
    <mergeCell ref="A41:A43"/>
    <mergeCell ref="B41:C41"/>
    <mergeCell ref="B42:C42"/>
    <mergeCell ref="A44:A46"/>
    <mergeCell ref="B44:C44"/>
    <mergeCell ref="B45:C45"/>
    <mergeCell ref="A47:A49"/>
    <mergeCell ref="B47:C47"/>
    <mergeCell ref="B48:C48"/>
    <mergeCell ref="A56:G56"/>
    <mergeCell ref="A50:A52"/>
    <mergeCell ref="B50:C50"/>
    <mergeCell ref="B51:C51"/>
    <mergeCell ref="A53:A55"/>
    <mergeCell ref="B53:C53"/>
    <mergeCell ref="B54:C54"/>
  </mergeCells>
  <phoneticPr fontId="3"/>
  <printOptions horizontalCentered="1"/>
  <pageMargins left="0.78740157480314965" right="0.39370078740157483" top="0.98425196850393704" bottom="0.98425196850393704" header="0.51181102362204722" footer="0.51181102362204722"/>
  <pageSetup paperSize="9" scale="77" firstPageNumber="21" orientation="portrait" useFirstPageNumber="1" r:id="rId1"/>
  <headerFooter alignWithMargins="0">
    <oddFooter>&amp;C21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WhiteSpace="0" view="pageBreakPreview" zoomScaleNormal="100" zoomScaleSheetLayoutView="100" workbookViewId="0">
      <selection activeCell="A31" sqref="A31"/>
    </sheetView>
  </sheetViews>
  <sheetFormatPr defaultRowHeight="14.25"/>
  <cols>
    <col min="1" max="1" width="8.25" style="2" customWidth="1"/>
    <col min="2" max="19" width="7.125" style="2" customWidth="1"/>
    <col min="20" max="16384" width="9" style="2"/>
  </cols>
  <sheetData>
    <row r="1" spans="1:19" ht="15">
      <c r="A1" s="70" t="s">
        <v>670</v>
      </c>
    </row>
    <row r="2" spans="1:19" ht="15" thickBot="1">
      <c r="Q2" s="1394" t="s">
        <v>570</v>
      </c>
      <c r="R2" s="1394"/>
      <c r="S2" s="1450"/>
    </row>
    <row r="3" spans="1:19" ht="21" customHeight="1">
      <c r="A3" s="724" t="s">
        <v>585</v>
      </c>
      <c r="B3" s="1798" t="s">
        <v>586</v>
      </c>
      <c r="C3" s="1799"/>
      <c r="D3" s="1800"/>
      <c r="E3" s="1844" t="s">
        <v>587</v>
      </c>
      <c r="F3" s="1516"/>
      <c r="G3" s="1516"/>
      <c r="H3" s="1516"/>
      <c r="I3" s="1516"/>
      <c r="J3" s="1516"/>
      <c r="K3" s="1516"/>
      <c r="L3" s="1516"/>
      <c r="M3" s="1516"/>
      <c r="N3" s="1516"/>
      <c r="O3" s="1516"/>
      <c r="P3" s="1516"/>
      <c r="Q3" s="1516"/>
      <c r="R3" s="1516"/>
      <c r="S3" s="1845"/>
    </row>
    <row r="4" spans="1:19" ht="20.100000000000001" customHeight="1">
      <c r="A4" s="725"/>
      <c r="B4" s="1801"/>
      <c r="C4" s="1533"/>
      <c r="D4" s="1802"/>
      <c r="E4" s="1676" t="s">
        <v>588</v>
      </c>
      <c r="F4" s="1846"/>
      <c r="G4" s="1538"/>
      <c r="H4" s="1676" t="s">
        <v>589</v>
      </c>
      <c r="I4" s="1846"/>
      <c r="J4" s="1538"/>
      <c r="K4" s="1847" t="s">
        <v>671</v>
      </c>
      <c r="L4" s="1848"/>
      <c r="M4" s="1538"/>
      <c r="N4" s="1847" t="s">
        <v>591</v>
      </c>
      <c r="O4" s="1848"/>
      <c r="P4" s="1538"/>
      <c r="Q4" s="1676" t="s">
        <v>331</v>
      </c>
      <c r="R4" s="1846"/>
      <c r="S4" s="1538"/>
    </row>
    <row r="5" spans="1:19" ht="6" customHeight="1">
      <c r="A5" s="725"/>
      <c r="B5" s="1465" t="s">
        <v>593</v>
      </c>
      <c r="C5" s="1462" t="s">
        <v>672</v>
      </c>
      <c r="D5" s="814"/>
      <c r="E5" s="1465" t="s">
        <v>593</v>
      </c>
      <c r="F5" s="1464" t="s">
        <v>672</v>
      </c>
      <c r="G5" s="481"/>
      <c r="H5" s="1465" t="s">
        <v>593</v>
      </c>
      <c r="I5" s="1464" t="s">
        <v>672</v>
      </c>
      <c r="J5" s="481"/>
      <c r="K5" s="1465" t="s">
        <v>593</v>
      </c>
      <c r="L5" s="1464" t="s">
        <v>672</v>
      </c>
      <c r="M5" s="481"/>
      <c r="N5" s="1465" t="s">
        <v>593</v>
      </c>
      <c r="O5" s="1464" t="s">
        <v>672</v>
      </c>
      <c r="P5" s="481"/>
      <c r="Q5" s="1465" t="s">
        <v>593</v>
      </c>
      <c r="R5" s="1464" t="s">
        <v>672</v>
      </c>
      <c r="S5" s="481"/>
    </row>
    <row r="6" spans="1:19" ht="20.100000000000001" customHeight="1" thickBot="1">
      <c r="A6" s="1342" t="s">
        <v>592</v>
      </c>
      <c r="B6" s="1795"/>
      <c r="C6" s="1796"/>
      <c r="D6" s="1340" t="s">
        <v>915</v>
      </c>
      <c r="E6" s="1795"/>
      <c r="F6" s="1796"/>
      <c r="G6" s="1341" t="s">
        <v>915</v>
      </c>
      <c r="H6" s="1795"/>
      <c r="I6" s="1796"/>
      <c r="J6" s="1341" t="s">
        <v>915</v>
      </c>
      <c r="K6" s="1795"/>
      <c r="L6" s="1796"/>
      <c r="M6" s="1341" t="s">
        <v>915</v>
      </c>
      <c r="N6" s="1795"/>
      <c r="O6" s="1796"/>
      <c r="P6" s="1341" t="s">
        <v>915</v>
      </c>
      <c r="Q6" s="1795"/>
      <c r="R6" s="1796"/>
      <c r="S6" s="1341" t="s">
        <v>915</v>
      </c>
    </row>
    <row r="7" spans="1:19" ht="24.95" customHeight="1">
      <c r="A7" s="727" t="s">
        <v>185</v>
      </c>
      <c r="B7" s="816">
        <f t="shared" ref="B7:D30" si="0">E7+H7+K7+N7+Q7</f>
        <v>0</v>
      </c>
      <c r="C7" s="817">
        <f t="shared" si="0"/>
        <v>33</v>
      </c>
      <c r="D7" s="38">
        <f>G7+J7+M7+P7+S7</f>
        <v>0</v>
      </c>
      <c r="E7" s="816">
        <v>0</v>
      </c>
      <c r="F7" s="817">
        <v>3</v>
      </c>
      <c r="G7" s="38">
        <v>0</v>
      </c>
      <c r="H7" s="816">
        <v>0</v>
      </c>
      <c r="I7" s="38">
        <v>20</v>
      </c>
      <c r="J7" s="38">
        <v>0</v>
      </c>
      <c r="K7" s="818">
        <v>0</v>
      </c>
      <c r="L7" s="817">
        <v>0</v>
      </c>
      <c r="M7" s="38">
        <v>0</v>
      </c>
      <c r="N7" s="816">
        <v>0</v>
      </c>
      <c r="O7" s="817">
        <v>10</v>
      </c>
      <c r="P7" s="13">
        <v>0</v>
      </c>
      <c r="Q7" s="818">
        <v>0</v>
      </c>
      <c r="R7" s="817">
        <v>0</v>
      </c>
      <c r="S7" s="38">
        <v>0</v>
      </c>
    </row>
    <row r="8" spans="1:19" ht="24.95" customHeight="1">
      <c r="A8" s="494" t="s">
        <v>187</v>
      </c>
      <c r="B8" s="816">
        <f t="shared" si="0"/>
        <v>0</v>
      </c>
      <c r="C8" s="817">
        <f t="shared" si="0"/>
        <v>9</v>
      </c>
      <c r="D8" s="38">
        <f t="shared" si="0"/>
        <v>0</v>
      </c>
      <c r="E8" s="816">
        <v>0</v>
      </c>
      <c r="F8" s="819">
        <v>3</v>
      </c>
      <c r="G8" s="38">
        <v>0</v>
      </c>
      <c r="H8" s="816">
        <v>0</v>
      </c>
      <c r="I8" s="19">
        <v>5</v>
      </c>
      <c r="J8" s="38">
        <v>0</v>
      </c>
      <c r="K8" s="818">
        <v>0</v>
      </c>
      <c r="L8" s="819">
        <v>0</v>
      </c>
      <c r="M8" s="38">
        <v>0</v>
      </c>
      <c r="N8" s="816">
        <v>0</v>
      </c>
      <c r="O8" s="819">
        <v>1</v>
      </c>
      <c r="P8" s="38">
        <v>0</v>
      </c>
      <c r="Q8" s="818">
        <v>0</v>
      </c>
      <c r="R8" s="817">
        <v>0</v>
      </c>
      <c r="S8" s="38">
        <v>0</v>
      </c>
    </row>
    <row r="9" spans="1:19" ht="24.95" customHeight="1">
      <c r="A9" s="494" t="s">
        <v>189</v>
      </c>
      <c r="B9" s="816">
        <f t="shared" si="0"/>
        <v>0</v>
      </c>
      <c r="C9" s="817" t="s">
        <v>917</v>
      </c>
      <c r="D9" s="38">
        <f t="shared" si="0"/>
        <v>1</v>
      </c>
      <c r="E9" s="816">
        <v>0</v>
      </c>
      <c r="F9" s="819">
        <v>1</v>
      </c>
      <c r="G9" s="38">
        <v>0</v>
      </c>
      <c r="H9" s="816">
        <v>0</v>
      </c>
      <c r="I9" s="19">
        <v>1</v>
      </c>
      <c r="J9" s="38">
        <v>1</v>
      </c>
      <c r="K9" s="818">
        <v>0</v>
      </c>
      <c r="L9" s="819">
        <v>0</v>
      </c>
      <c r="M9" s="38">
        <v>0</v>
      </c>
      <c r="N9" s="816">
        <v>0</v>
      </c>
      <c r="O9" s="819">
        <v>1</v>
      </c>
      <c r="P9" s="38">
        <v>0</v>
      </c>
      <c r="Q9" s="818">
        <v>0</v>
      </c>
      <c r="R9" s="817">
        <v>0</v>
      </c>
      <c r="S9" s="38">
        <v>0</v>
      </c>
    </row>
    <row r="10" spans="1:19" ht="24.95" customHeight="1">
      <c r="A10" s="494" t="s">
        <v>190</v>
      </c>
      <c r="B10" s="816">
        <f t="shared" si="0"/>
        <v>0</v>
      </c>
      <c r="C10" s="817">
        <f t="shared" si="0"/>
        <v>8</v>
      </c>
      <c r="D10" s="38">
        <f t="shared" si="0"/>
        <v>0</v>
      </c>
      <c r="E10" s="816">
        <v>0</v>
      </c>
      <c r="F10" s="819">
        <v>0</v>
      </c>
      <c r="G10" s="38">
        <v>0</v>
      </c>
      <c r="H10" s="816">
        <v>0</v>
      </c>
      <c r="I10" s="19">
        <v>3</v>
      </c>
      <c r="J10" s="38">
        <v>0</v>
      </c>
      <c r="K10" s="818">
        <v>0</v>
      </c>
      <c r="L10" s="819">
        <v>0</v>
      </c>
      <c r="M10" s="38">
        <v>0</v>
      </c>
      <c r="N10" s="816">
        <v>0</v>
      </c>
      <c r="O10" s="819">
        <v>5</v>
      </c>
      <c r="P10" s="38">
        <v>0</v>
      </c>
      <c r="Q10" s="818">
        <v>0</v>
      </c>
      <c r="R10" s="817">
        <v>0</v>
      </c>
      <c r="S10" s="38">
        <v>0</v>
      </c>
    </row>
    <row r="11" spans="1:19" ht="24.95" customHeight="1">
      <c r="A11" s="494" t="s">
        <v>192</v>
      </c>
      <c r="B11" s="816">
        <f t="shared" si="0"/>
        <v>0</v>
      </c>
      <c r="C11" s="817">
        <f t="shared" si="0"/>
        <v>11</v>
      </c>
      <c r="D11" s="38">
        <f t="shared" si="0"/>
        <v>0</v>
      </c>
      <c r="E11" s="816">
        <v>0</v>
      </c>
      <c r="F11" s="819">
        <v>2</v>
      </c>
      <c r="G11" s="38">
        <v>0</v>
      </c>
      <c r="H11" s="816">
        <v>0</v>
      </c>
      <c r="I11" s="19">
        <v>4</v>
      </c>
      <c r="J11" s="38">
        <v>0</v>
      </c>
      <c r="K11" s="818">
        <v>0</v>
      </c>
      <c r="L11" s="819">
        <v>0</v>
      </c>
      <c r="M11" s="38">
        <v>0</v>
      </c>
      <c r="N11" s="816">
        <v>0</v>
      </c>
      <c r="O11" s="819">
        <v>5</v>
      </c>
      <c r="P11" s="38">
        <v>0</v>
      </c>
      <c r="Q11" s="818">
        <v>0</v>
      </c>
      <c r="R11" s="817">
        <v>0</v>
      </c>
      <c r="S11" s="38">
        <v>0</v>
      </c>
    </row>
    <row r="12" spans="1:19" ht="24.95" customHeight="1">
      <c r="A12" s="494" t="s">
        <v>193</v>
      </c>
      <c r="B12" s="816">
        <f t="shared" si="0"/>
        <v>0</v>
      </c>
      <c r="C12" s="817">
        <f t="shared" si="0"/>
        <v>13</v>
      </c>
      <c r="D12" s="38">
        <f t="shared" si="0"/>
        <v>3</v>
      </c>
      <c r="E12" s="816">
        <v>0</v>
      </c>
      <c r="F12" s="819">
        <v>3</v>
      </c>
      <c r="G12" s="38">
        <v>2</v>
      </c>
      <c r="H12" s="816">
        <v>0</v>
      </c>
      <c r="I12" s="19">
        <v>4</v>
      </c>
      <c r="J12" s="38">
        <v>1</v>
      </c>
      <c r="K12" s="818">
        <v>0</v>
      </c>
      <c r="L12" s="819">
        <v>0</v>
      </c>
      <c r="M12" s="38">
        <v>0</v>
      </c>
      <c r="N12" s="816">
        <v>0</v>
      </c>
      <c r="O12" s="819">
        <v>6</v>
      </c>
      <c r="P12" s="38">
        <v>0</v>
      </c>
      <c r="Q12" s="818">
        <v>0</v>
      </c>
      <c r="R12" s="817">
        <v>0</v>
      </c>
      <c r="S12" s="38">
        <v>0</v>
      </c>
    </row>
    <row r="13" spans="1:19" ht="24.95" customHeight="1">
      <c r="A13" s="494" t="s">
        <v>205</v>
      </c>
      <c r="B13" s="816">
        <f t="shared" si="0"/>
        <v>0</v>
      </c>
      <c r="C13" s="817">
        <f t="shared" si="0"/>
        <v>15</v>
      </c>
      <c r="D13" s="38">
        <f t="shared" si="0"/>
        <v>0</v>
      </c>
      <c r="E13" s="816">
        <v>0</v>
      </c>
      <c r="F13" s="819">
        <v>2</v>
      </c>
      <c r="G13" s="38">
        <v>0</v>
      </c>
      <c r="H13" s="816">
        <v>0</v>
      </c>
      <c r="I13" s="19">
        <v>7</v>
      </c>
      <c r="J13" s="38">
        <v>0</v>
      </c>
      <c r="K13" s="818">
        <v>0</v>
      </c>
      <c r="L13" s="819">
        <v>0</v>
      </c>
      <c r="M13" s="38">
        <v>0</v>
      </c>
      <c r="N13" s="816">
        <v>0</v>
      </c>
      <c r="O13" s="819">
        <v>6</v>
      </c>
      <c r="P13" s="38">
        <v>0</v>
      </c>
      <c r="Q13" s="818">
        <v>0</v>
      </c>
      <c r="R13" s="817">
        <v>0</v>
      </c>
      <c r="S13" s="38">
        <v>0</v>
      </c>
    </row>
    <row r="14" spans="1:19" ht="24.95" customHeight="1">
      <c r="A14" s="494" t="s">
        <v>595</v>
      </c>
      <c r="B14" s="816">
        <f t="shared" si="0"/>
        <v>0</v>
      </c>
      <c r="C14" s="817">
        <f t="shared" si="0"/>
        <v>3</v>
      </c>
      <c r="D14" s="38">
        <f t="shared" si="0"/>
        <v>1</v>
      </c>
      <c r="E14" s="816">
        <v>0</v>
      </c>
      <c r="F14" s="819">
        <v>0</v>
      </c>
      <c r="G14" s="38">
        <v>0</v>
      </c>
      <c r="H14" s="816">
        <v>0</v>
      </c>
      <c r="I14" s="19">
        <v>3</v>
      </c>
      <c r="J14" s="38">
        <v>1</v>
      </c>
      <c r="K14" s="818">
        <v>0</v>
      </c>
      <c r="L14" s="819">
        <v>0</v>
      </c>
      <c r="M14" s="38">
        <v>0</v>
      </c>
      <c r="N14" s="816">
        <v>0</v>
      </c>
      <c r="O14" s="819">
        <v>0</v>
      </c>
      <c r="P14" s="38">
        <v>0</v>
      </c>
      <c r="Q14" s="818">
        <v>0</v>
      </c>
      <c r="R14" s="817">
        <v>0</v>
      </c>
      <c r="S14" s="38">
        <v>0</v>
      </c>
    </row>
    <row r="15" spans="1:19" ht="24.95" customHeight="1">
      <c r="A15" s="494" t="s">
        <v>207</v>
      </c>
      <c r="B15" s="816">
        <f t="shared" si="0"/>
        <v>0</v>
      </c>
      <c r="C15" s="817">
        <f t="shared" si="0"/>
        <v>20</v>
      </c>
      <c r="D15" s="38">
        <f t="shared" si="0"/>
        <v>0</v>
      </c>
      <c r="E15" s="816">
        <v>0</v>
      </c>
      <c r="F15" s="819">
        <v>4</v>
      </c>
      <c r="G15" s="38">
        <v>0</v>
      </c>
      <c r="H15" s="816">
        <v>0</v>
      </c>
      <c r="I15" s="19">
        <v>10</v>
      </c>
      <c r="J15" s="38">
        <v>0</v>
      </c>
      <c r="K15" s="818">
        <v>0</v>
      </c>
      <c r="L15" s="819">
        <v>0</v>
      </c>
      <c r="M15" s="38">
        <v>0</v>
      </c>
      <c r="N15" s="816">
        <v>0</v>
      </c>
      <c r="O15" s="819">
        <v>6</v>
      </c>
      <c r="P15" s="38">
        <v>0</v>
      </c>
      <c r="Q15" s="818">
        <v>0</v>
      </c>
      <c r="R15" s="817">
        <v>0</v>
      </c>
      <c r="S15" s="38">
        <v>0</v>
      </c>
    </row>
    <row r="16" spans="1:19" ht="24.95" customHeight="1">
      <c r="A16" s="494" t="s">
        <v>208</v>
      </c>
      <c r="B16" s="816">
        <f t="shared" si="0"/>
        <v>0</v>
      </c>
      <c r="C16" s="817">
        <f t="shared" si="0"/>
        <v>11</v>
      </c>
      <c r="D16" s="38">
        <f t="shared" si="0"/>
        <v>1</v>
      </c>
      <c r="E16" s="816">
        <v>0</v>
      </c>
      <c r="F16" s="819">
        <v>1</v>
      </c>
      <c r="G16" s="38">
        <v>0</v>
      </c>
      <c r="H16" s="816">
        <v>0</v>
      </c>
      <c r="I16" s="19">
        <v>6</v>
      </c>
      <c r="J16" s="38">
        <v>0</v>
      </c>
      <c r="K16" s="818">
        <v>0</v>
      </c>
      <c r="L16" s="819">
        <v>1</v>
      </c>
      <c r="M16" s="38">
        <v>1</v>
      </c>
      <c r="N16" s="816">
        <v>0</v>
      </c>
      <c r="O16" s="819">
        <v>3</v>
      </c>
      <c r="P16" s="38">
        <v>0</v>
      </c>
      <c r="Q16" s="818">
        <v>0</v>
      </c>
      <c r="R16" s="817">
        <v>0</v>
      </c>
      <c r="S16" s="38">
        <v>0</v>
      </c>
    </row>
    <row r="17" spans="1:19" ht="24.95" customHeight="1">
      <c r="A17" s="494" t="s">
        <v>596</v>
      </c>
      <c r="B17" s="816">
        <f t="shared" si="0"/>
        <v>0</v>
      </c>
      <c r="C17" s="817">
        <f t="shared" si="0"/>
        <v>18</v>
      </c>
      <c r="D17" s="38">
        <f t="shared" si="0"/>
        <v>0</v>
      </c>
      <c r="E17" s="816">
        <v>0</v>
      </c>
      <c r="F17" s="819">
        <v>2</v>
      </c>
      <c r="G17" s="38">
        <v>0</v>
      </c>
      <c r="H17" s="816">
        <v>0</v>
      </c>
      <c r="I17" s="19">
        <v>16</v>
      </c>
      <c r="J17" s="38">
        <v>0</v>
      </c>
      <c r="K17" s="818">
        <v>0</v>
      </c>
      <c r="L17" s="819">
        <v>0</v>
      </c>
      <c r="M17" s="38">
        <v>0</v>
      </c>
      <c r="N17" s="816">
        <v>0</v>
      </c>
      <c r="O17" s="819">
        <v>0</v>
      </c>
      <c r="P17" s="38">
        <v>0</v>
      </c>
      <c r="Q17" s="818">
        <v>0</v>
      </c>
      <c r="R17" s="817">
        <v>0</v>
      </c>
      <c r="S17" s="38">
        <v>0</v>
      </c>
    </row>
    <row r="18" spans="1:19" ht="24.95" customHeight="1">
      <c r="A18" s="494" t="s">
        <v>210</v>
      </c>
      <c r="B18" s="816">
        <f t="shared" si="0"/>
        <v>0</v>
      </c>
      <c r="C18" s="817">
        <f t="shared" si="0"/>
        <v>24</v>
      </c>
      <c r="D18" s="38">
        <f t="shared" si="0"/>
        <v>2</v>
      </c>
      <c r="E18" s="816">
        <v>0</v>
      </c>
      <c r="F18" s="819">
        <v>1</v>
      </c>
      <c r="G18" s="38">
        <v>0</v>
      </c>
      <c r="H18" s="816">
        <v>0</v>
      </c>
      <c r="I18" s="19">
        <v>17</v>
      </c>
      <c r="J18" s="38">
        <v>2</v>
      </c>
      <c r="K18" s="818">
        <v>0</v>
      </c>
      <c r="L18" s="819">
        <v>0</v>
      </c>
      <c r="M18" s="38">
        <v>0</v>
      </c>
      <c r="N18" s="816">
        <v>0</v>
      </c>
      <c r="O18" s="819">
        <v>6</v>
      </c>
      <c r="P18" s="38">
        <v>0</v>
      </c>
      <c r="Q18" s="818">
        <v>0</v>
      </c>
      <c r="R18" s="817">
        <v>0</v>
      </c>
      <c r="S18" s="38">
        <v>0</v>
      </c>
    </row>
    <row r="19" spans="1:19" ht="24.95" customHeight="1">
      <c r="A19" s="494" t="s">
        <v>597</v>
      </c>
      <c r="B19" s="816">
        <f t="shared" si="0"/>
        <v>0</v>
      </c>
      <c r="C19" s="817">
        <f t="shared" si="0"/>
        <v>17</v>
      </c>
      <c r="D19" s="38">
        <f t="shared" si="0"/>
        <v>0</v>
      </c>
      <c r="E19" s="816">
        <v>0</v>
      </c>
      <c r="F19" s="819">
        <v>5</v>
      </c>
      <c r="G19" s="38">
        <v>0</v>
      </c>
      <c r="H19" s="816">
        <v>0</v>
      </c>
      <c r="I19" s="19">
        <v>11</v>
      </c>
      <c r="J19" s="38">
        <v>0</v>
      </c>
      <c r="K19" s="818">
        <v>0</v>
      </c>
      <c r="L19" s="819">
        <v>0</v>
      </c>
      <c r="M19" s="38">
        <v>0</v>
      </c>
      <c r="N19" s="816">
        <v>0</v>
      </c>
      <c r="O19" s="819">
        <v>1</v>
      </c>
      <c r="P19" s="38">
        <v>0</v>
      </c>
      <c r="Q19" s="818">
        <v>0</v>
      </c>
      <c r="R19" s="817">
        <v>0</v>
      </c>
      <c r="S19" s="38">
        <v>0</v>
      </c>
    </row>
    <row r="20" spans="1:19" ht="24.95" customHeight="1">
      <c r="A20" s="494" t="s">
        <v>213</v>
      </c>
      <c r="B20" s="816">
        <f t="shared" si="0"/>
        <v>0</v>
      </c>
      <c r="C20" s="817">
        <f t="shared" si="0"/>
        <v>14</v>
      </c>
      <c r="D20" s="38">
        <f t="shared" si="0"/>
        <v>0</v>
      </c>
      <c r="E20" s="816">
        <v>0</v>
      </c>
      <c r="F20" s="819">
        <v>3</v>
      </c>
      <c r="G20" s="38">
        <v>0</v>
      </c>
      <c r="H20" s="816">
        <v>0</v>
      </c>
      <c r="I20" s="19">
        <v>6</v>
      </c>
      <c r="J20" s="38">
        <v>0</v>
      </c>
      <c r="K20" s="818">
        <v>0</v>
      </c>
      <c r="L20" s="819">
        <v>0</v>
      </c>
      <c r="M20" s="38">
        <v>0</v>
      </c>
      <c r="N20" s="816">
        <v>0</v>
      </c>
      <c r="O20" s="819">
        <v>4</v>
      </c>
      <c r="P20" s="38">
        <v>0</v>
      </c>
      <c r="Q20" s="818">
        <v>0</v>
      </c>
      <c r="R20" s="817">
        <v>1</v>
      </c>
      <c r="S20" s="38">
        <v>0</v>
      </c>
    </row>
    <row r="21" spans="1:19" ht="24.95" customHeight="1">
      <c r="A21" s="494" t="s">
        <v>215</v>
      </c>
      <c r="B21" s="816">
        <f t="shared" si="0"/>
        <v>1</v>
      </c>
      <c r="C21" s="817">
        <f t="shared" si="0"/>
        <v>9</v>
      </c>
      <c r="D21" s="38">
        <f t="shared" si="0"/>
        <v>0</v>
      </c>
      <c r="E21" s="816">
        <v>1</v>
      </c>
      <c r="F21" s="819">
        <v>1</v>
      </c>
      <c r="G21" s="38">
        <v>0</v>
      </c>
      <c r="H21" s="816">
        <v>0</v>
      </c>
      <c r="I21" s="19">
        <v>5</v>
      </c>
      <c r="J21" s="38">
        <v>0</v>
      </c>
      <c r="K21" s="818">
        <v>0</v>
      </c>
      <c r="L21" s="819">
        <v>0</v>
      </c>
      <c r="M21" s="38">
        <v>0</v>
      </c>
      <c r="N21" s="816">
        <v>0</v>
      </c>
      <c r="O21" s="819">
        <v>3</v>
      </c>
      <c r="P21" s="38">
        <v>0</v>
      </c>
      <c r="Q21" s="818">
        <v>0</v>
      </c>
      <c r="R21" s="817">
        <v>0</v>
      </c>
      <c r="S21" s="38">
        <v>0</v>
      </c>
    </row>
    <row r="22" spans="1:19" ht="24.95" customHeight="1">
      <c r="A22" s="494" t="s">
        <v>216</v>
      </c>
      <c r="B22" s="816">
        <f t="shared" si="0"/>
        <v>0</v>
      </c>
      <c r="C22" s="817">
        <f t="shared" si="0"/>
        <v>8</v>
      </c>
      <c r="D22" s="38">
        <f t="shared" si="0"/>
        <v>1</v>
      </c>
      <c r="E22" s="816">
        <v>0</v>
      </c>
      <c r="F22" s="819">
        <v>1</v>
      </c>
      <c r="G22" s="38">
        <v>0</v>
      </c>
      <c r="H22" s="816">
        <v>0</v>
      </c>
      <c r="I22" s="19">
        <v>6</v>
      </c>
      <c r="J22" s="38">
        <v>1</v>
      </c>
      <c r="K22" s="818">
        <v>0</v>
      </c>
      <c r="L22" s="819">
        <v>0</v>
      </c>
      <c r="M22" s="38">
        <v>0</v>
      </c>
      <c r="N22" s="816">
        <v>0</v>
      </c>
      <c r="O22" s="819">
        <v>1</v>
      </c>
      <c r="P22" s="38">
        <v>0</v>
      </c>
      <c r="Q22" s="818">
        <v>0</v>
      </c>
      <c r="R22" s="817">
        <v>0</v>
      </c>
      <c r="S22" s="38">
        <v>0</v>
      </c>
    </row>
    <row r="23" spans="1:19" ht="24.95" customHeight="1">
      <c r="A23" s="494" t="s">
        <v>217</v>
      </c>
      <c r="B23" s="816">
        <f t="shared" si="0"/>
        <v>0</v>
      </c>
      <c r="C23" s="817">
        <f t="shared" si="0"/>
        <v>17</v>
      </c>
      <c r="D23" s="38">
        <f t="shared" si="0"/>
        <v>0</v>
      </c>
      <c r="E23" s="816">
        <v>0</v>
      </c>
      <c r="F23" s="819">
        <v>4</v>
      </c>
      <c r="G23" s="38">
        <v>0</v>
      </c>
      <c r="H23" s="816">
        <v>0</v>
      </c>
      <c r="I23" s="19">
        <v>7</v>
      </c>
      <c r="J23" s="38">
        <v>0</v>
      </c>
      <c r="K23" s="818">
        <v>0</v>
      </c>
      <c r="L23" s="819">
        <v>0</v>
      </c>
      <c r="M23" s="38">
        <v>0</v>
      </c>
      <c r="N23" s="816">
        <v>0</v>
      </c>
      <c r="O23" s="819">
        <v>6</v>
      </c>
      <c r="P23" s="38">
        <v>0</v>
      </c>
      <c r="Q23" s="818">
        <v>0</v>
      </c>
      <c r="R23" s="817">
        <v>0</v>
      </c>
      <c r="S23" s="38">
        <v>0</v>
      </c>
    </row>
    <row r="24" spans="1:19" ht="24.95" customHeight="1">
      <c r="A24" s="494" t="s">
        <v>218</v>
      </c>
      <c r="B24" s="816">
        <f t="shared" si="0"/>
        <v>0</v>
      </c>
      <c r="C24" s="817">
        <f t="shared" si="0"/>
        <v>29</v>
      </c>
      <c r="D24" s="38">
        <f t="shared" si="0"/>
        <v>0</v>
      </c>
      <c r="E24" s="816">
        <v>0</v>
      </c>
      <c r="F24" s="819">
        <v>8</v>
      </c>
      <c r="G24" s="38">
        <v>0</v>
      </c>
      <c r="H24" s="816">
        <v>0</v>
      </c>
      <c r="I24" s="19">
        <v>15</v>
      </c>
      <c r="J24" s="38">
        <v>0</v>
      </c>
      <c r="K24" s="818">
        <v>0</v>
      </c>
      <c r="L24" s="819">
        <v>0</v>
      </c>
      <c r="M24" s="38">
        <v>0</v>
      </c>
      <c r="N24" s="816">
        <v>0</v>
      </c>
      <c r="O24" s="819">
        <v>6</v>
      </c>
      <c r="P24" s="38">
        <v>0</v>
      </c>
      <c r="Q24" s="818">
        <v>0</v>
      </c>
      <c r="R24" s="817">
        <v>0</v>
      </c>
      <c r="S24" s="38">
        <v>0</v>
      </c>
    </row>
    <row r="25" spans="1:19" ht="24.95" customHeight="1">
      <c r="A25" s="494" t="s">
        <v>219</v>
      </c>
      <c r="B25" s="816">
        <f t="shared" si="0"/>
        <v>0</v>
      </c>
      <c r="C25" s="817">
        <f t="shared" si="0"/>
        <v>5</v>
      </c>
      <c r="D25" s="38">
        <f t="shared" si="0"/>
        <v>0</v>
      </c>
      <c r="E25" s="816">
        <v>0</v>
      </c>
      <c r="F25" s="819">
        <v>1</v>
      </c>
      <c r="G25" s="38">
        <v>0</v>
      </c>
      <c r="H25" s="816">
        <v>0</v>
      </c>
      <c r="I25" s="19">
        <v>3</v>
      </c>
      <c r="J25" s="38">
        <v>0</v>
      </c>
      <c r="K25" s="818">
        <v>0</v>
      </c>
      <c r="L25" s="819">
        <v>0</v>
      </c>
      <c r="M25" s="38">
        <v>0</v>
      </c>
      <c r="N25" s="816">
        <v>0</v>
      </c>
      <c r="O25" s="819">
        <v>1</v>
      </c>
      <c r="P25" s="38">
        <v>0</v>
      </c>
      <c r="Q25" s="818">
        <v>0</v>
      </c>
      <c r="R25" s="817">
        <v>0</v>
      </c>
      <c r="S25" s="38">
        <v>0</v>
      </c>
    </row>
    <row r="26" spans="1:19" ht="24.95" customHeight="1">
      <c r="A26" s="494" t="s">
        <v>220</v>
      </c>
      <c r="B26" s="816">
        <f t="shared" si="0"/>
        <v>0</v>
      </c>
      <c r="C26" s="817">
        <f t="shared" si="0"/>
        <v>18</v>
      </c>
      <c r="D26" s="38">
        <f t="shared" si="0"/>
        <v>0</v>
      </c>
      <c r="E26" s="816">
        <v>0</v>
      </c>
      <c r="F26" s="819">
        <v>0</v>
      </c>
      <c r="G26" s="38">
        <v>0</v>
      </c>
      <c r="H26" s="816">
        <v>0</v>
      </c>
      <c r="I26" s="19">
        <v>10</v>
      </c>
      <c r="J26" s="38">
        <v>0</v>
      </c>
      <c r="K26" s="818">
        <v>0</v>
      </c>
      <c r="L26" s="819">
        <v>0</v>
      </c>
      <c r="M26" s="38">
        <v>0</v>
      </c>
      <c r="N26" s="816">
        <v>0</v>
      </c>
      <c r="O26" s="819">
        <v>8</v>
      </c>
      <c r="P26" s="38">
        <v>0</v>
      </c>
      <c r="Q26" s="818">
        <v>0</v>
      </c>
      <c r="R26" s="817">
        <v>0</v>
      </c>
      <c r="S26" s="38">
        <v>0</v>
      </c>
    </row>
    <row r="27" spans="1:19" ht="24.95" customHeight="1">
      <c r="A27" s="494" t="s">
        <v>221</v>
      </c>
      <c r="B27" s="816">
        <f t="shared" si="0"/>
        <v>0</v>
      </c>
      <c r="C27" s="817">
        <f t="shared" si="0"/>
        <v>25</v>
      </c>
      <c r="D27" s="38">
        <f t="shared" si="0"/>
        <v>0</v>
      </c>
      <c r="E27" s="816">
        <v>0</v>
      </c>
      <c r="F27" s="819">
        <v>4</v>
      </c>
      <c r="G27" s="38">
        <v>0</v>
      </c>
      <c r="H27" s="816">
        <v>0</v>
      </c>
      <c r="I27" s="19">
        <v>17</v>
      </c>
      <c r="J27" s="38">
        <v>0</v>
      </c>
      <c r="K27" s="818">
        <v>0</v>
      </c>
      <c r="L27" s="819">
        <v>0</v>
      </c>
      <c r="M27" s="38">
        <v>0</v>
      </c>
      <c r="N27" s="816">
        <v>0</v>
      </c>
      <c r="O27" s="819">
        <v>4</v>
      </c>
      <c r="P27" s="38">
        <v>0</v>
      </c>
      <c r="Q27" s="818">
        <v>0</v>
      </c>
      <c r="R27" s="817">
        <v>0</v>
      </c>
      <c r="S27" s="38">
        <v>0</v>
      </c>
    </row>
    <row r="28" spans="1:19" ht="24.95" customHeight="1">
      <c r="A28" s="494" t="s">
        <v>598</v>
      </c>
      <c r="B28" s="816">
        <f t="shared" si="0"/>
        <v>0</v>
      </c>
      <c r="C28" s="817">
        <f t="shared" si="0"/>
        <v>17</v>
      </c>
      <c r="D28" s="38">
        <f t="shared" si="0"/>
        <v>1</v>
      </c>
      <c r="E28" s="816">
        <v>0</v>
      </c>
      <c r="F28" s="819">
        <v>1</v>
      </c>
      <c r="G28" s="38">
        <v>0</v>
      </c>
      <c r="H28" s="816">
        <v>0</v>
      </c>
      <c r="I28" s="19">
        <v>13</v>
      </c>
      <c r="J28" s="38">
        <v>1</v>
      </c>
      <c r="K28" s="818">
        <v>0</v>
      </c>
      <c r="L28" s="819">
        <v>0</v>
      </c>
      <c r="M28" s="38">
        <v>0</v>
      </c>
      <c r="N28" s="816">
        <v>0</v>
      </c>
      <c r="O28" s="819">
        <v>3</v>
      </c>
      <c r="P28" s="38">
        <v>0</v>
      </c>
      <c r="Q28" s="818">
        <v>0</v>
      </c>
      <c r="R28" s="817">
        <v>0</v>
      </c>
      <c r="S28" s="38">
        <v>0</v>
      </c>
    </row>
    <row r="29" spans="1:19" ht="24.95" customHeight="1">
      <c r="A29" s="494" t="s">
        <v>223</v>
      </c>
      <c r="B29" s="816">
        <f t="shared" si="0"/>
        <v>0</v>
      </c>
      <c r="C29" s="817">
        <f t="shared" si="0"/>
        <v>39</v>
      </c>
      <c r="D29" s="38">
        <f t="shared" si="0"/>
        <v>1</v>
      </c>
      <c r="E29" s="816">
        <v>0</v>
      </c>
      <c r="F29" s="819">
        <v>12</v>
      </c>
      <c r="G29" s="38">
        <v>1</v>
      </c>
      <c r="H29" s="816">
        <v>0</v>
      </c>
      <c r="I29" s="19">
        <v>16</v>
      </c>
      <c r="J29" s="38">
        <v>0</v>
      </c>
      <c r="K29" s="818">
        <v>0</v>
      </c>
      <c r="L29" s="819">
        <v>0</v>
      </c>
      <c r="M29" s="38">
        <v>0</v>
      </c>
      <c r="N29" s="816">
        <v>0</v>
      </c>
      <c r="O29" s="819">
        <v>11</v>
      </c>
      <c r="P29" s="38">
        <v>0</v>
      </c>
      <c r="Q29" s="818">
        <v>0</v>
      </c>
      <c r="R29" s="817">
        <v>0</v>
      </c>
      <c r="S29" s="38">
        <v>0</v>
      </c>
    </row>
    <row r="30" spans="1:19" ht="24.95" customHeight="1" thickBot="1">
      <c r="A30" s="736" t="s">
        <v>224</v>
      </c>
      <c r="B30" s="820">
        <f t="shared" si="0"/>
        <v>0</v>
      </c>
      <c r="C30" s="821">
        <f t="shared" si="0"/>
        <v>15</v>
      </c>
      <c r="D30" s="822">
        <f t="shared" si="0"/>
        <v>0</v>
      </c>
      <c r="E30" s="816">
        <v>0</v>
      </c>
      <c r="F30" s="823">
        <v>1</v>
      </c>
      <c r="G30" s="822">
        <v>0</v>
      </c>
      <c r="H30" s="816">
        <v>0</v>
      </c>
      <c r="I30" s="34">
        <v>6</v>
      </c>
      <c r="J30" s="822">
        <v>0</v>
      </c>
      <c r="K30" s="818">
        <v>0</v>
      </c>
      <c r="L30" s="823">
        <v>0</v>
      </c>
      <c r="M30" s="822">
        <v>0</v>
      </c>
      <c r="N30" s="816">
        <v>0</v>
      </c>
      <c r="O30" s="823">
        <v>8</v>
      </c>
      <c r="P30" s="822">
        <v>0</v>
      </c>
      <c r="Q30" s="818">
        <v>0</v>
      </c>
      <c r="R30" s="817">
        <v>0</v>
      </c>
      <c r="S30" s="822">
        <v>0</v>
      </c>
    </row>
    <row r="31" spans="1:19" ht="24.95" customHeight="1" thickBot="1">
      <c r="A31" s="486" t="s">
        <v>394</v>
      </c>
      <c r="B31" s="824">
        <f>SUM(B7:B30)</f>
        <v>1</v>
      </c>
      <c r="C31" s="825">
        <f>SUM(C7:C30)</f>
        <v>378</v>
      </c>
      <c r="D31" s="826">
        <f>SUM(D7:D30)</f>
        <v>11</v>
      </c>
      <c r="E31" s="824">
        <f t="shared" ref="E31:R31" si="1">SUM(E7:E30)</f>
        <v>1</v>
      </c>
      <c r="F31" s="825">
        <f t="shared" si="1"/>
        <v>63</v>
      </c>
      <c r="G31" s="826">
        <f>SUM(G7:G30)</f>
        <v>3</v>
      </c>
      <c r="H31" s="827">
        <f t="shared" si="1"/>
        <v>0</v>
      </c>
      <c r="I31" s="825">
        <f t="shared" si="1"/>
        <v>211</v>
      </c>
      <c r="J31" s="826">
        <f>SUM(J7:J30)</f>
        <v>7</v>
      </c>
      <c r="K31" s="824">
        <f t="shared" si="1"/>
        <v>0</v>
      </c>
      <c r="L31" s="826">
        <f t="shared" si="1"/>
        <v>1</v>
      </c>
      <c r="M31" s="826">
        <f>SUM(M7:M30)</f>
        <v>1</v>
      </c>
      <c r="N31" s="827">
        <f t="shared" si="1"/>
        <v>0</v>
      </c>
      <c r="O31" s="825">
        <f t="shared" si="1"/>
        <v>105</v>
      </c>
      <c r="P31" s="826">
        <f>SUM(P7:P30)</f>
        <v>0</v>
      </c>
      <c r="Q31" s="824">
        <f t="shared" si="1"/>
        <v>0</v>
      </c>
      <c r="R31" s="825">
        <f t="shared" si="1"/>
        <v>1</v>
      </c>
      <c r="S31" s="826">
        <f>SUM(S7:S30)</f>
        <v>0</v>
      </c>
    </row>
    <row r="32" spans="1:19" ht="24.95" customHeight="1">
      <c r="A32" s="1834" t="s">
        <v>674</v>
      </c>
      <c r="B32" s="1834"/>
      <c r="C32" s="1834"/>
      <c r="D32" s="1834"/>
      <c r="E32" s="1834"/>
      <c r="F32" s="1834"/>
      <c r="G32" s="828"/>
      <c r="J32" s="828"/>
      <c r="M32" s="828"/>
      <c r="P32" s="828"/>
      <c r="S32" s="828"/>
    </row>
  </sheetData>
  <mergeCells count="21">
    <mergeCell ref="Q2:S2"/>
    <mergeCell ref="B3:D4"/>
    <mergeCell ref="E3:S3"/>
    <mergeCell ref="E4:G4"/>
    <mergeCell ref="H4:J4"/>
    <mergeCell ref="K4:M4"/>
    <mergeCell ref="N4:P4"/>
    <mergeCell ref="Q4:S4"/>
    <mergeCell ref="Q5:Q6"/>
    <mergeCell ref="R5:R6"/>
    <mergeCell ref="B5:B6"/>
    <mergeCell ref="C5:C6"/>
    <mergeCell ref="E5:E6"/>
    <mergeCell ref="F5:F6"/>
    <mergeCell ref="H5:H6"/>
    <mergeCell ref="I5:I6"/>
    <mergeCell ref="A32:F32"/>
    <mergeCell ref="K5:K6"/>
    <mergeCell ref="L5:L6"/>
    <mergeCell ref="N5:N6"/>
    <mergeCell ref="O5:O6"/>
  </mergeCells>
  <phoneticPr fontId="3"/>
  <printOptions horizontalCentered="1"/>
  <pageMargins left="0.70866141732283472" right="0.70866141732283472" top="0.98425196850393704" bottom="0.98425196850393704" header="0.51181102362204722" footer="0.51181102362204722"/>
  <pageSetup paperSize="9" scale="63" orientation="portrait" r:id="rId1"/>
  <headerFooter alignWithMargins="0">
    <oddFooter xml:space="preserve">&amp;C－22－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BreakPreview" zoomScaleNormal="100" zoomScaleSheetLayoutView="100" workbookViewId="0">
      <selection activeCell="C33" sqref="C33"/>
    </sheetView>
  </sheetViews>
  <sheetFormatPr defaultRowHeight="14.25"/>
  <cols>
    <col min="1" max="1" width="2.625" style="2" customWidth="1"/>
    <col min="2" max="2" width="3" style="2" customWidth="1"/>
    <col min="3" max="3" width="30.5" style="2" customWidth="1"/>
    <col min="4" max="6" width="13.125" style="2" customWidth="1"/>
    <col min="7" max="7" width="14.5" style="2" customWidth="1"/>
    <col min="8" max="16384" width="9" style="2"/>
  </cols>
  <sheetData>
    <row r="1" spans="1:7" ht="15">
      <c r="A1" s="70" t="s">
        <v>675</v>
      </c>
    </row>
    <row r="2" spans="1:7" ht="15" thickBot="1"/>
    <row r="3" spans="1:7" ht="6.75" customHeight="1" thickBot="1">
      <c r="A3" s="1853" t="s">
        <v>362</v>
      </c>
      <c r="B3" s="1854"/>
      <c r="C3" s="1855"/>
      <c r="D3" s="1546" t="s">
        <v>603</v>
      </c>
      <c r="E3" s="1817" t="s">
        <v>604</v>
      </c>
      <c r="F3" s="1818" t="s">
        <v>605</v>
      </c>
      <c r="G3" s="748"/>
    </row>
    <row r="4" spans="1:7">
      <c r="A4" s="1856"/>
      <c r="B4" s="1857"/>
      <c r="C4" s="1858"/>
      <c r="D4" s="1859"/>
      <c r="E4" s="1849"/>
      <c r="F4" s="1849"/>
      <c r="G4" s="1850" t="s">
        <v>950</v>
      </c>
    </row>
    <row r="5" spans="1:7" ht="15" thickBot="1">
      <c r="A5" s="1786" t="s">
        <v>676</v>
      </c>
      <c r="B5" s="1772"/>
      <c r="C5" s="1852"/>
      <c r="D5" s="1816"/>
      <c r="E5" s="1816"/>
      <c r="F5" s="1816"/>
      <c r="G5" s="1851"/>
    </row>
    <row r="6" spans="1:7" ht="20.100000000000001" customHeight="1">
      <c r="A6" s="829"/>
      <c r="B6" s="605" t="s">
        <v>497</v>
      </c>
      <c r="C6" s="586"/>
      <c r="D6" s="830">
        <v>0</v>
      </c>
      <c r="E6" s="830">
        <v>0</v>
      </c>
      <c r="F6" s="830">
        <v>0</v>
      </c>
      <c r="G6" s="830">
        <v>0</v>
      </c>
    </row>
    <row r="7" spans="1:7" ht="20.100000000000001" customHeight="1">
      <c r="A7" s="831"/>
      <c r="B7" s="584" t="s">
        <v>499</v>
      </c>
      <c r="C7" s="608"/>
      <c r="D7" s="832">
        <v>0</v>
      </c>
      <c r="E7" s="832">
        <v>0</v>
      </c>
      <c r="F7" s="832">
        <v>0</v>
      </c>
      <c r="G7" s="832">
        <v>0</v>
      </c>
    </row>
    <row r="8" spans="1:7" ht="20.100000000000001" customHeight="1">
      <c r="A8" s="831"/>
      <c r="B8" s="1819" t="s">
        <v>606</v>
      </c>
      <c r="C8" s="608" t="s">
        <v>607</v>
      </c>
      <c r="D8" s="832">
        <v>0</v>
      </c>
      <c r="E8" s="832">
        <v>0</v>
      </c>
      <c r="F8" s="832">
        <v>0</v>
      </c>
      <c r="G8" s="832">
        <v>0</v>
      </c>
    </row>
    <row r="9" spans="1:7" ht="20.100000000000001" customHeight="1">
      <c r="A9" s="833" t="s">
        <v>522</v>
      </c>
      <c r="B9" s="1819"/>
      <c r="C9" s="608" t="s">
        <v>608</v>
      </c>
      <c r="D9" s="832">
        <v>0</v>
      </c>
      <c r="E9" s="832">
        <v>0</v>
      </c>
      <c r="F9" s="832">
        <v>0</v>
      </c>
      <c r="G9" s="832">
        <v>0</v>
      </c>
    </row>
    <row r="10" spans="1:7" ht="20.100000000000001" customHeight="1">
      <c r="A10" s="833"/>
      <c r="B10" s="1819"/>
      <c r="C10" s="608" t="s">
        <v>677</v>
      </c>
      <c r="D10" s="832">
        <v>0</v>
      </c>
      <c r="E10" s="832">
        <v>0</v>
      </c>
      <c r="F10" s="832">
        <v>0</v>
      </c>
      <c r="G10" s="832">
        <v>0</v>
      </c>
    </row>
    <row r="11" spans="1:7" ht="20.100000000000001" customHeight="1">
      <c r="A11" s="833" t="s">
        <v>526</v>
      </c>
      <c r="B11" s="1819"/>
      <c r="C11" s="608" t="s">
        <v>610</v>
      </c>
      <c r="D11" s="832">
        <v>0</v>
      </c>
      <c r="E11" s="832">
        <v>0</v>
      </c>
      <c r="F11" s="832">
        <v>0</v>
      </c>
      <c r="G11" s="832">
        <v>0</v>
      </c>
    </row>
    <row r="12" spans="1:7" ht="20.100000000000001" customHeight="1">
      <c r="A12" s="833"/>
      <c r="B12" s="1819"/>
      <c r="C12" s="608" t="s">
        <v>611</v>
      </c>
      <c r="D12" s="832">
        <v>0</v>
      </c>
      <c r="E12" s="832">
        <v>0</v>
      </c>
      <c r="F12" s="832">
        <v>0</v>
      </c>
      <c r="G12" s="832">
        <v>0</v>
      </c>
    </row>
    <row r="13" spans="1:7" ht="20.100000000000001" customHeight="1">
      <c r="A13" s="833" t="s">
        <v>612</v>
      </c>
      <c r="B13" s="584" t="s">
        <v>678</v>
      </c>
      <c r="C13" s="608"/>
      <c r="D13" s="832">
        <v>0</v>
      </c>
      <c r="E13" s="832">
        <v>0</v>
      </c>
      <c r="F13" s="832">
        <v>0</v>
      </c>
      <c r="G13" s="832">
        <v>0</v>
      </c>
    </row>
    <row r="14" spans="1:7" ht="20.100000000000001" customHeight="1">
      <c r="A14" s="831"/>
      <c r="B14" s="584" t="s">
        <v>613</v>
      </c>
      <c r="C14" s="608"/>
      <c r="D14" s="832">
        <v>0</v>
      </c>
      <c r="E14" s="832">
        <v>0</v>
      </c>
      <c r="F14" s="832">
        <v>0</v>
      </c>
      <c r="G14" s="832">
        <v>0</v>
      </c>
    </row>
    <row r="15" spans="1:7" ht="20.100000000000001" customHeight="1">
      <c r="A15" s="831"/>
      <c r="B15" s="584" t="s">
        <v>530</v>
      </c>
      <c r="C15" s="608"/>
      <c r="D15" s="832">
        <v>0</v>
      </c>
      <c r="E15" s="832">
        <v>0</v>
      </c>
      <c r="F15" s="832">
        <v>0</v>
      </c>
      <c r="G15" s="832">
        <v>0</v>
      </c>
    </row>
    <row r="16" spans="1:7" ht="20.100000000000001" customHeight="1">
      <c r="A16" s="831"/>
      <c r="B16" s="584" t="s">
        <v>531</v>
      </c>
      <c r="C16" s="608"/>
      <c r="D16" s="832">
        <v>0</v>
      </c>
      <c r="E16" s="832">
        <v>0</v>
      </c>
      <c r="F16" s="832">
        <v>0</v>
      </c>
      <c r="G16" s="832">
        <v>0</v>
      </c>
    </row>
    <row r="17" spans="1:7" ht="20.100000000000001" customHeight="1" thickBot="1">
      <c r="A17" s="831"/>
      <c r="B17" s="584" t="s">
        <v>331</v>
      </c>
      <c r="C17" s="608"/>
      <c r="D17" s="832">
        <v>0</v>
      </c>
      <c r="E17" s="167">
        <v>0</v>
      </c>
      <c r="F17" s="832">
        <v>0</v>
      </c>
      <c r="G17" s="832">
        <v>0</v>
      </c>
    </row>
    <row r="18" spans="1:7" ht="20.100000000000001" customHeight="1">
      <c r="A18" s="761"/>
      <c r="B18" s="605" t="s">
        <v>497</v>
      </c>
      <c r="C18" s="586"/>
      <c r="D18" s="830">
        <v>1</v>
      </c>
      <c r="E18" s="830">
        <v>0</v>
      </c>
      <c r="F18" s="830">
        <v>1</v>
      </c>
      <c r="G18" s="830">
        <v>0</v>
      </c>
    </row>
    <row r="19" spans="1:7" ht="20.100000000000001" customHeight="1">
      <c r="A19" s="833" t="s">
        <v>614</v>
      </c>
      <c r="B19" s="584" t="s">
        <v>499</v>
      </c>
      <c r="C19" s="608"/>
      <c r="D19" s="832">
        <v>1</v>
      </c>
      <c r="E19" s="832">
        <v>0</v>
      </c>
      <c r="F19" s="832">
        <v>1</v>
      </c>
      <c r="G19" s="832">
        <v>0</v>
      </c>
    </row>
    <row r="20" spans="1:7" ht="20.100000000000001" customHeight="1">
      <c r="A20" s="833" t="s">
        <v>615</v>
      </c>
      <c r="B20" s="584" t="s">
        <v>616</v>
      </c>
      <c r="C20" s="608"/>
      <c r="D20" s="832">
        <v>0</v>
      </c>
      <c r="E20" s="832">
        <v>0</v>
      </c>
      <c r="F20" s="832">
        <v>0</v>
      </c>
      <c r="G20" s="832">
        <v>0</v>
      </c>
    </row>
    <row r="21" spans="1:7" ht="20.100000000000001" customHeight="1">
      <c r="A21" s="833" t="s">
        <v>500</v>
      </c>
      <c r="B21" s="584" t="s">
        <v>617</v>
      </c>
      <c r="C21" s="608"/>
      <c r="D21" s="832">
        <v>0</v>
      </c>
      <c r="E21" s="832">
        <v>0</v>
      </c>
      <c r="F21" s="832">
        <v>0</v>
      </c>
      <c r="G21" s="832">
        <v>0</v>
      </c>
    </row>
    <row r="22" spans="1:7" ht="20.100000000000001" customHeight="1">
      <c r="A22" s="833" t="s">
        <v>618</v>
      </c>
      <c r="B22" s="584" t="s">
        <v>619</v>
      </c>
      <c r="C22" s="608"/>
      <c r="D22" s="832">
        <v>0</v>
      </c>
      <c r="E22" s="832">
        <v>0</v>
      </c>
      <c r="F22" s="832">
        <v>0</v>
      </c>
      <c r="G22" s="832">
        <v>0</v>
      </c>
    </row>
    <row r="23" spans="1:7" ht="20.100000000000001" customHeight="1">
      <c r="A23" s="833" t="s">
        <v>620</v>
      </c>
      <c r="B23" s="584" t="s">
        <v>621</v>
      </c>
      <c r="C23" s="608"/>
      <c r="D23" s="832">
        <v>0</v>
      </c>
      <c r="E23" s="832">
        <v>0</v>
      </c>
      <c r="F23" s="832">
        <v>0</v>
      </c>
      <c r="G23" s="832">
        <v>0</v>
      </c>
    </row>
    <row r="24" spans="1:7" ht="20.100000000000001" customHeight="1">
      <c r="A24" s="833" t="s">
        <v>612</v>
      </c>
      <c r="B24" s="584" t="s">
        <v>511</v>
      </c>
      <c r="C24" s="608"/>
      <c r="D24" s="832">
        <v>1</v>
      </c>
      <c r="E24" s="832">
        <v>0</v>
      </c>
      <c r="F24" s="832">
        <v>2</v>
      </c>
      <c r="G24" s="832">
        <v>0</v>
      </c>
    </row>
    <row r="25" spans="1:7" ht="20.100000000000001" customHeight="1">
      <c r="A25" s="833"/>
      <c r="B25" s="584" t="s">
        <v>622</v>
      </c>
      <c r="C25" s="608"/>
      <c r="D25" s="832">
        <v>1</v>
      </c>
      <c r="E25" s="832">
        <v>0</v>
      </c>
      <c r="F25" s="832">
        <v>1</v>
      </c>
      <c r="G25" s="832">
        <v>1</v>
      </c>
    </row>
    <row r="26" spans="1:7" ht="20.100000000000001" customHeight="1">
      <c r="A26" s="833"/>
      <c r="B26" s="584" t="s">
        <v>520</v>
      </c>
      <c r="C26" s="608"/>
      <c r="D26" s="832">
        <v>8</v>
      </c>
      <c r="E26" s="832">
        <v>0</v>
      </c>
      <c r="F26" s="832">
        <v>8</v>
      </c>
      <c r="G26" s="832">
        <v>1</v>
      </c>
    </row>
    <row r="27" spans="1:7" ht="20.100000000000001" customHeight="1" thickBot="1">
      <c r="A27" s="833"/>
      <c r="B27" s="613" t="s">
        <v>331</v>
      </c>
      <c r="C27" s="611"/>
      <c r="D27" s="834">
        <v>8</v>
      </c>
      <c r="E27" s="167">
        <v>0</v>
      </c>
      <c r="F27" s="834">
        <v>8</v>
      </c>
      <c r="G27" s="834">
        <v>2</v>
      </c>
    </row>
    <row r="28" spans="1:7" ht="20.100000000000001" customHeight="1" thickBot="1">
      <c r="A28" s="562" t="s">
        <v>679</v>
      </c>
      <c r="B28" s="755"/>
      <c r="C28" s="573"/>
      <c r="D28" s="835">
        <v>1</v>
      </c>
      <c r="E28" s="830">
        <v>0</v>
      </c>
      <c r="F28" s="835">
        <v>1</v>
      </c>
      <c r="G28" s="835">
        <v>0</v>
      </c>
    </row>
    <row r="29" spans="1:7" ht="20.100000000000001" customHeight="1" thickBot="1">
      <c r="A29" s="1339" t="s">
        <v>999</v>
      </c>
      <c r="B29" s="590"/>
      <c r="C29" s="590"/>
      <c r="D29" s="836">
        <f>SUM(D6:D28)</f>
        <v>21</v>
      </c>
      <c r="E29" s="836">
        <f>SUM(E6:E28)</f>
        <v>0</v>
      </c>
      <c r="F29" s="836">
        <f>SUM(F6:F28)</f>
        <v>22</v>
      </c>
      <c r="G29" s="836">
        <f>SUM(G6:G28)</f>
        <v>4</v>
      </c>
    </row>
    <row r="30" spans="1:7">
      <c r="A30" s="1526" t="s">
        <v>368</v>
      </c>
      <c r="B30" s="1526"/>
      <c r="C30" s="483" t="s">
        <v>680</v>
      </c>
    </row>
  </sheetData>
  <mergeCells count="8">
    <mergeCell ref="F3:F5"/>
    <mergeCell ref="G4:G5"/>
    <mergeCell ref="A5:C5"/>
    <mergeCell ref="B8:B12"/>
    <mergeCell ref="A30:B30"/>
    <mergeCell ref="A3:C4"/>
    <mergeCell ref="D3:D5"/>
    <mergeCell ref="E3:E5"/>
  </mergeCells>
  <phoneticPr fontId="3"/>
  <printOptions horizontalCentered="1"/>
  <pageMargins left="0.74803149606299213" right="0.39370078740157483" top="0.98425196850393704" bottom="0.98425196850393704" header="0.51181102362204722" footer="0.51181102362204722"/>
  <pageSetup paperSize="9" scale="94" orientation="portrait" r:id="rId1"/>
  <headerFooter alignWithMargins="0">
    <oddFooter>&amp;C－23－</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view="pageBreakPreview" zoomScaleNormal="100" zoomScaleSheetLayoutView="100" workbookViewId="0">
      <selection activeCell="A8" sqref="A8:B8"/>
    </sheetView>
  </sheetViews>
  <sheetFormatPr defaultRowHeight="14.25"/>
  <cols>
    <col min="1" max="1" width="1" style="2" customWidth="1"/>
    <col min="2" max="2" width="12.625" style="2" customWidth="1"/>
    <col min="3" max="12" width="6.625" style="2" customWidth="1"/>
    <col min="13" max="13" width="7.75" style="2" customWidth="1"/>
    <col min="14" max="14" width="9" style="2"/>
    <col min="15" max="15" width="6.125" style="2" customWidth="1"/>
    <col min="16" max="16" width="7" style="2" customWidth="1"/>
    <col min="17" max="17" width="5.75" style="2" customWidth="1"/>
    <col min="18" max="18" width="5.375" style="2" customWidth="1"/>
    <col min="19" max="19" width="5.625" style="2" customWidth="1"/>
    <col min="20" max="20" width="5.5" style="2" customWidth="1"/>
    <col min="21" max="21" width="5.25" style="2" customWidth="1"/>
    <col min="22" max="22" width="5.375" style="2" customWidth="1"/>
    <col min="23" max="23" width="5.625" style="2" customWidth="1"/>
    <col min="24" max="24" width="5.375" style="2" customWidth="1"/>
    <col min="25" max="25" width="5.5" style="2" customWidth="1"/>
    <col min="26" max="26" width="5.375" style="2" customWidth="1"/>
    <col min="27" max="27" width="5.625" style="2" customWidth="1"/>
    <col min="28" max="16384" width="9" style="2"/>
  </cols>
  <sheetData>
    <row r="1" spans="1:28" ht="15">
      <c r="A1" s="70" t="s">
        <v>681</v>
      </c>
      <c r="B1" s="70"/>
    </row>
    <row r="2" spans="1:28">
      <c r="A2" s="487"/>
      <c r="B2" s="487"/>
      <c r="C2" s="487"/>
      <c r="D2" s="487"/>
      <c r="E2" s="487"/>
      <c r="F2" s="487"/>
      <c r="G2" s="487"/>
      <c r="H2" s="487"/>
      <c r="I2" s="487"/>
      <c r="J2" s="487"/>
      <c r="K2" s="487"/>
      <c r="L2" s="487"/>
      <c r="M2" s="487"/>
    </row>
    <row r="3" spans="1:28" ht="13.5" customHeight="1" thickBot="1">
      <c r="A3" s="597" t="s">
        <v>682</v>
      </c>
      <c r="B3" s="597"/>
    </row>
    <row r="4" spans="1:28">
      <c r="A4" s="1585" t="s">
        <v>356</v>
      </c>
      <c r="B4" s="1894"/>
      <c r="C4" s="1895" t="s">
        <v>683</v>
      </c>
      <c r="D4" s="1708" t="s">
        <v>684</v>
      </c>
      <c r="E4" s="1708" t="s">
        <v>685</v>
      </c>
      <c r="F4" s="1708" t="s">
        <v>686</v>
      </c>
      <c r="G4" s="1708" t="s">
        <v>358</v>
      </c>
      <c r="H4" s="1708" t="s">
        <v>359</v>
      </c>
      <c r="I4" s="1708" t="s">
        <v>687</v>
      </c>
      <c r="J4" s="1892" t="s">
        <v>360</v>
      </c>
      <c r="K4" s="1892" t="s">
        <v>688</v>
      </c>
      <c r="L4" s="1784" t="s">
        <v>953</v>
      </c>
      <c r="M4" s="602"/>
      <c r="N4" s="3"/>
      <c r="O4" s="837" t="s">
        <v>628</v>
      </c>
      <c r="P4" s="761">
        <v>1</v>
      </c>
      <c r="Q4" s="762">
        <v>2</v>
      </c>
      <c r="R4" s="762">
        <v>3</v>
      </c>
      <c r="S4" s="762">
        <v>4</v>
      </c>
      <c r="T4" s="762">
        <v>5</v>
      </c>
      <c r="U4" s="762">
        <v>6</v>
      </c>
      <c r="V4" s="762">
        <v>7</v>
      </c>
      <c r="W4" s="762">
        <v>8</v>
      </c>
      <c r="X4" s="762">
        <v>9</v>
      </c>
      <c r="Y4" s="762">
        <v>10</v>
      </c>
      <c r="Z4" s="762">
        <v>11</v>
      </c>
      <c r="AA4" s="763">
        <v>12</v>
      </c>
      <c r="AB4" s="764" t="s">
        <v>629</v>
      </c>
    </row>
    <row r="5" spans="1:28" ht="15" thickBot="1">
      <c r="A5" s="137" t="s">
        <v>362</v>
      </c>
      <c r="B5" s="137"/>
      <c r="C5" s="1896"/>
      <c r="D5" s="1783"/>
      <c r="E5" s="1783"/>
      <c r="F5" s="1783"/>
      <c r="G5" s="1783"/>
      <c r="H5" s="1783"/>
      <c r="I5" s="1783"/>
      <c r="J5" s="1893"/>
      <c r="K5" s="1893"/>
      <c r="L5" s="1785"/>
      <c r="M5" s="602"/>
      <c r="N5" s="765" t="s">
        <v>630</v>
      </c>
      <c r="O5" s="53"/>
      <c r="P5" s="766"/>
      <c r="Q5" s="141"/>
      <c r="R5" s="141"/>
      <c r="S5" s="141"/>
      <c r="T5" s="141"/>
      <c r="U5" s="141"/>
      <c r="V5" s="141"/>
      <c r="W5" s="141"/>
      <c r="X5" s="141"/>
      <c r="Y5" s="141"/>
      <c r="Z5" s="141"/>
      <c r="AA5" s="767"/>
      <c r="AB5" s="53"/>
    </row>
    <row r="6" spans="1:28" ht="15" thickBot="1">
      <c r="A6" s="1880" t="s">
        <v>689</v>
      </c>
      <c r="B6" s="1881"/>
      <c r="C6" s="838">
        <v>3242</v>
      </c>
      <c r="D6" s="839">
        <v>2901</v>
      </c>
      <c r="E6" s="840">
        <v>2874</v>
      </c>
      <c r="F6" s="838">
        <v>2694</v>
      </c>
      <c r="G6" s="839">
        <v>2552</v>
      </c>
      <c r="H6" s="840">
        <v>2489</v>
      </c>
      <c r="I6" s="839">
        <v>2256</v>
      </c>
      <c r="J6" s="841">
        <v>1914</v>
      </c>
      <c r="K6" s="841">
        <v>1915</v>
      </c>
      <c r="L6" s="206">
        <v>1777</v>
      </c>
      <c r="M6" s="842"/>
      <c r="N6" s="843" t="s">
        <v>225</v>
      </c>
      <c r="O6" s="348" t="s">
        <v>182</v>
      </c>
      <c r="P6" s="843">
        <f>'[1]★２５ページ若年者（年齢別）'!C32</f>
        <v>0</v>
      </c>
      <c r="Q6" s="800">
        <f>'[1]★２５ページ若年者（年齢別）'!D32</f>
        <v>0</v>
      </c>
      <c r="R6" s="800">
        <v>0</v>
      </c>
      <c r="S6" s="844">
        <v>0</v>
      </c>
      <c r="T6" s="800">
        <v>0</v>
      </c>
      <c r="U6" s="800">
        <v>1</v>
      </c>
      <c r="V6" s="800">
        <v>0</v>
      </c>
      <c r="W6" s="800">
        <v>0</v>
      </c>
      <c r="X6" s="800">
        <f>'[1]★２５ページ若年者（年齢別）'!K32</f>
        <v>0</v>
      </c>
      <c r="Y6" s="800">
        <v>1</v>
      </c>
      <c r="Z6" s="800">
        <v>1</v>
      </c>
      <c r="AA6" s="237">
        <v>0</v>
      </c>
      <c r="AB6" s="348">
        <f>SUM(P6:AA6)</f>
        <v>3</v>
      </c>
    </row>
    <row r="7" spans="1:28" ht="15" thickBot="1">
      <c r="A7" s="1882" t="s">
        <v>561</v>
      </c>
      <c r="B7" s="1872"/>
      <c r="C7" s="845">
        <v>3</v>
      </c>
      <c r="D7" s="430">
        <v>1</v>
      </c>
      <c r="E7" s="846">
        <v>8</v>
      </c>
      <c r="F7" s="845">
        <v>4</v>
      </c>
      <c r="G7" s="430">
        <v>4</v>
      </c>
      <c r="H7" s="846">
        <v>8</v>
      </c>
      <c r="I7" s="430">
        <v>1</v>
      </c>
      <c r="J7" s="847">
        <v>6</v>
      </c>
      <c r="K7" s="847">
        <v>3</v>
      </c>
      <c r="L7" s="209">
        <v>3</v>
      </c>
      <c r="M7" s="842"/>
      <c r="N7" s="843" t="s">
        <v>225</v>
      </c>
      <c r="O7" s="349" t="s">
        <v>690</v>
      </c>
      <c r="P7" s="843">
        <v>85</v>
      </c>
      <c r="Q7" s="800">
        <v>69</v>
      </c>
      <c r="R7" s="800">
        <v>89</v>
      </c>
      <c r="S7" s="844">
        <v>91</v>
      </c>
      <c r="T7" s="800">
        <v>97</v>
      </c>
      <c r="U7" s="800">
        <v>92</v>
      </c>
      <c r="V7" s="800">
        <v>107</v>
      </c>
      <c r="W7" s="800">
        <v>100</v>
      </c>
      <c r="X7" s="800">
        <v>86</v>
      </c>
      <c r="Y7" s="800">
        <v>93</v>
      </c>
      <c r="Z7" s="800">
        <v>95</v>
      </c>
      <c r="AA7" s="237">
        <v>138</v>
      </c>
      <c r="AB7" s="348">
        <f>SUM(P7:AA7)</f>
        <v>1142</v>
      </c>
    </row>
    <row r="8" spans="1:28">
      <c r="A8" s="1871" t="s">
        <v>923</v>
      </c>
      <c r="B8" s="1889"/>
      <c r="C8" s="848">
        <v>2459</v>
      </c>
      <c r="D8" s="849">
        <v>2154</v>
      </c>
      <c r="E8" s="850">
        <v>2108</v>
      </c>
      <c r="F8" s="848">
        <v>1888</v>
      </c>
      <c r="G8" s="849">
        <v>1801</v>
      </c>
      <c r="H8" s="850">
        <v>1669</v>
      </c>
      <c r="I8" s="849">
        <v>1513</v>
      </c>
      <c r="J8" s="851">
        <v>1252</v>
      </c>
      <c r="K8" s="851">
        <v>1261</v>
      </c>
      <c r="L8" s="208">
        <v>1142</v>
      </c>
      <c r="M8" s="9"/>
    </row>
    <row r="9" spans="1:28" ht="15" thickBot="1">
      <c r="A9" s="852"/>
      <c r="B9" s="1359" t="s">
        <v>954</v>
      </c>
      <c r="C9" s="853" t="s">
        <v>15</v>
      </c>
      <c r="D9" s="854" t="s">
        <v>634</v>
      </c>
      <c r="E9" s="855" t="s">
        <v>634</v>
      </c>
      <c r="F9" s="853" t="s">
        <v>634</v>
      </c>
      <c r="G9" s="854" t="s">
        <v>634</v>
      </c>
      <c r="H9" s="856">
        <v>112</v>
      </c>
      <c r="I9" s="435">
        <v>100</v>
      </c>
      <c r="J9" s="857">
        <v>90</v>
      </c>
      <c r="K9" s="857">
        <v>101</v>
      </c>
      <c r="L9" s="213">
        <v>85</v>
      </c>
      <c r="M9" s="9"/>
    </row>
    <row r="10" spans="1:28" ht="15" thickBot="1">
      <c r="A10" s="1873" t="s">
        <v>565</v>
      </c>
      <c r="B10" s="1874"/>
      <c r="C10" s="858">
        <v>49</v>
      </c>
      <c r="D10" s="859">
        <v>51</v>
      </c>
      <c r="E10" s="860">
        <v>51</v>
      </c>
      <c r="F10" s="858">
        <v>49</v>
      </c>
      <c r="G10" s="859">
        <v>44</v>
      </c>
      <c r="H10" s="860">
        <v>44</v>
      </c>
      <c r="I10" s="859">
        <v>34</v>
      </c>
      <c r="J10" s="861">
        <v>37</v>
      </c>
      <c r="K10" s="861">
        <v>43</v>
      </c>
      <c r="L10" s="862">
        <v>40</v>
      </c>
      <c r="M10" s="9"/>
    </row>
    <row r="11" spans="1:28" ht="14.25" customHeight="1">
      <c r="A11" s="1425" t="s">
        <v>566</v>
      </c>
      <c r="B11" s="1443"/>
      <c r="C11" s="1890">
        <f t="shared" ref="C11:L11" si="0">C7/C10*100</f>
        <v>6.1224489795918364</v>
      </c>
      <c r="D11" s="1883">
        <f t="shared" si="0"/>
        <v>1.9607843137254901</v>
      </c>
      <c r="E11" s="1883">
        <f t="shared" si="0"/>
        <v>15.686274509803921</v>
      </c>
      <c r="F11" s="1883">
        <f t="shared" si="0"/>
        <v>8.1632653061224492</v>
      </c>
      <c r="G11" s="1883">
        <f t="shared" si="0"/>
        <v>9.0909090909090917</v>
      </c>
      <c r="H11" s="1883">
        <f t="shared" si="0"/>
        <v>18.181818181818183</v>
      </c>
      <c r="I11" s="1883">
        <f t="shared" si="0"/>
        <v>2.9411764705882351</v>
      </c>
      <c r="J11" s="1887">
        <f t="shared" si="0"/>
        <v>16.216216216216218</v>
      </c>
      <c r="K11" s="1883">
        <f t="shared" si="0"/>
        <v>6.9767441860465116</v>
      </c>
      <c r="L11" s="1884">
        <f t="shared" si="0"/>
        <v>7.5</v>
      </c>
      <c r="M11" s="9"/>
    </row>
    <row r="12" spans="1:28" ht="15" thickBot="1">
      <c r="A12" s="1427"/>
      <c r="B12" s="1875"/>
      <c r="C12" s="1891"/>
      <c r="D12" s="1886"/>
      <c r="E12" s="1886"/>
      <c r="F12" s="1886"/>
      <c r="G12" s="1886"/>
      <c r="H12" s="1886"/>
      <c r="I12" s="1886"/>
      <c r="J12" s="1888"/>
      <c r="K12" s="1870"/>
      <c r="L12" s="1885"/>
      <c r="M12" s="863"/>
    </row>
    <row r="13" spans="1:28">
      <c r="A13" s="9" t="s">
        <v>691</v>
      </c>
      <c r="B13" s="9"/>
      <c r="M13" s="863"/>
    </row>
    <row r="14" spans="1:28">
      <c r="A14" s="1862" t="s">
        <v>692</v>
      </c>
      <c r="B14" s="1863"/>
      <c r="C14" s="1863"/>
      <c r="D14" s="1863"/>
      <c r="E14" s="1863"/>
      <c r="F14" s="1863"/>
      <c r="G14" s="1863"/>
      <c r="H14" s="1863"/>
      <c r="I14" s="1863"/>
      <c r="J14" s="1863"/>
      <c r="K14" s="1863"/>
      <c r="L14" s="1863"/>
      <c r="M14" s="863"/>
    </row>
    <row r="15" spans="1:28" ht="30" customHeight="1"/>
    <row r="16" spans="1:28" ht="15.75" thickBot="1">
      <c r="A16" s="597" t="s">
        <v>693</v>
      </c>
      <c r="B16" s="597"/>
    </row>
    <row r="17" spans="1:13">
      <c r="A17" s="1548" t="s">
        <v>356</v>
      </c>
      <c r="B17" s="1549"/>
      <c r="C17" s="1400" t="s">
        <v>683</v>
      </c>
      <c r="D17" s="1544" t="s">
        <v>684</v>
      </c>
      <c r="E17" s="1544" t="s">
        <v>685</v>
      </c>
      <c r="F17" s="1544" t="s">
        <v>686</v>
      </c>
      <c r="G17" s="1544" t="s">
        <v>358</v>
      </c>
      <c r="H17" s="1544" t="s">
        <v>359</v>
      </c>
      <c r="I17" s="1544" t="s">
        <v>687</v>
      </c>
      <c r="J17" s="1396" t="s">
        <v>360</v>
      </c>
      <c r="K17" s="1544" t="s">
        <v>688</v>
      </c>
      <c r="L17" s="1878" t="s">
        <v>953</v>
      </c>
    </row>
    <row r="18" spans="1:13" ht="15" thickBot="1">
      <c r="A18" s="137" t="s">
        <v>362</v>
      </c>
      <c r="B18" s="137"/>
      <c r="C18" s="1402"/>
      <c r="D18" s="1545"/>
      <c r="E18" s="1545"/>
      <c r="F18" s="1545"/>
      <c r="G18" s="1545"/>
      <c r="H18" s="1545"/>
      <c r="I18" s="1545"/>
      <c r="J18" s="1398"/>
      <c r="K18" s="1545"/>
      <c r="L18" s="1879"/>
    </row>
    <row r="19" spans="1:13">
      <c r="A19" s="1880" t="s">
        <v>689</v>
      </c>
      <c r="B19" s="1881"/>
      <c r="C19" s="864">
        <v>404</v>
      </c>
      <c r="D19" s="865">
        <v>394</v>
      </c>
      <c r="E19" s="866">
        <v>388</v>
      </c>
      <c r="F19" s="864">
        <v>386</v>
      </c>
      <c r="G19" s="864">
        <v>315</v>
      </c>
      <c r="H19" s="866">
        <v>328</v>
      </c>
      <c r="I19" s="866">
        <v>300</v>
      </c>
      <c r="J19" s="865">
        <v>227</v>
      </c>
      <c r="K19" s="866">
        <v>210</v>
      </c>
      <c r="L19" s="867">
        <v>219</v>
      </c>
    </row>
    <row r="20" spans="1:13">
      <c r="A20" s="1882" t="s">
        <v>561</v>
      </c>
      <c r="B20" s="1872"/>
      <c r="C20" s="868">
        <v>0</v>
      </c>
      <c r="D20" s="788">
        <v>0</v>
      </c>
      <c r="E20" s="787">
        <v>3</v>
      </c>
      <c r="F20" s="868">
        <v>0</v>
      </c>
      <c r="G20" s="868">
        <v>1</v>
      </c>
      <c r="H20" s="787">
        <v>4</v>
      </c>
      <c r="I20" s="787">
        <v>0</v>
      </c>
      <c r="J20" s="788">
        <v>0</v>
      </c>
      <c r="K20" s="787">
        <v>0</v>
      </c>
      <c r="L20" s="790">
        <v>0</v>
      </c>
    </row>
    <row r="21" spans="1:13">
      <c r="A21" s="1871" t="s">
        <v>562</v>
      </c>
      <c r="B21" s="1872"/>
      <c r="C21" s="869">
        <v>379</v>
      </c>
      <c r="D21" s="870">
        <v>370</v>
      </c>
      <c r="E21" s="871">
        <v>362</v>
      </c>
      <c r="F21" s="869">
        <v>344</v>
      </c>
      <c r="G21" s="869">
        <v>298</v>
      </c>
      <c r="H21" s="871">
        <v>282</v>
      </c>
      <c r="I21" s="871">
        <v>267</v>
      </c>
      <c r="J21" s="870">
        <v>199</v>
      </c>
      <c r="K21" s="871">
        <v>205</v>
      </c>
      <c r="L21" s="872">
        <v>180</v>
      </c>
    </row>
    <row r="22" spans="1:13" ht="15" thickBot="1">
      <c r="A22" s="873"/>
      <c r="B22" s="1359" t="s">
        <v>954</v>
      </c>
      <c r="C22" s="853" t="s">
        <v>634</v>
      </c>
      <c r="D22" s="854" t="s">
        <v>634</v>
      </c>
      <c r="E22" s="855" t="s">
        <v>634</v>
      </c>
      <c r="F22" s="853" t="s">
        <v>634</v>
      </c>
      <c r="G22" s="854" t="s">
        <v>634</v>
      </c>
      <c r="H22" s="856">
        <v>14</v>
      </c>
      <c r="I22" s="435">
        <v>25</v>
      </c>
      <c r="J22" s="857">
        <v>19</v>
      </c>
      <c r="K22" s="856">
        <v>18</v>
      </c>
      <c r="L22" s="874">
        <v>19</v>
      </c>
      <c r="M22" s="9"/>
    </row>
    <row r="23" spans="1:13" ht="15" thickBot="1">
      <c r="A23" s="1873" t="s">
        <v>565</v>
      </c>
      <c r="B23" s="1874"/>
      <c r="C23" s="875">
        <v>49</v>
      </c>
      <c r="D23" s="876">
        <v>51</v>
      </c>
      <c r="E23" s="877">
        <v>51</v>
      </c>
      <c r="F23" s="875">
        <v>49</v>
      </c>
      <c r="G23" s="875">
        <v>44</v>
      </c>
      <c r="H23" s="877">
        <v>44</v>
      </c>
      <c r="I23" s="877">
        <v>34</v>
      </c>
      <c r="J23" s="876">
        <v>37</v>
      </c>
      <c r="K23" s="877">
        <v>43</v>
      </c>
      <c r="L23" s="878">
        <v>40</v>
      </c>
    </row>
    <row r="24" spans="1:13" ht="14.25" customHeight="1">
      <c r="A24" s="1425" t="s">
        <v>566</v>
      </c>
      <c r="B24" s="1443"/>
      <c r="C24" s="1876">
        <f t="shared" ref="C24:L24" si="1">C20/C23*100</f>
        <v>0</v>
      </c>
      <c r="D24" s="1865">
        <f t="shared" si="1"/>
        <v>0</v>
      </c>
      <c r="E24" s="1865">
        <f t="shared" si="1"/>
        <v>5.8823529411764701</v>
      </c>
      <c r="F24" s="1865">
        <f t="shared" si="1"/>
        <v>0</v>
      </c>
      <c r="G24" s="1865">
        <f t="shared" si="1"/>
        <v>2.2727272727272729</v>
      </c>
      <c r="H24" s="1865">
        <f t="shared" si="1"/>
        <v>9.0909090909090917</v>
      </c>
      <c r="I24" s="1865">
        <f t="shared" si="1"/>
        <v>0</v>
      </c>
      <c r="J24" s="1867">
        <f t="shared" si="1"/>
        <v>0</v>
      </c>
      <c r="K24" s="1869">
        <f t="shared" si="1"/>
        <v>0</v>
      </c>
      <c r="L24" s="1860">
        <f t="shared" si="1"/>
        <v>0</v>
      </c>
    </row>
    <row r="25" spans="1:13" ht="15" thickBot="1">
      <c r="A25" s="1427"/>
      <c r="B25" s="1875"/>
      <c r="C25" s="1877"/>
      <c r="D25" s="1866"/>
      <c r="E25" s="1866"/>
      <c r="F25" s="1866"/>
      <c r="G25" s="1866"/>
      <c r="H25" s="1866"/>
      <c r="I25" s="1866"/>
      <c r="J25" s="1868"/>
      <c r="K25" s="1870"/>
      <c r="L25" s="1861"/>
    </row>
    <row r="26" spans="1:13">
      <c r="A26" s="9" t="s">
        <v>695</v>
      </c>
      <c r="B26" s="9"/>
    </row>
    <row r="27" spans="1:13">
      <c r="A27" s="1862" t="s">
        <v>696</v>
      </c>
      <c r="B27" s="1863"/>
      <c r="C27" s="1863"/>
      <c r="D27" s="1863"/>
      <c r="E27" s="1863"/>
      <c r="F27" s="1863"/>
      <c r="G27" s="1863"/>
      <c r="H27" s="1863"/>
      <c r="I27" s="1863"/>
      <c r="J27" s="1863"/>
      <c r="K27" s="1863"/>
      <c r="L27" s="1863"/>
    </row>
    <row r="28" spans="1:13" ht="30" customHeight="1"/>
    <row r="34" spans="1:13">
      <c r="M34" s="69"/>
    </row>
    <row r="35" spans="1:13">
      <c r="M35" s="69"/>
    </row>
    <row r="44" spans="1:13">
      <c r="A44" s="1864" t="s">
        <v>697</v>
      </c>
      <c r="B44" s="1864"/>
      <c r="C44" s="1864"/>
      <c r="D44" s="1864"/>
      <c r="E44" s="1864"/>
      <c r="F44" s="1864"/>
      <c r="G44" s="1864"/>
      <c r="H44" s="1864"/>
      <c r="I44" s="1864"/>
      <c r="J44" s="1864"/>
      <c r="K44" s="1864"/>
      <c r="L44" s="1864"/>
    </row>
    <row r="45" spans="1:13">
      <c r="A45" s="1864"/>
      <c r="B45" s="1864"/>
      <c r="C45" s="1864"/>
      <c r="D45" s="1864"/>
      <c r="E45" s="1864"/>
      <c r="F45" s="1864"/>
      <c r="G45" s="1864"/>
      <c r="H45" s="1864"/>
      <c r="I45" s="1864"/>
      <c r="J45" s="1864"/>
      <c r="K45" s="1864"/>
      <c r="L45" s="1864"/>
    </row>
  </sheetData>
  <mergeCells count="55">
    <mergeCell ref="F4:F5"/>
    <mergeCell ref="G4:G5"/>
    <mergeCell ref="A6:B6"/>
    <mergeCell ref="A4:B4"/>
    <mergeCell ref="C4:C5"/>
    <mergeCell ref="D4:D5"/>
    <mergeCell ref="E4:E5"/>
    <mergeCell ref="H4:H5"/>
    <mergeCell ref="I4:I5"/>
    <mergeCell ref="J4:J5"/>
    <mergeCell ref="K4:K5"/>
    <mergeCell ref="L4:L5"/>
    <mergeCell ref="J11:J12"/>
    <mergeCell ref="A7:B7"/>
    <mergeCell ref="A8:B8"/>
    <mergeCell ref="A10:B10"/>
    <mergeCell ref="A11:B12"/>
    <mergeCell ref="C11:C12"/>
    <mergeCell ref="D11:D12"/>
    <mergeCell ref="A20:B20"/>
    <mergeCell ref="K11:K12"/>
    <mergeCell ref="L11:L12"/>
    <mergeCell ref="A14:L14"/>
    <mergeCell ref="A17:B17"/>
    <mergeCell ref="C17:C18"/>
    <mergeCell ref="D17:D18"/>
    <mergeCell ref="E17:E18"/>
    <mergeCell ref="F17:F18"/>
    <mergeCell ref="G17:G18"/>
    <mergeCell ref="H17:H18"/>
    <mergeCell ref="E11:E12"/>
    <mergeCell ref="F11:F12"/>
    <mergeCell ref="G11:G12"/>
    <mergeCell ref="H11:H12"/>
    <mergeCell ref="I11:I12"/>
    <mergeCell ref="I17:I18"/>
    <mergeCell ref="J17:J18"/>
    <mergeCell ref="K17:K18"/>
    <mergeCell ref="L17:L18"/>
    <mergeCell ref="A19:B19"/>
    <mergeCell ref="A21:B21"/>
    <mergeCell ref="A23:B23"/>
    <mergeCell ref="A24:B25"/>
    <mergeCell ref="C24:C25"/>
    <mergeCell ref="D24:D25"/>
    <mergeCell ref="L24:L25"/>
    <mergeCell ref="A27:L27"/>
    <mergeCell ref="A44:L45"/>
    <mergeCell ref="F24:F25"/>
    <mergeCell ref="G24:G25"/>
    <mergeCell ref="H24:H25"/>
    <mergeCell ref="I24:I25"/>
    <mergeCell ref="J24:J25"/>
    <mergeCell ref="K24:K25"/>
    <mergeCell ref="E24:E25"/>
  </mergeCells>
  <phoneticPr fontId="3"/>
  <pageMargins left="0.98425196850393704" right="0.39370078740157483" top="0.98425196850393704" bottom="0.98425196850393704" header="0.51181102362204722" footer="0.51181102362204722"/>
  <pageSetup paperSize="9" orientation="portrait" r:id="rId1"/>
  <headerFooter alignWithMargins="0">
    <oddFooter>&amp;C－24－</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view="pageBreakPreview" zoomScaleNormal="100" zoomScaleSheetLayoutView="100" workbookViewId="0">
      <selection activeCell="P3" sqref="P3:P4"/>
    </sheetView>
  </sheetViews>
  <sheetFormatPr defaultRowHeight="14.25"/>
  <cols>
    <col min="1" max="1" width="5.25" style="2" customWidth="1"/>
    <col min="2" max="2" width="1.25" style="2" customWidth="1"/>
    <col min="3" max="3" width="9.875" style="2" customWidth="1"/>
    <col min="4" max="15" width="5.625" style="2" customWidth="1"/>
    <col min="16" max="16" width="7.375" style="2" customWidth="1"/>
    <col min="17" max="16384" width="9" style="2"/>
  </cols>
  <sheetData>
    <row r="1" spans="1:16" ht="15">
      <c r="A1" s="70" t="s">
        <v>698</v>
      </c>
      <c r="B1" s="70"/>
    </row>
    <row r="2" spans="1:16" ht="15" thickBot="1">
      <c r="O2" s="1394" t="s">
        <v>570</v>
      </c>
      <c r="P2" s="1394"/>
    </row>
    <row r="3" spans="1:16">
      <c r="A3" s="3"/>
      <c r="B3" s="4"/>
      <c r="C3" s="482" t="s">
        <v>699</v>
      </c>
      <c r="D3" s="1542">
        <v>1</v>
      </c>
      <c r="E3" s="1544">
        <v>2</v>
      </c>
      <c r="F3" s="1544">
        <v>3</v>
      </c>
      <c r="G3" s="1544">
        <v>4</v>
      </c>
      <c r="H3" s="1544">
        <v>5</v>
      </c>
      <c r="I3" s="1544">
        <v>6</v>
      </c>
      <c r="J3" s="1544">
        <v>7</v>
      </c>
      <c r="K3" s="1544">
        <v>8</v>
      </c>
      <c r="L3" s="1544">
        <v>9</v>
      </c>
      <c r="M3" s="1544">
        <v>10</v>
      </c>
      <c r="N3" s="1544">
        <v>11</v>
      </c>
      <c r="O3" s="1438">
        <v>12</v>
      </c>
      <c r="P3" s="1546" t="s">
        <v>997</v>
      </c>
    </row>
    <row r="4" spans="1:16" ht="15" thickBot="1">
      <c r="A4" s="310" t="s">
        <v>700</v>
      </c>
      <c r="B4" s="9"/>
      <c r="C4" s="9"/>
      <c r="D4" s="1899"/>
      <c r="E4" s="1900"/>
      <c r="F4" s="1900"/>
      <c r="G4" s="1900"/>
      <c r="H4" s="1900"/>
      <c r="I4" s="1900"/>
      <c r="J4" s="1900"/>
      <c r="K4" s="1900"/>
      <c r="L4" s="1900"/>
      <c r="M4" s="1900"/>
      <c r="N4" s="1900"/>
      <c r="O4" s="1901"/>
      <c r="P4" s="1843"/>
    </row>
    <row r="5" spans="1:16" ht="18" customHeight="1">
      <c r="A5" s="1542" t="s">
        <v>701</v>
      </c>
      <c r="B5" s="1835" t="s">
        <v>702</v>
      </c>
      <c r="C5" s="1513"/>
      <c r="D5" s="709">
        <v>0</v>
      </c>
      <c r="E5" s="74">
        <v>0</v>
      </c>
      <c r="F5" s="74">
        <v>0</v>
      </c>
      <c r="G5" s="74">
        <v>0</v>
      </c>
      <c r="H5" s="74">
        <v>0</v>
      </c>
      <c r="I5" s="74">
        <v>0</v>
      </c>
      <c r="J5" s="74">
        <v>0</v>
      </c>
      <c r="K5" s="74">
        <v>0</v>
      </c>
      <c r="L5" s="74">
        <v>0</v>
      </c>
      <c r="M5" s="74">
        <v>0</v>
      </c>
      <c r="N5" s="74">
        <v>0</v>
      </c>
      <c r="O5" s="694">
        <v>0</v>
      </c>
      <c r="P5" s="804">
        <f t="shared" ref="P5:P37" si="0">SUM(D5:O5)</f>
        <v>0</v>
      </c>
    </row>
    <row r="6" spans="1:16" ht="18" customHeight="1">
      <c r="A6" s="1829"/>
      <c r="B6" s="1832" t="s">
        <v>654</v>
      </c>
      <c r="C6" s="1750"/>
      <c r="D6" s="108">
        <v>4</v>
      </c>
      <c r="E6" s="86">
        <v>3</v>
      </c>
      <c r="F6" s="86">
        <v>1</v>
      </c>
      <c r="G6" s="86">
        <v>5</v>
      </c>
      <c r="H6" s="86">
        <v>7</v>
      </c>
      <c r="I6" s="86">
        <v>3</v>
      </c>
      <c r="J6" s="86">
        <v>7</v>
      </c>
      <c r="K6" s="86">
        <v>4</v>
      </c>
      <c r="L6" s="86">
        <v>9</v>
      </c>
      <c r="M6" s="86">
        <v>8</v>
      </c>
      <c r="N6" s="86">
        <v>5</v>
      </c>
      <c r="O6" s="109">
        <v>8</v>
      </c>
      <c r="P6" s="805">
        <f t="shared" si="0"/>
        <v>64</v>
      </c>
    </row>
    <row r="7" spans="1:16" ht="18" customHeight="1" thickBot="1">
      <c r="A7" s="1837"/>
      <c r="B7" s="879"/>
      <c r="C7" s="246" t="s">
        <v>952</v>
      </c>
      <c r="D7" s="108">
        <v>1</v>
      </c>
      <c r="E7" s="86">
        <v>0</v>
      </c>
      <c r="F7" s="86">
        <v>0</v>
      </c>
      <c r="G7" s="86">
        <v>0</v>
      </c>
      <c r="H7" s="86">
        <v>0</v>
      </c>
      <c r="I7" s="86">
        <v>2</v>
      </c>
      <c r="J7" s="86">
        <v>0</v>
      </c>
      <c r="K7" s="86">
        <v>0</v>
      </c>
      <c r="L7" s="86">
        <v>1</v>
      </c>
      <c r="M7" s="86">
        <v>0</v>
      </c>
      <c r="N7" s="86">
        <v>0</v>
      </c>
      <c r="O7" s="109">
        <v>3</v>
      </c>
      <c r="P7" s="805">
        <f t="shared" si="0"/>
        <v>7</v>
      </c>
    </row>
    <row r="8" spans="1:16" ht="18" customHeight="1">
      <c r="A8" s="1447" t="s">
        <v>703</v>
      </c>
      <c r="B8" s="1835" t="s">
        <v>702</v>
      </c>
      <c r="C8" s="1513"/>
      <c r="D8" s="108">
        <v>0</v>
      </c>
      <c r="E8" s="86">
        <v>0</v>
      </c>
      <c r="F8" s="86">
        <v>0</v>
      </c>
      <c r="G8" s="86">
        <v>0</v>
      </c>
      <c r="H8" s="86">
        <v>0</v>
      </c>
      <c r="I8" s="86">
        <v>0</v>
      </c>
      <c r="J8" s="86">
        <v>0</v>
      </c>
      <c r="K8" s="86">
        <v>0</v>
      </c>
      <c r="L8" s="86">
        <v>0</v>
      </c>
      <c r="M8" s="86">
        <v>0</v>
      </c>
      <c r="N8" s="86">
        <v>0</v>
      </c>
      <c r="O8" s="380">
        <v>0</v>
      </c>
      <c r="P8" s="805">
        <f t="shared" si="0"/>
        <v>0</v>
      </c>
    </row>
    <row r="9" spans="1:16" ht="18" customHeight="1">
      <c r="A9" s="1829"/>
      <c r="B9" s="1832" t="s">
        <v>654</v>
      </c>
      <c r="C9" s="1750"/>
      <c r="D9" s="108">
        <v>6</v>
      </c>
      <c r="E9" s="86">
        <v>3</v>
      </c>
      <c r="F9" s="86">
        <v>5</v>
      </c>
      <c r="G9" s="86">
        <v>4</v>
      </c>
      <c r="H9" s="86">
        <v>4</v>
      </c>
      <c r="I9" s="86">
        <v>8</v>
      </c>
      <c r="J9" s="86">
        <v>4</v>
      </c>
      <c r="K9" s="86">
        <v>3</v>
      </c>
      <c r="L9" s="86">
        <v>5</v>
      </c>
      <c r="M9" s="86">
        <v>3</v>
      </c>
      <c r="N9" s="86">
        <v>12</v>
      </c>
      <c r="O9" s="109">
        <v>9</v>
      </c>
      <c r="P9" s="805">
        <f t="shared" si="0"/>
        <v>66</v>
      </c>
    </row>
    <row r="10" spans="1:16" ht="18" customHeight="1" thickBot="1">
      <c r="A10" s="1837"/>
      <c r="B10" s="879"/>
      <c r="C10" s="246" t="s">
        <v>952</v>
      </c>
      <c r="D10" s="108">
        <v>1</v>
      </c>
      <c r="E10" s="86">
        <v>0</v>
      </c>
      <c r="F10" s="86">
        <v>1</v>
      </c>
      <c r="G10" s="86">
        <v>1</v>
      </c>
      <c r="H10" s="86">
        <v>0</v>
      </c>
      <c r="I10" s="86">
        <v>1</v>
      </c>
      <c r="J10" s="86">
        <v>1</v>
      </c>
      <c r="K10" s="86">
        <v>0</v>
      </c>
      <c r="L10" s="86">
        <v>1</v>
      </c>
      <c r="M10" s="86">
        <v>0</v>
      </c>
      <c r="N10" s="86">
        <v>2</v>
      </c>
      <c r="O10" s="109">
        <v>3</v>
      </c>
      <c r="P10" s="805">
        <f t="shared" si="0"/>
        <v>11</v>
      </c>
    </row>
    <row r="11" spans="1:16" ht="18" customHeight="1">
      <c r="A11" s="1447" t="s">
        <v>704</v>
      </c>
      <c r="B11" s="1835" t="s">
        <v>702</v>
      </c>
      <c r="C11" s="1513"/>
      <c r="D11" s="108">
        <v>0</v>
      </c>
      <c r="E11" s="86">
        <v>0</v>
      </c>
      <c r="F11" s="86">
        <v>0</v>
      </c>
      <c r="G11" s="86">
        <v>0</v>
      </c>
      <c r="H11" s="86">
        <v>0</v>
      </c>
      <c r="I11" s="86">
        <v>1</v>
      </c>
      <c r="J11" s="86">
        <v>0</v>
      </c>
      <c r="K11" s="86">
        <v>0</v>
      </c>
      <c r="L11" s="86">
        <v>0</v>
      </c>
      <c r="M11" s="86">
        <v>0</v>
      </c>
      <c r="N11" s="86">
        <v>0</v>
      </c>
      <c r="O11" s="109">
        <v>0</v>
      </c>
      <c r="P11" s="805">
        <f t="shared" si="0"/>
        <v>1</v>
      </c>
    </row>
    <row r="12" spans="1:16" ht="18" customHeight="1">
      <c r="A12" s="1829"/>
      <c r="B12" s="1832" t="s">
        <v>654</v>
      </c>
      <c r="C12" s="1750"/>
      <c r="D12" s="108">
        <v>1</v>
      </c>
      <c r="E12" s="86">
        <v>10</v>
      </c>
      <c r="F12" s="86">
        <v>3</v>
      </c>
      <c r="G12" s="86">
        <v>7</v>
      </c>
      <c r="H12" s="86">
        <v>7</v>
      </c>
      <c r="I12" s="86">
        <v>10</v>
      </c>
      <c r="J12" s="86">
        <v>12</v>
      </c>
      <c r="K12" s="86">
        <v>2</v>
      </c>
      <c r="L12" s="86">
        <v>2</v>
      </c>
      <c r="M12" s="86">
        <v>7</v>
      </c>
      <c r="N12" s="86">
        <v>8</v>
      </c>
      <c r="O12" s="109">
        <v>10</v>
      </c>
      <c r="P12" s="805">
        <f t="shared" si="0"/>
        <v>79</v>
      </c>
    </row>
    <row r="13" spans="1:16" ht="18" customHeight="1" thickBot="1">
      <c r="A13" s="1837"/>
      <c r="B13" s="879"/>
      <c r="C13" s="246" t="s">
        <v>952</v>
      </c>
      <c r="D13" s="108">
        <v>0</v>
      </c>
      <c r="E13" s="86">
        <v>1</v>
      </c>
      <c r="F13" s="86">
        <v>0</v>
      </c>
      <c r="G13" s="86">
        <v>2</v>
      </c>
      <c r="H13" s="86">
        <v>0</v>
      </c>
      <c r="I13" s="86">
        <v>0</v>
      </c>
      <c r="J13" s="86">
        <v>0</v>
      </c>
      <c r="K13" s="86">
        <v>0</v>
      </c>
      <c r="L13" s="86">
        <v>0</v>
      </c>
      <c r="M13" s="86">
        <v>0</v>
      </c>
      <c r="N13" s="86">
        <v>1</v>
      </c>
      <c r="O13" s="109">
        <v>0</v>
      </c>
      <c r="P13" s="805">
        <f t="shared" si="0"/>
        <v>4</v>
      </c>
    </row>
    <row r="14" spans="1:16" ht="18" customHeight="1">
      <c r="A14" s="1447" t="s">
        <v>705</v>
      </c>
      <c r="B14" s="1835" t="s">
        <v>702</v>
      </c>
      <c r="C14" s="1513"/>
      <c r="D14" s="108">
        <v>0</v>
      </c>
      <c r="E14" s="86">
        <v>0</v>
      </c>
      <c r="F14" s="86">
        <v>0</v>
      </c>
      <c r="G14" s="86">
        <v>0</v>
      </c>
      <c r="H14" s="86">
        <v>0</v>
      </c>
      <c r="I14" s="86">
        <v>0</v>
      </c>
      <c r="J14" s="86">
        <v>0</v>
      </c>
      <c r="K14" s="86">
        <v>0</v>
      </c>
      <c r="L14" s="86">
        <v>0</v>
      </c>
      <c r="M14" s="86">
        <v>0</v>
      </c>
      <c r="N14" s="86">
        <v>0</v>
      </c>
      <c r="O14" s="380">
        <v>0</v>
      </c>
      <c r="P14" s="805">
        <f t="shared" si="0"/>
        <v>0</v>
      </c>
    </row>
    <row r="15" spans="1:16" ht="18" customHeight="1">
      <c r="A15" s="1829"/>
      <c r="B15" s="1832" t="s">
        <v>478</v>
      </c>
      <c r="C15" s="1750"/>
      <c r="D15" s="108">
        <v>11</v>
      </c>
      <c r="E15" s="86">
        <v>8</v>
      </c>
      <c r="F15" s="86">
        <v>13</v>
      </c>
      <c r="G15" s="86">
        <v>8</v>
      </c>
      <c r="H15" s="86">
        <v>11</v>
      </c>
      <c r="I15" s="86">
        <v>9</v>
      </c>
      <c r="J15" s="86">
        <v>11</v>
      </c>
      <c r="K15" s="86">
        <v>12</v>
      </c>
      <c r="L15" s="86">
        <v>7</v>
      </c>
      <c r="M15" s="86">
        <v>6</v>
      </c>
      <c r="N15" s="86">
        <v>8</v>
      </c>
      <c r="O15" s="109">
        <v>12</v>
      </c>
      <c r="P15" s="805">
        <f t="shared" si="0"/>
        <v>116</v>
      </c>
    </row>
    <row r="16" spans="1:16" ht="18" customHeight="1" thickBot="1">
      <c r="A16" s="1837"/>
      <c r="B16" s="495"/>
      <c r="C16" s="246" t="s">
        <v>952</v>
      </c>
      <c r="D16" s="108">
        <v>0</v>
      </c>
      <c r="E16" s="86">
        <v>0</v>
      </c>
      <c r="F16" s="86">
        <v>2</v>
      </c>
      <c r="G16" s="86">
        <v>0</v>
      </c>
      <c r="H16" s="86">
        <v>1</v>
      </c>
      <c r="I16" s="86">
        <v>3</v>
      </c>
      <c r="J16" s="86">
        <v>0</v>
      </c>
      <c r="K16" s="86">
        <v>0</v>
      </c>
      <c r="L16" s="86">
        <v>2</v>
      </c>
      <c r="M16" s="86">
        <v>1</v>
      </c>
      <c r="N16" s="86">
        <v>0</v>
      </c>
      <c r="O16" s="109">
        <v>2</v>
      </c>
      <c r="P16" s="805">
        <f t="shared" si="0"/>
        <v>11</v>
      </c>
    </row>
    <row r="17" spans="1:16" ht="18" customHeight="1">
      <c r="A17" s="1447" t="s">
        <v>706</v>
      </c>
      <c r="B17" s="1835" t="s">
        <v>702</v>
      </c>
      <c r="C17" s="1513"/>
      <c r="D17" s="108">
        <v>0</v>
      </c>
      <c r="E17" s="86">
        <v>0</v>
      </c>
      <c r="F17" s="86">
        <v>0</v>
      </c>
      <c r="G17" s="86">
        <v>0</v>
      </c>
      <c r="H17" s="86">
        <v>0</v>
      </c>
      <c r="I17" s="86">
        <v>0</v>
      </c>
      <c r="J17" s="86">
        <v>0</v>
      </c>
      <c r="K17" s="86">
        <v>0</v>
      </c>
      <c r="L17" s="86">
        <v>0</v>
      </c>
      <c r="M17" s="86">
        <v>0</v>
      </c>
      <c r="N17" s="86">
        <v>0</v>
      </c>
      <c r="O17" s="109">
        <v>0</v>
      </c>
      <c r="P17" s="805">
        <f t="shared" si="0"/>
        <v>0</v>
      </c>
    </row>
    <row r="18" spans="1:16" ht="18" customHeight="1">
      <c r="A18" s="1829"/>
      <c r="B18" s="1832" t="s">
        <v>654</v>
      </c>
      <c r="C18" s="1750"/>
      <c r="D18" s="108">
        <v>10</v>
      </c>
      <c r="E18" s="86">
        <v>9</v>
      </c>
      <c r="F18" s="86">
        <v>8</v>
      </c>
      <c r="G18" s="86">
        <v>14</v>
      </c>
      <c r="H18" s="86">
        <v>10</v>
      </c>
      <c r="I18" s="86">
        <v>6</v>
      </c>
      <c r="J18" s="86">
        <v>5</v>
      </c>
      <c r="K18" s="86">
        <v>16</v>
      </c>
      <c r="L18" s="86">
        <v>7</v>
      </c>
      <c r="M18" s="86">
        <v>9</v>
      </c>
      <c r="N18" s="86">
        <v>9</v>
      </c>
      <c r="O18" s="109">
        <v>18</v>
      </c>
      <c r="P18" s="805">
        <f t="shared" si="0"/>
        <v>121</v>
      </c>
    </row>
    <row r="19" spans="1:16" ht="18" customHeight="1" thickBot="1">
      <c r="A19" s="1837"/>
      <c r="B19" s="495"/>
      <c r="C19" s="246" t="s">
        <v>952</v>
      </c>
      <c r="D19" s="108">
        <v>0</v>
      </c>
      <c r="E19" s="86">
        <v>1</v>
      </c>
      <c r="F19" s="86">
        <v>0</v>
      </c>
      <c r="G19" s="86">
        <v>2</v>
      </c>
      <c r="H19" s="86">
        <v>0</v>
      </c>
      <c r="I19" s="86">
        <v>0</v>
      </c>
      <c r="J19" s="86">
        <v>0</v>
      </c>
      <c r="K19" s="86">
        <v>2</v>
      </c>
      <c r="L19" s="86">
        <v>0</v>
      </c>
      <c r="M19" s="86">
        <v>1</v>
      </c>
      <c r="N19" s="86">
        <v>0</v>
      </c>
      <c r="O19" s="109">
        <v>2</v>
      </c>
      <c r="P19" s="805">
        <f t="shared" si="0"/>
        <v>8</v>
      </c>
    </row>
    <row r="20" spans="1:16" ht="18" customHeight="1">
      <c r="A20" s="1447" t="s">
        <v>707</v>
      </c>
      <c r="B20" s="1835" t="s">
        <v>702</v>
      </c>
      <c r="C20" s="1513"/>
      <c r="D20" s="108">
        <v>0</v>
      </c>
      <c r="E20" s="86">
        <v>0</v>
      </c>
      <c r="F20" s="86">
        <v>0</v>
      </c>
      <c r="G20" s="86">
        <v>0</v>
      </c>
      <c r="H20" s="86">
        <v>0</v>
      </c>
      <c r="I20" s="86">
        <v>0</v>
      </c>
      <c r="J20" s="86">
        <v>0</v>
      </c>
      <c r="K20" s="86">
        <v>0</v>
      </c>
      <c r="L20" s="86">
        <v>0</v>
      </c>
      <c r="M20" s="86">
        <v>1</v>
      </c>
      <c r="N20" s="86">
        <v>1</v>
      </c>
      <c r="O20" s="109">
        <v>0</v>
      </c>
      <c r="P20" s="805">
        <f t="shared" si="0"/>
        <v>2</v>
      </c>
    </row>
    <row r="21" spans="1:16" ht="18" customHeight="1">
      <c r="A21" s="1829"/>
      <c r="B21" s="1832" t="s">
        <v>654</v>
      </c>
      <c r="C21" s="1750"/>
      <c r="D21" s="108">
        <v>10</v>
      </c>
      <c r="E21" s="86">
        <v>10</v>
      </c>
      <c r="F21" s="86">
        <v>12</v>
      </c>
      <c r="G21" s="86">
        <v>10</v>
      </c>
      <c r="H21" s="86">
        <v>13</v>
      </c>
      <c r="I21" s="86">
        <v>8</v>
      </c>
      <c r="J21" s="86">
        <v>21</v>
      </c>
      <c r="K21" s="86">
        <v>14</v>
      </c>
      <c r="L21" s="86">
        <v>10</v>
      </c>
      <c r="M21" s="86">
        <v>9</v>
      </c>
      <c r="N21" s="86">
        <v>11</v>
      </c>
      <c r="O21" s="109">
        <v>18</v>
      </c>
      <c r="P21" s="805">
        <f t="shared" si="0"/>
        <v>146</v>
      </c>
    </row>
    <row r="22" spans="1:16" ht="18" customHeight="1" thickBot="1">
      <c r="A22" s="1837"/>
      <c r="B22" s="495"/>
      <c r="C22" s="880" t="s">
        <v>437</v>
      </c>
      <c r="D22" s="108">
        <v>0</v>
      </c>
      <c r="E22" s="86">
        <v>0</v>
      </c>
      <c r="F22" s="86">
        <v>0</v>
      </c>
      <c r="G22" s="86">
        <v>1</v>
      </c>
      <c r="H22" s="86">
        <v>0</v>
      </c>
      <c r="I22" s="86">
        <v>0</v>
      </c>
      <c r="J22" s="86">
        <v>1</v>
      </c>
      <c r="K22" s="86">
        <v>1</v>
      </c>
      <c r="L22" s="86">
        <v>1</v>
      </c>
      <c r="M22" s="86">
        <v>0</v>
      </c>
      <c r="N22" s="86">
        <v>1</v>
      </c>
      <c r="O22" s="109">
        <v>5</v>
      </c>
      <c r="P22" s="805">
        <f t="shared" si="0"/>
        <v>10</v>
      </c>
    </row>
    <row r="23" spans="1:16" ht="18" customHeight="1">
      <c r="A23" s="1447" t="s">
        <v>708</v>
      </c>
      <c r="B23" s="1835" t="s">
        <v>702</v>
      </c>
      <c r="C23" s="1513"/>
      <c r="D23" s="108">
        <v>0</v>
      </c>
      <c r="E23" s="86">
        <v>0</v>
      </c>
      <c r="F23" s="86">
        <v>0</v>
      </c>
      <c r="G23" s="86">
        <v>0</v>
      </c>
      <c r="H23" s="86">
        <v>0</v>
      </c>
      <c r="I23" s="86">
        <v>0</v>
      </c>
      <c r="J23" s="86">
        <v>0</v>
      </c>
      <c r="K23" s="86">
        <v>0</v>
      </c>
      <c r="L23" s="86">
        <v>0</v>
      </c>
      <c r="M23" s="86">
        <v>0</v>
      </c>
      <c r="N23" s="86">
        <v>0</v>
      </c>
      <c r="O23" s="109">
        <v>0</v>
      </c>
      <c r="P23" s="805">
        <f t="shared" si="0"/>
        <v>0</v>
      </c>
    </row>
    <row r="24" spans="1:16" ht="18" customHeight="1">
      <c r="A24" s="1829"/>
      <c r="B24" s="1832" t="s">
        <v>654</v>
      </c>
      <c r="C24" s="1750"/>
      <c r="D24" s="108">
        <v>13</v>
      </c>
      <c r="E24" s="86">
        <v>4</v>
      </c>
      <c r="F24" s="86">
        <v>22</v>
      </c>
      <c r="G24" s="86">
        <v>13</v>
      </c>
      <c r="H24" s="86">
        <v>18</v>
      </c>
      <c r="I24" s="86">
        <v>16</v>
      </c>
      <c r="J24" s="86">
        <v>18</v>
      </c>
      <c r="K24" s="86">
        <v>15</v>
      </c>
      <c r="L24" s="86">
        <v>10</v>
      </c>
      <c r="M24" s="86">
        <v>18</v>
      </c>
      <c r="N24" s="86">
        <v>13</v>
      </c>
      <c r="O24" s="109">
        <v>15</v>
      </c>
      <c r="P24" s="805">
        <f t="shared" si="0"/>
        <v>175</v>
      </c>
    </row>
    <row r="25" spans="1:16" ht="18" customHeight="1" thickBot="1">
      <c r="A25" s="1837"/>
      <c r="B25" s="495"/>
      <c r="C25" s="246" t="s">
        <v>952</v>
      </c>
      <c r="D25" s="108">
        <v>0</v>
      </c>
      <c r="E25" s="86">
        <v>0</v>
      </c>
      <c r="F25" s="86">
        <v>1</v>
      </c>
      <c r="G25" s="86">
        <v>0</v>
      </c>
      <c r="H25" s="86">
        <v>2</v>
      </c>
      <c r="I25" s="86">
        <v>0</v>
      </c>
      <c r="J25" s="86">
        <v>1</v>
      </c>
      <c r="K25" s="86">
        <v>1</v>
      </c>
      <c r="L25" s="86">
        <v>0</v>
      </c>
      <c r="M25" s="86">
        <v>1</v>
      </c>
      <c r="N25" s="86">
        <v>0</v>
      </c>
      <c r="O25" s="109">
        <v>0</v>
      </c>
      <c r="P25" s="805">
        <f t="shared" si="0"/>
        <v>6</v>
      </c>
    </row>
    <row r="26" spans="1:16" ht="18" customHeight="1">
      <c r="A26" s="1447" t="s">
        <v>709</v>
      </c>
      <c r="B26" s="1835" t="s">
        <v>702</v>
      </c>
      <c r="C26" s="1513"/>
      <c r="D26" s="108">
        <v>0</v>
      </c>
      <c r="E26" s="86">
        <v>0</v>
      </c>
      <c r="F26" s="86">
        <v>0</v>
      </c>
      <c r="G26" s="86">
        <v>0</v>
      </c>
      <c r="H26" s="86">
        <v>0</v>
      </c>
      <c r="I26" s="86">
        <v>0</v>
      </c>
      <c r="J26" s="86">
        <v>0</v>
      </c>
      <c r="K26" s="86">
        <v>0</v>
      </c>
      <c r="L26" s="86">
        <v>0</v>
      </c>
      <c r="M26" s="86">
        <v>0</v>
      </c>
      <c r="N26" s="86">
        <v>0</v>
      </c>
      <c r="O26" s="109">
        <v>0</v>
      </c>
      <c r="P26" s="805">
        <f t="shared" si="0"/>
        <v>0</v>
      </c>
    </row>
    <row r="27" spans="1:16" ht="18" customHeight="1">
      <c r="A27" s="1829"/>
      <c r="B27" s="1832" t="s">
        <v>654</v>
      </c>
      <c r="C27" s="1750"/>
      <c r="D27" s="108">
        <v>19</v>
      </c>
      <c r="E27" s="86">
        <v>14</v>
      </c>
      <c r="F27" s="86">
        <v>11</v>
      </c>
      <c r="G27" s="86">
        <v>13</v>
      </c>
      <c r="H27" s="86">
        <v>11</v>
      </c>
      <c r="I27" s="86">
        <v>14</v>
      </c>
      <c r="J27" s="86">
        <v>16</v>
      </c>
      <c r="K27" s="86">
        <v>18</v>
      </c>
      <c r="L27" s="86">
        <v>23</v>
      </c>
      <c r="M27" s="86">
        <v>21</v>
      </c>
      <c r="N27" s="86">
        <v>16</v>
      </c>
      <c r="O27" s="109">
        <v>22</v>
      </c>
      <c r="P27" s="805">
        <f t="shared" si="0"/>
        <v>198</v>
      </c>
    </row>
    <row r="28" spans="1:16" ht="18" customHeight="1" thickBot="1">
      <c r="A28" s="1837"/>
      <c r="B28" s="495"/>
      <c r="C28" s="246" t="s">
        <v>952</v>
      </c>
      <c r="D28" s="108">
        <v>1</v>
      </c>
      <c r="E28" s="86">
        <v>1</v>
      </c>
      <c r="F28" s="86">
        <v>1</v>
      </c>
      <c r="G28" s="86">
        <v>0</v>
      </c>
      <c r="H28" s="86">
        <v>0</v>
      </c>
      <c r="I28" s="86">
        <v>0</v>
      </c>
      <c r="J28" s="86">
        <v>1</v>
      </c>
      <c r="K28" s="86">
        <v>2</v>
      </c>
      <c r="L28" s="86">
        <v>3</v>
      </c>
      <c r="M28" s="86">
        <v>2</v>
      </c>
      <c r="N28" s="86">
        <v>3</v>
      </c>
      <c r="O28" s="109">
        <v>2</v>
      </c>
      <c r="P28" s="805">
        <f t="shared" si="0"/>
        <v>16</v>
      </c>
    </row>
    <row r="29" spans="1:16" ht="18" customHeight="1">
      <c r="A29" s="1447" t="s">
        <v>710</v>
      </c>
      <c r="B29" s="1835" t="s">
        <v>702</v>
      </c>
      <c r="C29" s="1513"/>
      <c r="D29" s="108">
        <v>0</v>
      </c>
      <c r="E29" s="86">
        <v>0</v>
      </c>
      <c r="F29" s="86">
        <v>0</v>
      </c>
      <c r="G29" s="86">
        <v>0</v>
      </c>
      <c r="H29" s="86">
        <v>0</v>
      </c>
      <c r="I29" s="86">
        <v>0</v>
      </c>
      <c r="J29" s="86">
        <v>0</v>
      </c>
      <c r="K29" s="86">
        <v>0</v>
      </c>
      <c r="L29" s="86">
        <v>0</v>
      </c>
      <c r="M29" s="86">
        <v>0</v>
      </c>
      <c r="N29" s="86">
        <v>0</v>
      </c>
      <c r="O29" s="109">
        <v>0</v>
      </c>
      <c r="P29" s="805">
        <f t="shared" si="0"/>
        <v>0</v>
      </c>
    </row>
    <row r="30" spans="1:16" ht="18" customHeight="1">
      <c r="A30" s="1829"/>
      <c r="B30" s="1832" t="s">
        <v>654</v>
      </c>
      <c r="C30" s="1750"/>
      <c r="D30" s="112">
        <v>11</v>
      </c>
      <c r="E30" s="80">
        <v>8</v>
      </c>
      <c r="F30" s="80">
        <v>14</v>
      </c>
      <c r="G30" s="80">
        <v>17</v>
      </c>
      <c r="H30" s="80">
        <v>16</v>
      </c>
      <c r="I30" s="80">
        <v>18</v>
      </c>
      <c r="J30" s="80">
        <v>13</v>
      </c>
      <c r="K30" s="80">
        <v>16</v>
      </c>
      <c r="L30" s="80">
        <v>13</v>
      </c>
      <c r="M30" s="80">
        <v>12</v>
      </c>
      <c r="N30" s="80">
        <v>13</v>
      </c>
      <c r="O30" s="113">
        <v>26</v>
      </c>
      <c r="P30" s="808">
        <f t="shared" si="0"/>
        <v>177</v>
      </c>
    </row>
    <row r="31" spans="1:16" ht="18" customHeight="1" thickBot="1">
      <c r="A31" s="1830"/>
      <c r="B31" s="879"/>
      <c r="C31" s="246" t="s">
        <v>952</v>
      </c>
      <c r="D31" s="108">
        <v>1</v>
      </c>
      <c r="E31" s="86">
        <v>1</v>
      </c>
      <c r="F31" s="86">
        <v>1</v>
      </c>
      <c r="G31" s="86">
        <v>0</v>
      </c>
      <c r="H31" s="86">
        <v>1</v>
      </c>
      <c r="I31" s="86">
        <v>0</v>
      </c>
      <c r="J31" s="86">
        <v>0</v>
      </c>
      <c r="K31" s="86">
        <v>0</v>
      </c>
      <c r="L31" s="86">
        <v>3</v>
      </c>
      <c r="M31" s="86">
        <v>0</v>
      </c>
      <c r="N31" s="86">
        <v>2</v>
      </c>
      <c r="O31" s="109">
        <v>3</v>
      </c>
      <c r="P31" s="881">
        <f t="shared" si="0"/>
        <v>12</v>
      </c>
    </row>
    <row r="32" spans="1:16" ht="18" customHeight="1">
      <c r="A32" s="1436" t="s">
        <v>997</v>
      </c>
      <c r="B32" s="1835" t="s">
        <v>702</v>
      </c>
      <c r="C32" s="1513"/>
      <c r="D32" s="882">
        <f t="shared" ref="D32:O34" si="1">D5+D8+D11+D14+D17+D20+D23+D26+D29</f>
        <v>0</v>
      </c>
      <c r="E32" s="715">
        <f t="shared" si="1"/>
        <v>0</v>
      </c>
      <c r="F32" s="715">
        <f t="shared" si="1"/>
        <v>0</v>
      </c>
      <c r="G32" s="715">
        <f t="shared" si="1"/>
        <v>0</v>
      </c>
      <c r="H32" s="715">
        <f t="shared" si="1"/>
        <v>0</v>
      </c>
      <c r="I32" s="715">
        <f t="shared" si="1"/>
        <v>1</v>
      </c>
      <c r="J32" s="715">
        <f t="shared" si="1"/>
        <v>0</v>
      </c>
      <c r="K32" s="715">
        <f t="shared" si="1"/>
        <v>0</v>
      </c>
      <c r="L32" s="715">
        <f t="shared" si="1"/>
        <v>0</v>
      </c>
      <c r="M32" s="715">
        <f t="shared" si="1"/>
        <v>1</v>
      </c>
      <c r="N32" s="715">
        <f t="shared" si="1"/>
        <v>1</v>
      </c>
      <c r="O32" s="883">
        <f t="shared" si="1"/>
        <v>0</v>
      </c>
      <c r="P32" s="804">
        <f t="shared" si="0"/>
        <v>3</v>
      </c>
    </row>
    <row r="33" spans="1:17" ht="18" customHeight="1">
      <c r="A33" s="1437"/>
      <c r="B33" s="1832" t="s">
        <v>654</v>
      </c>
      <c r="C33" s="1750"/>
      <c r="D33" s="884">
        <f t="shared" si="1"/>
        <v>85</v>
      </c>
      <c r="E33" s="718">
        <f t="shared" si="1"/>
        <v>69</v>
      </c>
      <c r="F33" s="718">
        <f t="shared" si="1"/>
        <v>89</v>
      </c>
      <c r="G33" s="718">
        <f t="shared" si="1"/>
        <v>91</v>
      </c>
      <c r="H33" s="718">
        <f t="shared" si="1"/>
        <v>97</v>
      </c>
      <c r="I33" s="718">
        <f t="shared" si="1"/>
        <v>92</v>
      </c>
      <c r="J33" s="718">
        <f t="shared" si="1"/>
        <v>107</v>
      </c>
      <c r="K33" s="718">
        <f t="shared" si="1"/>
        <v>100</v>
      </c>
      <c r="L33" s="718">
        <f t="shared" si="1"/>
        <v>86</v>
      </c>
      <c r="M33" s="718">
        <f t="shared" si="1"/>
        <v>93</v>
      </c>
      <c r="N33" s="718">
        <f t="shared" si="1"/>
        <v>95</v>
      </c>
      <c r="O33" s="885">
        <f t="shared" si="1"/>
        <v>138</v>
      </c>
      <c r="P33" s="808">
        <f t="shared" si="0"/>
        <v>1142</v>
      </c>
    </row>
    <row r="34" spans="1:17" ht="18" customHeight="1" thickBot="1">
      <c r="A34" s="1898"/>
      <c r="B34" s="886"/>
      <c r="C34" s="246" t="s">
        <v>952</v>
      </c>
      <c r="D34" s="372">
        <f t="shared" si="1"/>
        <v>4</v>
      </c>
      <c r="E34" s="375">
        <f t="shared" si="1"/>
        <v>4</v>
      </c>
      <c r="F34" s="375">
        <f t="shared" si="1"/>
        <v>6</v>
      </c>
      <c r="G34" s="375">
        <f t="shared" si="1"/>
        <v>6</v>
      </c>
      <c r="H34" s="375">
        <f t="shared" si="1"/>
        <v>4</v>
      </c>
      <c r="I34" s="375">
        <f t="shared" si="1"/>
        <v>6</v>
      </c>
      <c r="J34" s="375">
        <f t="shared" si="1"/>
        <v>4</v>
      </c>
      <c r="K34" s="375">
        <f t="shared" si="1"/>
        <v>6</v>
      </c>
      <c r="L34" s="375">
        <f t="shared" si="1"/>
        <v>11</v>
      </c>
      <c r="M34" s="375">
        <f t="shared" si="1"/>
        <v>5</v>
      </c>
      <c r="N34" s="375">
        <f t="shared" si="1"/>
        <v>9</v>
      </c>
      <c r="O34" s="376">
        <f t="shared" si="1"/>
        <v>20</v>
      </c>
      <c r="P34" s="881">
        <f t="shared" ref="P34" si="2">SUM(D34:O34)</f>
        <v>85</v>
      </c>
    </row>
    <row r="35" spans="1:17" ht="18" customHeight="1">
      <c r="A35" s="1836" t="s">
        <v>582</v>
      </c>
      <c r="B35" s="1835" t="s">
        <v>702</v>
      </c>
      <c r="C35" s="1513"/>
      <c r="D35" s="887">
        <v>0</v>
      </c>
      <c r="E35" s="98">
        <v>0</v>
      </c>
      <c r="F35" s="98">
        <v>2</v>
      </c>
      <c r="G35" s="98">
        <v>3</v>
      </c>
      <c r="H35" s="98">
        <v>2</v>
      </c>
      <c r="I35" s="98">
        <v>5</v>
      </c>
      <c r="J35" s="98">
        <v>1</v>
      </c>
      <c r="K35" s="98">
        <v>0</v>
      </c>
      <c r="L35" s="98">
        <v>0</v>
      </c>
      <c r="M35" s="98">
        <v>1</v>
      </c>
      <c r="N35" s="98">
        <v>3</v>
      </c>
      <c r="O35" s="888">
        <v>4</v>
      </c>
      <c r="P35" s="889">
        <f t="shared" si="0"/>
        <v>21</v>
      </c>
    </row>
    <row r="36" spans="1:17" ht="18" customHeight="1">
      <c r="A36" s="1829"/>
      <c r="B36" s="1832" t="s">
        <v>478</v>
      </c>
      <c r="C36" s="1750"/>
      <c r="D36" s="103">
        <v>315</v>
      </c>
      <c r="E36" s="83">
        <v>291</v>
      </c>
      <c r="F36" s="83">
        <v>332</v>
      </c>
      <c r="G36" s="83">
        <v>349</v>
      </c>
      <c r="H36" s="83">
        <v>352</v>
      </c>
      <c r="I36" s="83">
        <v>393</v>
      </c>
      <c r="J36" s="83">
        <v>380</v>
      </c>
      <c r="K36" s="83">
        <v>333</v>
      </c>
      <c r="L36" s="83">
        <v>342</v>
      </c>
      <c r="M36" s="83">
        <v>415</v>
      </c>
      <c r="N36" s="83">
        <v>401</v>
      </c>
      <c r="O36" s="890">
        <v>471</v>
      </c>
      <c r="P36" s="808">
        <f t="shared" si="0"/>
        <v>4374</v>
      </c>
    </row>
    <row r="37" spans="1:17" ht="18" customHeight="1" thickBot="1">
      <c r="A37" s="1830"/>
      <c r="B37" s="891"/>
      <c r="C37" s="1358" t="s">
        <v>952</v>
      </c>
      <c r="D37" s="372">
        <v>24</v>
      </c>
      <c r="E37" s="375">
        <v>24</v>
      </c>
      <c r="F37" s="375">
        <v>28</v>
      </c>
      <c r="G37" s="375">
        <v>24</v>
      </c>
      <c r="H37" s="375">
        <v>28</v>
      </c>
      <c r="I37" s="375">
        <v>34</v>
      </c>
      <c r="J37" s="375">
        <v>27</v>
      </c>
      <c r="K37" s="375">
        <v>21</v>
      </c>
      <c r="L37" s="375">
        <v>35</v>
      </c>
      <c r="M37" s="375">
        <v>28</v>
      </c>
      <c r="N37" s="375">
        <v>36</v>
      </c>
      <c r="O37" s="376">
        <v>44</v>
      </c>
      <c r="P37" s="881">
        <f t="shared" si="0"/>
        <v>353</v>
      </c>
    </row>
    <row r="38" spans="1:17" ht="18" customHeight="1">
      <c r="A38" s="1897" t="s">
        <v>711</v>
      </c>
      <c r="B38" s="1897"/>
      <c r="C38" s="1897"/>
      <c r="D38" s="1897"/>
      <c r="E38" s="1897"/>
      <c r="F38" s="1897"/>
      <c r="G38" s="1897"/>
      <c r="H38" s="1897"/>
      <c r="I38" s="1897"/>
      <c r="J38" s="1897"/>
      <c r="K38" s="1897"/>
      <c r="L38" s="1897"/>
      <c r="M38" s="1897"/>
      <c r="N38" s="1897"/>
      <c r="O38" s="1897"/>
      <c r="P38" s="1673"/>
    </row>
    <row r="39" spans="1:17" ht="18" customHeight="1"/>
    <row r="40" spans="1:17" ht="18" customHeight="1"/>
    <row r="41" spans="1:17" ht="18" customHeight="1">
      <c r="E41" s="223"/>
      <c r="F41" s="223"/>
      <c r="G41" s="223"/>
      <c r="H41" s="223"/>
      <c r="I41" s="223"/>
      <c r="J41" s="223"/>
      <c r="K41" s="223"/>
      <c r="L41" s="223"/>
      <c r="M41" s="223"/>
      <c r="N41" s="223"/>
      <c r="O41" s="223"/>
      <c r="P41" s="223"/>
    </row>
    <row r="44" spans="1:17">
      <c r="J44" s="223"/>
      <c r="K44" s="223"/>
      <c r="L44" s="223"/>
      <c r="M44" s="223"/>
      <c r="N44" s="223"/>
      <c r="O44" s="223"/>
      <c r="P44" s="223"/>
      <c r="Q44" s="223"/>
    </row>
  </sheetData>
  <mergeCells count="48">
    <mergeCell ref="O2:P2"/>
    <mergeCell ref="D3:D4"/>
    <mergeCell ref="E3:E4"/>
    <mergeCell ref="F3:F4"/>
    <mergeCell ref="G3:G4"/>
    <mergeCell ref="H3:H4"/>
    <mergeCell ref="I3:I4"/>
    <mergeCell ref="J3:J4"/>
    <mergeCell ref="K3:K4"/>
    <mergeCell ref="L3:L4"/>
    <mergeCell ref="M3:M4"/>
    <mergeCell ref="N3:N4"/>
    <mergeCell ref="O3:O4"/>
    <mergeCell ref="P3:P4"/>
    <mergeCell ref="A5:A7"/>
    <mergeCell ref="B5:C5"/>
    <mergeCell ref="B6:C6"/>
    <mergeCell ref="A8:A10"/>
    <mergeCell ref="B8:C8"/>
    <mergeCell ref="B9:C9"/>
    <mergeCell ref="A11:A13"/>
    <mergeCell ref="B11:C11"/>
    <mergeCell ref="B12:C12"/>
    <mergeCell ref="A14:A16"/>
    <mergeCell ref="B14:C14"/>
    <mergeCell ref="B15:C15"/>
    <mergeCell ref="A17:A19"/>
    <mergeCell ref="B17:C17"/>
    <mergeCell ref="B18:C18"/>
    <mergeCell ref="A20:A22"/>
    <mergeCell ref="B20:C20"/>
    <mergeCell ref="B21:C21"/>
    <mergeCell ref="A23:A25"/>
    <mergeCell ref="B23:C23"/>
    <mergeCell ref="B24:C24"/>
    <mergeCell ref="A26:A28"/>
    <mergeCell ref="B26:C26"/>
    <mergeCell ref="B27:C27"/>
    <mergeCell ref="A29:A31"/>
    <mergeCell ref="B29:C29"/>
    <mergeCell ref="B30:C30"/>
    <mergeCell ref="A38:P38"/>
    <mergeCell ref="A32:A34"/>
    <mergeCell ref="B32:C32"/>
    <mergeCell ref="B33:C33"/>
    <mergeCell ref="A35:A37"/>
    <mergeCell ref="B35:C35"/>
    <mergeCell ref="B36:C36"/>
  </mergeCells>
  <phoneticPr fontId="3"/>
  <pageMargins left="0.74" right="0.5" top="0.98425196850393704" bottom="0.98425196850393704" header="0.51181102362204722" footer="0.51181102362204722"/>
  <pageSetup paperSize="9" orientation="portrait" r:id="rId1"/>
  <headerFooter alignWithMargins="0">
    <oddFooter>&amp;C－25－</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view="pageBreakPreview" zoomScaleNormal="100" zoomScaleSheetLayoutView="100" workbookViewId="0">
      <selection activeCell="A31" sqref="A31"/>
    </sheetView>
  </sheetViews>
  <sheetFormatPr defaultRowHeight="14.25"/>
  <cols>
    <col min="1" max="1" width="7.25" style="2" customWidth="1"/>
    <col min="2" max="2" width="6" style="2" customWidth="1"/>
    <col min="3" max="3" width="7.5" style="2" customWidth="1"/>
    <col min="4" max="4" width="8" style="2" customWidth="1"/>
    <col min="5" max="5" width="6" style="2" customWidth="1"/>
    <col min="6" max="6" width="7.5" style="2" customWidth="1"/>
    <col min="7" max="7" width="8" style="2" customWidth="1"/>
    <col min="8" max="8" width="6" style="2" customWidth="1"/>
    <col min="9" max="9" width="7.5" style="2" customWidth="1"/>
    <col min="10" max="10" width="8" style="2" customWidth="1"/>
    <col min="11" max="11" width="6" style="2" customWidth="1"/>
    <col min="12" max="12" width="7.5" style="2" customWidth="1"/>
    <col min="13" max="13" width="8" style="2" customWidth="1"/>
    <col min="14" max="14" width="6" style="2" customWidth="1"/>
    <col min="15" max="15" width="7.5" style="2" customWidth="1"/>
    <col min="16" max="16" width="8" style="2" customWidth="1"/>
    <col min="17" max="17" width="6" style="2" customWidth="1"/>
    <col min="18" max="18" width="7.5" style="2" customWidth="1"/>
    <col min="19" max="19" width="8" style="2" customWidth="1"/>
    <col min="20" max="20" width="7.5" style="2" customWidth="1"/>
    <col min="21" max="16384" width="9" style="2"/>
  </cols>
  <sheetData>
    <row r="1" spans="1:19" ht="15">
      <c r="A1" s="70" t="s">
        <v>712</v>
      </c>
    </row>
    <row r="2" spans="1:19" ht="15" thickBot="1">
      <c r="Q2" s="1394" t="s">
        <v>570</v>
      </c>
      <c r="R2" s="1394"/>
      <c r="S2" s="1902"/>
    </row>
    <row r="3" spans="1:19">
      <c r="A3" s="813" t="s">
        <v>350</v>
      </c>
      <c r="B3" s="1798" t="s">
        <v>586</v>
      </c>
      <c r="C3" s="1799"/>
      <c r="D3" s="1800"/>
      <c r="E3" s="1803" t="s">
        <v>587</v>
      </c>
      <c r="F3" s="1519"/>
      <c r="G3" s="1519"/>
      <c r="H3" s="1519"/>
      <c r="I3" s="1519"/>
      <c r="J3" s="1519"/>
      <c r="K3" s="1519"/>
      <c r="L3" s="1519"/>
      <c r="M3" s="1519"/>
      <c r="N3" s="1519"/>
      <c r="O3" s="1519"/>
      <c r="P3" s="1519"/>
      <c r="Q3" s="1519"/>
      <c r="R3" s="1519"/>
      <c r="S3" s="1903"/>
    </row>
    <row r="4" spans="1:19">
      <c r="A4" s="725"/>
      <c r="B4" s="1801"/>
      <c r="C4" s="1533"/>
      <c r="D4" s="1802"/>
      <c r="E4" s="1801" t="s">
        <v>588</v>
      </c>
      <c r="F4" s="1533"/>
      <c r="G4" s="1802"/>
      <c r="H4" s="1801" t="s">
        <v>589</v>
      </c>
      <c r="I4" s="1533"/>
      <c r="J4" s="1802"/>
      <c r="K4" s="1807" t="s">
        <v>671</v>
      </c>
      <c r="L4" s="1808"/>
      <c r="M4" s="1802"/>
      <c r="N4" s="1807" t="s">
        <v>591</v>
      </c>
      <c r="O4" s="1808"/>
      <c r="P4" s="1802"/>
      <c r="Q4" s="1676" t="s">
        <v>331</v>
      </c>
      <c r="R4" s="1846"/>
      <c r="S4" s="1538"/>
    </row>
    <row r="5" spans="1:19" ht="5.25" customHeight="1">
      <c r="A5" s="725"/>
      <c r="B5" s="1465" t="s">
        <v>593</v>
      </c>
      <c r="C5" s="1464" t="s">
        <v>672</v>
      </c>
      <c r="D5" s="481"/>
      <c r="E5" s="1465" t="s">
        <v>593</v>
      </c>
      <c r="F5" s="1464" t="s">
        <v>672</v>
      </c>
      <c r="G5" s="481"/>
      <c r="H5" s="1465" t="s">
        <v>593</v>
      </c>
      <c r="I5" s="1464" t="s">
        <v>672</v>
      </c>
      <c r="J5" s="481"/>
      <c r="K5" s="1465" t="s">
        <v>593</v>
      </c>
      <c r="L5" s="1464" t="s">
        <v>672</v>
      </c>
      <c r="M5" s="481"/>
      <c r="N5" s="1465" t="s">
        <v>593</v>
      </c>
      <c r="O5" s="1464" t="s">
        <v>672</v>
      </c>
      <c r="P5" s="481"/>
      <c r="Q5" s="1465" t="s">
        <v>593</v>
      </c>
      <c r="R5" s="1464" t="s">
        <v>672</v>
      </c>
      <c r="S5" s="481"/>
    </row>
    <row r="6" spans="1:19" ht="15" thickBot="1">
      <c r="A6" s="815" t="s">
        <v>673</v>
      </c>
      <c r="B6" s="1795"/>
      <c r="C6" s="1796"/>
      <c r="D6" s="1357" t="s">
        <v>951</v>
      </c>
      <c r="E6" s="1795"/>
      <c r="F6" s="1796"/>
      <c r="G6" s="1356" t="s">
        <v>951</v>
      </c>
      <c r="H6" s="1795"/>
      <c r="I6" s="1796"/>
      <c r="J6" s="1356" t="s">
        <v>951</v>
      </c>
      <c r="K6" s="1795"/>
      <c r="L6" s="1796"/>
      <c r="M6" s="1356" t="s">
        <v>951</v>
      </c>
      <c r="N6" s="1795"/>
      <c r="O6" s="1796"/>
      <c r="P6" s="1356" t="s">
        <v>951</v>
      </c>
      <c r="Q6" s="1795"/>
      <c r="R6" s="1796"/>
      <c r="S6" s="1356" t="s">
        <v>951</v>
      </c>
    </row>
    <row r="7" spans="1:19" ht="20.100000000000001" customHeight="1">
      <c r="A7" s="494" t="s">
        <v>185</v>
      </c>
      <c r="B7" s="887">
        <f t="shared" ref="B7:C30" si="0">E7+H7+K7+N7+Q7</f>
        <v>0</v>
      </c>
      <c r="C7" s="888">
        <f t="shared" si="0"/>
        <v>112</v>
      </c>
      <c r="D7" s="892">
        <f t="shared" ref="D7:D30" si="1">H7+K7+N7+Q7+T7</f>
        <v>0</v>
      </c>
      <c r="E7" s="703">
        <v>0</v>
      </c>
      <c r="F7" s="109">
        <v>8</v>
      </c>
      <c r="G7" s="892">
        <v>0</v>
      </c>
      <c r="H7" s="108">
        <v>0</v>
      </c>
      <c r="I7" s="109">
        <v>36</v>
      </c>
      <c r="J7" s="710">
        <v>3</v>
      </c>
      <c r="K7" s="703">
        <v>0</v>
      </c>
      <c r="L7" s="437">
        <v>25</v>
      </c>
      <c r="M7" s="892">
        <v>7</v>
      </c>
      <c r="N7" s="108">
        <v>0</v>
      </c>
      <c r="O7" s="109">
        <v>43</v>
      </c>
      <c r="P7" s="710">
        <v>1</v>
      </c>
      <c r="Q7" s="703">
        <v>0</v>
      </c>
      <c r="R7" s="109">
        <v>0</v>
      </c>
      <c r="S7" s="892">
        <v>0</v>
      </c>
    </row>
    <row r="8" spans="1:19" ht="20.100000000000001" customHeight="1">
      <c r="A8" s="494" t="s">
        <v>187</v>
      </c>
      <c r="B8" s="887">
        <f t="shared" si="0"/>
        <v>1</v>
      </c>
      <c r="C8" s="888">
        <f t="shared" si="0"/>
        <v>17</v>
      </c>
      <c r="D8" s="892">
        <f t="shared" si="1"/>
        <v>0</v>
      </c>
      <c r="E8" s="703">
        <v>1</v>
      </c>
      <c r="F8" s="109">
        <v>1</v>
      </c>
      <c r="G8" s="892">
        <v>0</v>
      </c>
      <c r="H8" s="108">
        <v>0</v>
      </c>
      <c r="I8" s="109">
        <v>12</v>
      </c>
      <c r="J8" s="892">
        <v>0</v>
      </c>
      <c r="K8" s="703">
        <v>0</v>
      </c>
      <c r="L8" s="437">
        <v>4</v>
      </c>
      <c r="M8" s="892">
        <v>0</v>
      </c>
      <c r="N8" s="108">
        <v>0</v>
      </c>
      <c r="O8" s="109">
        <v>0</v>
      </c>
      <c r="P8" s="892">
        <v>0</v>
      </c>
      <c r="Q8" s="703">
        <v>0</v>
      </c>
      <c r="R8" s="109">
        <v>0</v>
      </c>
      <c r="S8" s="892">
        <v>0</v>
      </c>
    </row>
    <row r="9" spans="1:19" ht="20.100000000000001" customHeight="1">
      <c r="A9" s="494" t="s">
        <v>189</v>
      </c>
      <c r="B9" s="887">
        <f t="shared" si="0"/>
        <v>0</v>
      </c>
      <c r="C9" s="888">
        <f t="shared" si="0"/>
        <v>21</v>
      </c>
      <c r="D9" s="892">
        <f t="shared" si="1"/>
        <v>0</v>
      </c>
      <c r="E9" s="703">
        <v>0</v>
      </c>
      <c r="F9" s="109">
        <v>2</v>
      </c>
      <c r="G9" s="892">
        <v>0</v>
      </c>
      <c r="H9" s="108">
        <v>0</v>
      </c>
      <c r="I9" s="109">
        <v>5</v>
      </c>
      <c r="J9" s="892">
        <v>0</v>
      </c>
      <c r="K9" s="703">
        <v>0</v>
      </c>
      <c r="L9" s="437">
        <v>2</v>
      </c>
      <c r="M9" s="892">
        <v>1</v>
      </c>
      <c r="N9" s="108">
        <v>0</v>
      </c>
      <c r="O9" s="109">
        <v>12</v>
      </c>
      <c r="P9" s="892">
        <v>0</v>
      </c>
      <c r="Q9" s="703">
        <v>0</v>
      </c>
      <c r="R9" s="109">
        <v>0</v>
      </c>
      <c r="S9" s="892">
        <v>0</v>
      </c>
    </row>
    <row r="10" spans="1:19" ht="20.100000000000001" customHeight="1">
      <c r="A10" s="494" t="s">
        <v>190</v>
      </c>
      <c r="B10" s="887">
        <f t="shared" si="0"/>
        <v>0</v>
      </c>
      <c r="C10" s="888">
        <f t="shared" si="0"/>
        <v>24</v>
      </c>
      <c r="D10" s="892">
        <f t="shared" si="1"/>
        <v>0</v>
      </c>
      <c r="E10" s="703">
        <v>0</v>
      </c>
      <c r="F10" s="109">
        <v>1</v>
      </c>
      <c r="G10" s="892">
        <v>0</v>
      </c>
      <c r="H10" s="108">
        <v>0</v>
      </c>
      <c r="I10" s="109">
        <v>2</v>
      </c>
      <c r="J10" s="892">
        <v>0</v>
      </c>
      <c r="K10" s="703">
        <v>0</v>
      </c>
      <c r="L10" s="437">
        <v>8</v>
      </c>
      <c r="M10" s="892">
        <v>0</v>
      </c>
      <c r="N10" s="108">
        <v>0</v>
      </c>
      <c r="O10" s="109">
        <v>13</v>
      </c>
      <c r="P10" s="892">
        <v>0</v>
      </c>
      <c r="Q10" s="703">
        <v>0</v>
      </c>
      <c r="R10" s="109">
        <v>0</v>
      </c>
      <c r="S10" s="892">
        <v>0</v>
      </c>
    </row>
    <row r="11" spans="1:19" ht="20.100000000000001" customHeight="1">
      <c r="A11" s="494" t="s">
        <v>192</v>
      </c>
      <c r="B11" s="887">
        <f t="shared" si="0"/>
        <v>0</v>
      </c>
      <c r="C11" s="888">
        <f t="shared" si="0"/>
        <v>105</v>
      </c>
      <c r="D11" s="892">
        <f t="shared" si="1"/>
        <v>0</v>
      </c>
      <c r="E11" s="703">
        <v>0</v>
      </c>
      <c r="F11" s="109">
        <v>15</v>
      </c>
      <c r="G11" s="892">
        <v>0</v>
      </c>
      <c r="H11" s="108">
        <v>0</v>
      </c>
      <c r="I11" s="109">
        <v>36</v>
      </c>
      <c r="J11" s="892">
        <v>2</v>
      </c>
      <c r="K11" s="703">
        <v>0</v>
      </c>
      <c r="L11" s="437">
        <v>20</v>
      </c>
      <c r="M11" s="892">
        <v>4</v>
      </c>
      <c r="N11" s="108">
        <v>0</v>
      </c>
      <c r="O11" s="109">
        <v>32</v>
      </c>
      <c r="P11" s="892">
        <v>0</v>
      </c>
      <c r="Q11" s="703">
        <v>0</v>
      </c>
      <c r="R11" s="109">
        <v>2</v>
      </c>
      <c r="S11" s="892">
        <v>0</v>
      </c>
    </row>
    <row r="12" spans="1:19" ht="20.100000000000001" customHeight="1">
      <c r="A12" s="494" t="s">
        <v>193</v>
      </c>
      <c r="B12" s="887">
        <f t="shared" si="0"/>
        <v>0</v>
      </c>
      <c r="C12" s="888">
        <f t="shared" si="0"/>
        <v>37</v>
      </c>
      <c r="D12" s="892">
        <f t="shared" si="1"/>
        <v>0</v>
      </c>
      <c r="E12" s="703">
        <v>0</v>
      </c>
      <c r="F12" s="109">
        <v>2</v>
      </c>
      <c r="G12" s="892">
        <v>0</v>
      </c>
      <c r="H12" s="108">
        <v>0</v>
      </c>
      <c r="I12" s="109">
        <v>13</v>
      </c>
      <c r="J12" s="892">
        <v>0</v>
      </c>
      <c r="K12" s="703">
        <v>0</v>
      </c>
      <c r="L12" s="437">
        <v>5</v>
      </c>
      <c r="M12" s="892">
        <v>0</v>
      </c>
      <c r="N12" s="108">
        <v>0</v>
      </c>
      <c r="O12" s="109">
        <v>17</v>
      </c>
      <c r="P12" s="892">
        <v>2</v>
      </c>
      <c r="Q12" s="703">
        <v>0</v>
      </c>
      <c r="R12" s="109">
        <v>0</v>
      </c>
      <c r="S12" s="892">
        <v>0</v>
      </c>
    </row>
    <row r="13" spans="1:19" ht="20.100000000000001" customHeight="1">
      <c r="A13" s="494" t="s">
        <v>205</v>
      </c>
      <c r="B13" s="887">
        <f t="shared" si="0"/>
        <v>0</v>
      </c>
      <c r="C13" s="888">
        <f t="shared" si="0"/>
        <v>21</v>
      </c>
      <c r="D13" s="892">
        <f t="shared" si="1"/>
        <v>0</v>
      </c>
      <c r="E13" s="703">
        <v>0</v>
      </c>
      <c r="F13" s="109">
        <v>0</v>
      </c>
      <c r="G13" s="892">
        <v>0</v>
      </c>
      <c r="H13" s="108">
        <v>0</v>
      </c>
      <c r="I13" s="109">
        <v>3</v>
      </c>
      <c r="J13" s="892">
        <v>0</v>
      </c>
      <c r="K13" s="703">
        <v>0</v>
      </c>
      <c r="L13" s="437">
        <v>4</v>
      </c>
      <c r="M13" s="892">
        <v>1</v>
      </c>
      <c r="N13" s="108">
        <v>0</v>
      </c>
      <c r="O13" s="109">
        <v>14</v>
      </c>
      <c r="P13" s="892">
        <v>2</v>
      </c>
      <c r="Q13" s="703">
        <v>0</v>
      </c>
      <c r="R13" s="109">
        <v>0</v>
      </c>
      <c r="S13" s="892">
        <v>0</v>
      </c>
    </row>
    <row r="14" spans="1:19" ht="20.100000000000001" customHeight="1">
      <c r="A14" s="494" t="s">
        <v>595</v>
      </c>
      <c r="B14" s="887">
        <f t="shared" si="0"/>
        <v>0</v>
      </c>
      <c r="C14" s="888">
        <f t="shared" si="0"/>
        <v>11</v>
      </c>
      <c r="D14" s="892">
        <f t="shared" si="1"/>
        <v>0</v>
      </c>
      <c r="E14" s="703">
        <v>0</v>
      </c>
      <c r="F14" s="109">
        <v>2</v>
      </c>
      <c r="G14" s="892">
        <v>0</v>
      </c>
      <c r="H14" s="108">
        <v>0</v>
      </c>
      <c r="I14" s="109">
        <v>3</v>
      </c>
      <c r="J14" s="892">
        <v>0</v>
      </c>
      <c r="K14" s="703">
        <v>0</v>
      </c>
      <c r="L14" s="437">
        <v>3</v>
      </c>
      <c r="M14" s="892">
        <v>0</v>
      </c>
      <c r="N14" s="108">
        <v>0</v>
      </c>
      <c r="O14" s="109">
        <v>3</v>
      </c>
      <c r="P14" s="892">
        <v>0</v>
      </c>
      <c r="Q14" s="703">
        <v>0</v>
      </c>
      <c r="R14" s="109">
        <v>0</v>
      </c>
      <c r="S14" s="892">
        <v>0</v>
      </c>
    </row>
    <row r="15" spans="1:19" ht="20.100000000000001" customHeight="1">
      <c r="A15" s="494" t="s">
        <v>207</v>
      </c>
      <c r="B15" s="887">
        <f t="shared" si="0"/>
        <v>0</v>
      </c>
      <c r="C15" s="888">
        <f t="shared" si="0"/>
        <v>50</v>
      </c>
      <c r="D15" s="892">
        <f t="shared" si="1"/>
        <v>0</v>
      </c>
      <c r="E15" s="703">
        <v>0</v>
      </c>
      <c r="F15" s="109">
        <v>4</v>
      </c>
      <c r="G15" s="892">
        <v>0</v>
      </c>
      <c r="H15" s="108">
        <v>0</v>
      </c>
      <c r="I15" s="109">
        <v>17</v>
      </c>
      <c r="J15" s="892">
        <v>1</v>
      </c>
      <c r="K15" s="703">
        <v>0</v>
      </c>
      <c r="L15" s="437">
        <v>11</v>
      </c>
      <c r="M15" s="892">
        <v>2</v>
      </c>
      <c r="N15" s="108">
        <v>0</v>
      </c>
      <c r="O15" s="109">
        <v>18</v>
      </c>
      <c r="P15" s="892">
        <v>0</v>
      </c>
      <c r="Q15" s="703">
        <v>0</v>
      </c>
      <c r="R15" s="109">
        <v>0</v>
      </c>
      <c r="S15" s="892">
        <v>0</v>
      </c>
    </row>
    <row r="16" spans="1:19" ht="20.100000000000001" customHeight="1">
      <c r="A16" s="494" t="s">
        <v>208</v>
      </c>
      <c r="B16" s="887">
        <f t="shared" si="0"/>
        <v>0</v>
      </c>
      <c r="C16" s="888">
        <f t="shared" si="0"/>
        <v>52</v>
      </c>
      <c r="D16" s="892">
        <f t="shared" si="1"/>
        <v>0</v>
      </c>
      <c r="E16" s="703">
        <v>0</v>
      </c>
      <c r="F16" s="109">
        <v>4</v>
      </c>
      <c r="G16" s="892">
        <v>1</v>
      </c>
      <c r="H16" s="108">
        <v>0</v>
      </c>
      <c r="I16" s="109">
        <v>22</v>
      </c>
      <c r="J16" s="892">
        <v>0</v>
      </c>
      <c r="K16" s="703">
        <v>0</v>
      </c>
      <c r="L16" s="437">
        <v>13</v>
      </c>
      <c r="M16" s="892">
        <v>1</v>
      </c>
      <c r="N16" s="108">
        <v>0</v>
      </c>
      <c r="O16" s="109">
        <v>13</v>
      </c>
      <c r="P16" s="892">
        <v>2</v>
      </c>
      <c r="Q16" s="703">
        <v>0</v>
      </c>
      <c r="R16" s="109">
        <v>0</v>
      </c>
      <c r="S16" s="892">
        <v>0</v>
      </c>
    </row>
    <row r="17" spans="1:19" ht="20.100000000000001" customHeight="1">
      <c r="A17" s="494" t="s">
        <v>596</v>
      </c>
      <c r="B17" s="887">
        <f t="shared" si="0"/>
        <v>0</v>
      </c>
      <c r="C17" s="888">
        <f t="shared" si="0"/>
        <v>38</v>
      </c>
      <c r="D17" s="892">
        <f t="shared" si="1"/>
        <v>0</v>
      </c>
      <c r="E17" s="703">
        <v>0</v>
      </c>
      <c r="F17" s="109">
        <v>1</v>
      </c>
      <c r="G17" s="892">
        <v>0</v>
      </c>
      <c r="H17" s="108">
        <v>0</v>
      </c>
      <c r="I17" s="109">
        <v>14</v>
      </c>
      <c r="J17" s="892">
        <v>2</v>
      </c>
      <c r="K17" s="703">
        <v>0</v>
      </c>
      <c r="L17" s="437">
        <v>11</v>
      </c>
      <c r="M17" s="892">
        <v>4</v>
      </c>
      <c r="N17" s="108">
        <v>0</v>
      </c>
      <c r="O17" s="109">
        <v>12</v>
      </c>
      <c r="P17" s="892">
        <v>0</v>
      </c>
      <c r="Q17" s="703">
        <v>0</v>
      </c>
      <c r="R17" s="109">
        <v>0</v>
      </c>
      <c r="S17" s="892">
        <v>0</v>
      </c>
    </row>
    <row r="18" spans="1:19" ht="20.100000000000001" customHeight="1">
      <c r="A18" s="494" t="s">
        <v>210</v>
      </c>
      <c r="B18" s="887">
        <f t="shared" si="0"/>
        <v>0</v>
      </c>
      <c r="C18" s="888">
        <f t="shared" si="0"/>
        <v>66</v>
      </c>
      <c r="D18" s="892">
        <f t="shared" si="1"/>
        <v>0</v>
      </c>
      <c r="E18" s="703">
        <v>0</v>
      </c>
      <c r="F18" s="109">
        <v>1</v>
      </c>
      <c r="G18" s="892">
        <v>0</v>
      </c>
      <c r="H18" s="108">
        <v>0</v>
      </c>
      <c r="I18" s="109">
        <v>22</v>
      </c>
      <c r="J18" s="892">
        <v>1</v>
      </c>
      <c r="K18" s="703">
        <v>0</v>
      </c>
      <c r="L18" s="437">
        <v>20</v>
      </c>
      <c r="M18" s="892">
        <v>1</v>
      </c>
      <c r="N18" s="108">
        <v>0</v>
      </c>
      <c r="O18" s="109">
        <v>23</v>
      </c>
      <c r="P18" s="892">
        <v>0</v>
      </c>
      <c r="Q18" s="703">
        <v>0</v>
      </c>
      <c r="R18" s="109">
        <v>0</v>
      </c>
      <c r="S18" s="892">
        <v>0</v>
      </c>
    </row>
    <row r="19" spans="1:19" ht="20.100000000000001" customHeight="1">
      <c r="A19" s="494" t="s">
        <v>597</v>
      </c>
      <c r="B19" s="887">
        <f t="shared" si="0"/>
        <v>0</v>
      </c>
      <c r="C19" s="888">
        <f t="shared" si="0"/>
        <v>79</v>
      </c>
      <c r="D19" s="892">
        <f t="shared" si="1"/>
        <v>0</v>
      </c>
      <c r="E19" s="703">
        <v>0</v>
      </c>
      <c r="F19" s="109">
        <v>5</v>
      </c>
      <c r="G19" s="892">
        <v>0</v>
      </c>
      <c r="H19" s="108">
        <v>0</v>
      </c>
      <c r="I19" s="109">
        <v>27</v>
      </c>
      <c r="J19" s="892">
        <v>4</v>
      </c>
      <c r="K19" s="703">
        <v>0</v>
      </c>
      <c r="L19" s="437">
        <v>23</v>
      </c>
      <c r="M19" s="892">
        <v>4</v>
      </c>
      <c r="N19" s="108">
        <v>0</v>
      </c>
      <c r="O19" s="109">
        <v>24</v>
      </c>
      <c r="P19" s="892">
        <v>2</v>
      </c>
      <c r="Q19" s="703">
        <v>0</v>
      </c>
      <c r="R19" s="109">
        <v>0</v>
      </c>
      <c r="S19" s="892">
        <v>0</v>
      </c>
    </row>
    <row r="20" spans="1:19" ht="20.100000000000001" customHeight="1">
      <c r="A20" s="494" t="s">
        <v>213</v>
      </c>
      <c r="B20" s="887">
        <f t="shared" si="0"/>
        <v>0</v>
      </c>
      <c r="C20" s="888">
        <f t="shared" si="0"/>
        <v>46</v>
      </c>
      <c r="D20" s="892">
        <f t="shared" si="1"/>
        <v>0</v>
      </c>
      <c r="E20" s="703">
        <v>0</v>
      </c>
      <c r="F20" s="109">
        <v>4</v>
      </c>
      <c r="G20" s="892">
        <v>1</v>
      </c>
      <c r="H20" s="108">
        <v>0</v>
      </c>
      <c r="I20" s="109">
        <v>19</v>
      </c>
      <c r="J20" s="892">
        <v>1</v>
      </c>
      <c r="K20" s="703">
        <v>0</v>
      </c>
      <c r="L20" s="437">
        <v>6</v>
      </c>
      <c r="M20" s="892">
        <v>0</v>
      </c>
      <c r="N20" s="108">
        <v>0</v>
      </c>
      <c r="O20" s="109">
        <v>17</v>
      </c>
      <c r="P20" s="892">
        <v>1</v>
      </c>
      <c r="Q20" s="703">
        <v>0</v>
      </c>
      <c r="R20" s="109">
        <v>0</v>
      </c>
      <c r="S20" s="892">
        <v>0</v>
      </c>
    </row>
    <row r="21" spans="1:19" ht="20.100000000000001" customHeight="1">
      <c r="A21" s="494" t="s">
        <v>215</v>
      </c>
      <c r="B21" s="887">
        <f t="shared" si="0"/>
        <v>0</v>
      </c>
      <c r="C21" s="888">
        <f t="shared" si="0"/>
        <v>48</v>
      </c>
      <c r="D21" s="892">
        <f t="shared" si="1"/>
        <v>0</v>
      </c>
      <c r="E21" s="703">
        <v>0</v>
      </c>
      <c r="F21" s="109">
        <v>0</v>
      </c>
      <c r="G21" s="892">
        <v>0</v>
      </c>
      <c r="H21" s="108">
        <v>0</v>
      </c>
      <c r="I21" s="109">
        <v>27</v>
      </c>
      <c r="J21" s="892">
        <v>1</v>
      </c>
      <c r="K21" s="703">
        <v>0</v>
      </c>
      <c r="L21" s="437">
        <v>8</v>
      </c>
      <c r="M21" s="892">
        <v>2</v>
      </c>
      <c r="N21" s="108">
        <v>0</v>
      </c>
      <c r="O21" s="109">
        <v>13</v>
      </c>
      <c r="P21" s="892">
        <v>0</v>
      </c>
      <c r="Q21" s="703">
        <v>0</v>
      </c>
      <c r="R21" s="109">
        <v>0</v>
      </c>
      <c r="S21" s="892">
        <v>0</v>
      </c>
    </row>
    <row r="22" spans="1:19" ht="20.100000000000001" customHeight="1">
      <c r="A22" s="494" t="s">
        <v>216</v>
      </c>
      <c r="B22" s="887">
        <f t="shared" si="0"/>
        <v>0</v>
      </c>
      <c r="C22" s="888">
        <f t="shared" si="0"/>
        <v>21</v>
      </c>
      <c r="D22" s="892">
        <f t="shared" si="1"/>
        <v>0</v>
      </c>
      <c r="E22" s="703">
        <v>0</v>
      </c>
      <c r="F22" s="109">
        <v>1</v>
      </c>
      <c r="G22" s="892">
        <v>0</v>
      </c>
      <c r="H22" s="108">
        <v>0</v>
      </c>
      <c r="I22" s="109">
        <v>9</v>
      </c>
      <c r="J22" s="892">
        <v>0</v>
      </c>
      <c r="K22" s="703">
        <v>0</v>
      </c>
      <c r="L22" s="437">
        <v>5</v>
      </c>
      <c r="M22" s="892">
        <v>0</v>
      </c>
      <c r="N22" s="108">
        <v>0</v>
      </c>
      <c r="O22" s="109">
        <v>6</v>
      </c>
      <c r="P22" s="892">
        <v>0</v>
      </c>
      <c r="Q22" s="703">
        <v>0</v>
      </c>
      <c r="R22" s="109">
        <v>0</v>
      </c>
      <c r="S22" s="892">
        <v>0</v>
      </c>
    </row>
    <row r="23" spans="1:19" ht="20.100000000000001" customHeight="1">
      <c r="A23" s="494" t="s">
        <v>217</v>
      </c>
      <c r="B23" s="887">
        <f t="shared" si="0"/>
        <v>0</v>
      </c>
      <c r="C23" s="888">
        <f t="shared" si="0"/>
        <v>62</v>
      </c>
      <c r="D23" s="892">
        <f t="shared" si="1"/>
        <v>0</v>
      </c>
      <c r="E23" s="703">
        <v>0</v>
      </c>
      <c r="F23" s="109">
        <v>2</v>
      </c>
      <c r="G23" s="892">
        <v>0</v>
      </c>
      <c r="H23" s="108">
        <v>0</v>
      </c>
      <c r="I23" s="109">
        <v>18</v>
      </c>
      <c r="J23" s="892">
        <v>1</v>
      </c>
      <c r="K23" s="703">
        <v>0</v>
      </c>
      <c r="L23" s="437">
        <v>19</v>
      </c>
      <c r="M23" s="892">
        <v>1</v>
      </c>
      <c r="N23" s="108">
        <v>0</v>
      </c>
      <c r="O23" s="109">
        <v>23</v>
      </c>
      <c r="P23" s="892">
        <v>0</v>
      </c>
      <c r="Q23" s="703">
        <v>0</v>
      </c>
      <c r="R23" s="109">
        <v>0</v>
      </c>
      <c r="S23" s="892">
        <v>0</v>
      </c>
    </row>
    <row r="24" spans="1:19" ht="20.100000000000001" customHeight="1">
      <c r="A24" s="494" t="s">
        <v>218</v>
      </c>
      <c r="B24" s="887">
        <f t="shared" si="0"/>
        <v>0</v>
      </c>
      <c r="C24" s="888">
        <f t="shared" si="0"/>
        <v>34</v>
      </c>
      <c r="D24" s="892">
        <f t="shared" si="1"/>
        <v>0</v>
      </c>
      <c r="E24" s="703">
        <v>0</v>
      </c>
      <c r="F24" s="109">
        <v>2</v>
      </c>
      <c r="G24" s="892">
        <v>0</v>
      </c>
      <c r="H24" s="108">
        <v>0</v>
      </c>
      <c r="I24" s="109">
        <v>18</v>
      </c>
      <c r="J24" s="892">
        <v>1</v>
      </c>
      <c r="K24" s="703">
        <v>0</v>
      </c>
      <c r="L24" s="437">
        <v>6</v>
      </c>
      <c r="M24" s="892">
        <v>1</v>
      </c>
      <c r="N24" s="108">
        <v>0</v>
      </c>
      <c r="O24" s="109">
        <v>8</v>
      </c>
      <c r="P24" s="892">
        <v>0</v>
      </c>
      <c r="Q24" s="703">
        <v>0</v>
      </c>
      <c r="R24" s="109">
        <v>0</v>
      </c>
      <c r="S24" s="892">
        <v>0</v>
      </c>
    </row>
    <row r="25" spans="1:19" ht="20.100000000000001" customHeight="1">
      <c r="A25" s="494" t="s">
        <v>219</v>
      </c>
      <c r="B25" s="887">
        <f t="shared" si="0"/>
        <v>0</v>
      </c>
      <c r="C25" s="888">
        <f t="shared" si="0"/>
        <v>23</v>
      </c>
      <c r="D25" s="892">
        <f t="shared" si="1"/>
        <v>0</v>
      </c>
      <c r="E25" s="703">
        <v>0</v>
      </c>
      <c r="F25" s="109">
        <v>1</v>
      </c>
      <c r="G25" s="892">
        <v>0</v>
      </c>
      <c r="H25" s="108">
        <v>0</v>
      </c>
      <c r="I25" s="109">
        <v>7</v>
      </c>
      <c r="J25" s="892">
        <v>1</v>
      </c>
      <c r="K25" s="703">
        <v>0</v>
      </c>
      <c r="L25" s="437">
        <v>7</v>
      </c>
      <c r="M25" s="892">
        <v>0</v>
      </c>
      <c r="N25" s="108">
        <v>0</v>
      </c>
      <c r="O25" s="109">
        <v>7</v>
      </c>
      <c r="P25" s="892">
        <v>3</v>
      </c>
      <c r="Q25" s="703">
        <v>0</v>
      </c>
      <c r="R25" s="109">
        <v>1</v>
      </c>
      <c r="S25" s="892">
        <v>0</v>
      </c>
    </row>
    <row r="26" spans="1:19" ht="20.100000000000001" customHeight="1">
      <c r="A26" s="494" t="s">
        <v>220</v>
      </c>
      <c r="B26" s="887">
        <f t="shared" si="0"/>
        <v>0</v>
      </c>
      <c r="C26" s="888">
        <f t="shared" si="0"/>
        <v>45</v>
      </c>
      <c r="D26" s="892">
        <f t="shared" si="1"/>
        <v>0</v>
      </c>
      <c r="E26" s="703">
        <v>0</v>
      </c>
      <c r="F26" s="109">
        <v>2</v>
      </c>
      <c r="G26" s="892">
        <v>0</v>
      </c>
      <c r="H26" s="108">
        <v>0</v>
      </c>
      <c r="I26" s="109">
        <v>16</v>
      </c>
      <c r="J26" s="892">
        <v>0</v>
      </c>
      <c r="K26" s="703">
        <v>0</v>
      </c>
      <c r="L26" s="437">
        <v>8</v>
      </c>
      <c r="M26" s="892">
        <v>3</v>
      </c>
      <c r="N26" s="108">
        <v>0</v>
      </c>
      <c r="O26" s="109">
        <v>19</v>
      </c>
      <c r="P26" s="892">
        <v>1</v>
      </c>
      <c r="Q26" s="703">
        <v>0</v>
      </c>
      <c r="R26" s="109">
        <v>0</v>
      </c>
      <c r="S26" s="892">
        <v>0</v>
      </c>
    </row>
    <row r="27" spans="1:19" ht="20.100000000000001" customHeight="1">
      <c r="A27" s="494" t="s">
        <v>221</v>
      </c>
      <c r="B27" s="887">
        <f t="shared" si="0"/>
        <v>0</v>
      </c>
      <c r="C27" s="888">
        <f t="shared" si="0"/>
        <v>52</v>
      </c>
      <c r="D27" s="892">
        <f t="shared" si="1"/>
        <v>0</v>
      </c>
      <c r="E27" s="703">
        <v>0</v>
      </c>
      <c r="F27" s="109">
        <v>1</v>
      </c>
      <c r="G27" s="892">
        <v>0</v>
      </c>
      <c r="H27" s="108">
        <v>0</v>
      </c>
      <c r="I27" s="109">
        <v>31</v>
      </c>
      <c r="J27" s="892">
        <v>2</v>
      </c>
      <c r="K27" s="703">
        <v>0</v>
      </c>
      <c r="L27" s="437">
        <v>9</v>
      </c>
      <c r="M27" s="892">
        <v>0</v>
      </c>
      <c r="N27" s="108">
        <v>0</v>
      </c>
      <c r="O27" s="109">
        <v>11</v>
      </c>
      <c r="P27" s="892">
        <v>0</v>
      </c>
      <c r="Q27" s="703">
        <v>0</v>
      </c>
      <c r="R27" s="109">
        <v>0</v>
      </c>
      <c r="S27" s="892">
        <v>0</v>
      </c>
    </row>
    <row r="28" spans="1:19" ht="20.100000000000001" customHeight="1">
      <c r="A28" s="494" t="s">
        <v>598</v>
      </c>
      <c r="B28" s="887">
        <f t="shared" si="0"/>
        <v>1</v>
      </c>
      <c r="C28" s="888">
        <f t="shared" si="0"/>
        <v>42</v>
      </c>
      <c r="D28" s="892">
        <f t="shared" si="1"/>
        <v>1</v>
      </c>
      <c r="E28" s="703">
        <v>0</v>
      </c>
      <c r="F28" s="109">
        <v>1</v>
      </c>
      <c r="G28" s="892">
        <v>0</v>
      </c>
      <c r="H28" s="108">
        <v>0</v>
      </c>
      <c r="I28" s="109">
        <v>18</v>
      </c>
      <c r="J28" s="892">
        <v>2</v>
      </c>
      <c r="K28" s="703">
        <v>0</v>
      </c>
      <c r="L28" s="437">
        <v>10</v>
      </c>
      <c r="M28" s="892">
        <v>4</v>
      </c>
      <c r="N28" s="108">
        <v>1</v>
      </c>
      <c r="O28" s="109">
        <v>13</v>
      </c>
      <c r="P28" s="892">
        <v>0</v>
      </c>
      <c r="Q28" s="703">
        <v>0</v>
      </c>
      <c r="R28" s="109">
        <v>0</v>
      </c>
      <c r="S28" s="892">
        <v>0</v>
      </c>
    </row>
    <row r="29" spans="1:19" ht="20.100000000000001" customHeight="1">
      <c r="A29" s="494" t="s">
        <v>223</v>
      </c>
      <c r="B29" s="887">
        <f t="shared" si="0"/>
        <v>0</v>
      </c>
      <c r="C29" s="888">
        <f t="shared" si="0"/>
        <v>91</v>
      </c>
      <c r="D29" s="892">
        <f t="shared" si="1"/>
        <v>0</v>
      </c>
      <c r="E29" s="703">
        <v>0</v>
      </c>
      <c r="F29" s="109">
        <v>2</v>
      </c>
      <c r="G29" s="892">
        <v>0</v>
      </c>
      <c r="H29" s="108">
        <v>0</v>
      </c>
      <c r="I29" s="109">
        <v>40</v>
      </c>
      <c r="J29" s="892">
        <v>4</v>
      </c>
      <c r="K29" s="703">
        <v>0</v>
      </c>
      <c r="L29" s="437">
        <v>23</v>
      </c>
      <c r="M29" s="892">
        <v>4</v>
      </c>
      <c r="N29" s="108">
        <v>0</v>
      </c>
      <c r="O29" s="109">
        <v>26</v>
      </c>
      <c r="P29" s="892">
        <v>0</v>
      </c>
      <c r="Q29" s="703">
        <v>0</v>
      </c>
      <c r="R29" s="109">
        <v>0</v>
      </c>
      <c r="S29" s="892">
        <v>0</v>
      </c>
    </row>
    <row r="30" spans="1:19" ht="20.100000000000001" customHeight="1" thickBot="1">
      <c r="A30" s="736" t="s">
        <v>224</v>
      </c>
      <c r="B30" s="887">
        <f t="shared" si="0"/>
        <v>1</v>
      </c>
      <c r="C30" s="888">
        <f t="shared" si="0"/>
        <v>45</v>
      </c>
      <c r="D30" s="381">
        <f t="shared" si="1"/>
        <v>1</v>
      </c>
      <c r="E30" s="893">
        <v>0</v>
      </c>
      <c r="F30" s="113">
        <v>1</v>
      </c>
      <c r="G30" s="381">
        <v>0</v>
      </c>
      <c r="H30" s="112">
        <v>0</v>
      </c>
      <c r="I30" s="113">
        <v>15</v>
      </c>
      <c r="J30" s="381">
        <v>1</v>
      </c>
      <c r="K30" s="893">
        <v>1</v>
      </c>
      <c r="L30" s="440">
        <v>5</v>
      </c>
      <c r="M30" s="381">
        <v>1</v>
      </c>
      <c r="N30" s="112">
        <v>0</v>
      </c>
      <c r="O30" s="113">
        <v>24</v>
      </c>
      <c r="P30" s="381">
        <v>1</v>
      </c>
      <c r="Q30" s="893">
        <v>0</v>
      </c>
      <c r="R30" s="113">
        <v>0</v>
      </c>
      <c r="S30" s="381">
        <v>0</v>
      </c>
    </row>
    <row r="31" spans="1:19" ht="20.100000000000001" customHeight="1" thickBot="1">
      <c r="A31" s="486" t="s">
        <v>394</v>
      </c>
      <c r="B31" s="894">
        <f t="shared" ref="B31:S31" si="2">SUM(B7:B30)</f>
        <v>3</v>
      </c>
      <c r="C31" s="895">
        <f t="shared" si="2"/>
        <v>1142</v>
      </c>
      <c r="D31" s="896">
        <f t="shared" si="2"/>
        <v>2</v>
      </c>
      <c r="E31" s="897">
        <f t="shared" si="2"/>
        <v>1</v>
      </c>
      <c r="F31" s="895">
        <f t="shared" si="2"/>
        <v>63</v>
      </c>
      <c r="G31" s="896">
        <f t="shared" si="2"/>
        <v>2</v>
      </c>
      <c r="H31" s="894">
        <f t="shared" si="2"/>
        <v>0</v>
      </c>
      <c r="I31" s="895">
        <f t="shared" si="2"/>
        <v>430</v>
      </c>
      <c r="J31" s="896">
        <f t="shared" si="2"/>
        <v>27</v>
      </c>
      <c r="K31" s="897">
        <f t="shared" si="2"/>
        <v>1</v>
      </c>
      <c r="L31" s="895">
        <f t="shared" si="2"/>
        <v>255</v>
      </c>
      <c r="M31" s="896">
        <f t="shared" si="2"/>
        <v>41</v>
      </c>
      <c r="N31" s="894">
        <f t="shared" si="2"/>
        <v>1</v>
      </c>
      <c r="O31" s="895">
        <f t="shared" si="2"/>
        <v>391</v>
      </c>
      <c r="P31" s="896">
        <f t="shared" si="2"/>
        <v>15</v>
      </c>
      <c r="Q31" s="897">
        <f t="shared" si="2"/>
        <v>0</v>
      </c>
      <c r="R31" s="895">
        <f t="shared" si="2"/>
        <v>3</v>
      </c>
      <c r="S31" s="896">
        <f t="shared" si="2"/>
        <v>0</v>
      </c>
    </row>
    <row r="32" spans="1:19" ht="17.25" customHeight="1">
      <c r="A32" s="1393" t="s">
        <v>713</v>
      </c>
      <c r="B32" s="1862"/>
      <c r="C32" s="1862"/>
      <c r="D32" s="1862"/>
      <c r="E32" s="1862"/>
      <c r="F32" s="1862"/>
      <c r="G32" s="1862"/>
      <c r="H32" s="1862"/>
      <c r="I32" s="1862"/>
      <c r="J32" s="1862"/>
      <c r="K32" s="1862"/>
      <c r="L32" s="1862"/>
      <c r="M32" s="1862"/>
      <c r="N32" s="1862"/>
      <c r="O32" s="1862"/>
      <c r="P32" s="1862"/>
      <c r="Q32" s="1862"/>
      <c r="R32" s="1862"/>
      <c r="S32" s="43"/>
    </row>
  </sheetData>
  <mergeCells count="21">
    <mergeCell ref="Q2:S2"/>
    <mergeCell ref="B3:D4"/>
    <mergeCell ref="E3:S3"/>
    <mergeCell ref="E4:G4"/>
    <mergeCell ref="H4:J4"/>
    <mergeCell ref="K4:M4"/>
    <mergeCell ref="N4:P4"/>
    <mergeCell ref="Q4:S4"/>
    <mergeCell ref="A32:R32"/>
    <mergeCell ref="K5:K6"/>
    <mergeCell ref="L5:L6"/>
    <mergeCell ref="N5:N6"/>
    <mergeCell ref="O5:O6"/>
    <mergeCell ref="Q5:Q6"/>
    <mergeCell ref="R5:R6"/>
    <mergeCell ref="B5:B6"/>
    <mergeCell ref="C5:C6"/>
    <mergeCell ref="E5:E6"/>
    <mergeCell ref="F5:F6"/>
    <mergeCell ref="H5:H6"/>
    <mergeCell ref="I5:I6"/>
  </mergeCells>
  <phoneticPr fontId="3"/>
  <pageMargins left="0.69" right="0.39370078740157483" top="0.98425196850393704" bottom="0.98425196850393704" header="0.51181102362204722" footer="0.51181102362204722"/>
  <pageSetup paperSize="9" scale="68" orientation="portrait" r:id="rId1"/>
  <headerFooter alignWithMargins="0">
    <oddFooter>&amp;C－26－</oddFooter>
  </headerFooter>
  <colBreaks count="1" manualBreakCount="1">
    <brk id="19" max="30"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Normal="100" zoomScaleSheetLayoutView="100" workbookViewId="0">
      <selection activeCell="C32" sqref="C32"/>
    </sheetView>
  </sheetViews>
  <sheetFormatPr defaultRowHeight="14.25"/>
  <cols>
    <col min="1" max="1" width="2.625" style="2" customWidth="1"/>
    <col min="2" max="2" width="3" style="2" customWidth="1"/>
    <col min="3" max="3" width="30.5" style="2" customWidth="1"/>
    <col min="4" max="6" width="13.125" style="2" customWidth="1"/>
    <col min="7" max="7" width="14.625" style="2" customWidth="1"/>
    <col min="8" max="8" width="13.25" style="2" customWidth="1"/>
    <col min="9" max="16384" width="9" style="2"/>
  </cols>
  <sheetData>
    <row r="1" spans="1:7" ht="15">
      <c r="A1" s="70" t="s">
        <v>714</v>
      </c>
    </row>
    <row r="2" spans="1:7" ht="15" thickBot="1"/>
    <row r="3" spans="1:7" ht="9.75" customHeight="1" thickBot="1">
      <c r="A3" s="1790" t="s">
        <v>362</v>
      </c>
      <c r="B3" s="1897"/>
      <c r="C3" s="1905"/>
      <c r="D3" s="1546" t="s">
        <v>603</v>
      </c>
      <c r="E3" s="1817" t="s">
        <v>604</v>
      </c>
      <c r="F3" s="1818" t="s">
        <v>605</v>
      </c>
      <c r="G3" s="898"/>
    </row>
    <row r="4" spans="1:7">
      <c r="A4" s="1906"/>
      <c r="B4" s="1907"/>
      <c r="C4" s="1908"/>
      <c r="D4" s="1859"/>
      <c r="E4" s="1849"/>
      <c r="F4" s="1849"/>
      <c r="G4" s="1904" t="s">
        <v>950</v>
      </c>
    </row>
    <row r="5" spans="1:7" ht="15" thickBot="1">
      <c r="A5" s="1786" t="s">
        <v>676</v>
      </c>
      <c r="B5" s="1772"/>
      <c r="C5" s="1852"/>
      <c r="D5" s="1816"/>
      <c r="E5" s="1816"/>
      <c r="F5" s="1816"/>
      <c r="G5" s="1851"/>
    </row>
    <row r="6" spans="1:7" ht="20.100000000000001" customHeight="1">
      <c r="A6" s="488"/>
      <c r="B6" s="605" t="s">
        <v>497</v>
      </c>
      <c r="C6" s="586"/>
      <c r="D6" s="830">
        <v>0</v>
      </c>
      <c r="E6" s="830">
        <v>0</v>
      </c>
      <c r="F6" s="830">
        <v>0</v>
      </c>
      <c r="G6" s="830">
        <v>0</v>
      </c>
    </row>
    <row r="7" spans="1:7" ht="20.100000000000001" customHeight="1">
      <c r="A7" s="473"/>
      <c r="B7" s="584" t="s">
        <v>499</v>
      </c>
      <c r="C7" s="608"/>
      <c r="D7" s="832">
        <v>0</v>
      </c>
      <c r="E7" s="832">
        <v>0</v>
      </c>
      <c r="F7" s="832">
        <v>0</v>
      </c>
      <c r="G7" s="832">
        <v>0</v>
      </c>
    </row>
    <row r="8" spans="1:7" ht="20.100000000000001" customHeight="1">
      <c r="A8" s="473"/>
      <c r="B8" s="1819" t="s">
        <v>606</v>
      </c>
      <c r="C8" s="608" t="s">
        <v>607</v>
      </c>
      <c r="D8" s="832">
        <v>0</v>
      </c>
      <c r="E8" s="832">
        <v>0</v>
      </c>
      <c r="F8" s="832">
        <v>0</v>
      </c>
      <c r="G8" s="832">
        <v>0</v>
      </c>
    </row>
    <row r="9" spans="1:7" ht="20.100000000000001" customHeight="1">
      <c r="A9" s="475" t="s">
        <v>522</v>
      </c>
      <c r="B9" s="1819"/>
      <c r="C9" s="608" t="s">
        <v>608</v>
      </c>
      <c r="D9" s="832">
        <v>0</v>
      </c>
      <c r="E9" s="832">
        <v>0</v>
      </c>
      <c r="F9" s="832">
        <v>0</v>
      </c>
      <c r="G9" s="832">
        <v>0</v>
      </c>
    </row>
    <row r="10" spans="1:7" ht="20.100000000000001" customHeight="1">
      <c r="A10" s="475"/>
      <c r="B10" s="1819"/>
      <c r="C10" s="608" t="s">
        <v>677</v>
      </c>
      <c r="D10" s="832">
        <v>0</v>
      </c>
      <c r="E10" s="832">
        <v>0</v>
      </c>
      <c r="F10" s="832">
        <v>0</v>
      </c>
      <c r="G10" s="832">
        <v>0</v>
      </c>
    </row>
    <row r="11" spans="1:7" ht="20.100000000000001" customHeight="1">
      <c r="A11" s="475" t="s">
        <v>526</v>
      </c>
      <c r="B11" s="1819"/>
      <c r="C11" s="608" t="s">
        <v>610</v>
      </c>
      <c r="D11" s="832">
        <v>0</v>
      </c>
      <c r="E11" s="832">
        <v>0</v>
      </c>
      <c r="F11" s="832">
        <v>0</v>
      </c>
      <c r="G11" s="832">
        <v>0</v>
      </c>
    </row>
    <row r="12" spans="1:7" ht="20.100000000000001" customHeight="1">
      <c r="A12" s="475"/>
      <c r="B12" s="1819"/>
      <c r="C12" s="608" t="s">
        <v>611</v>
      </c>
      <c r="D12" s="832">
        <v>0</v>
      </c>
      <c r="E12" s="832">
        <v>0</v>
      </c>
      <c r="F12" s="832">
        <v>0</v>
      </c>
      <c r="G12" s="832">
        <v>0</v>
      </c>
    </row>
    <row r="13" spans="1:7" ht="20.100000000000001" customHeight="1">
      <c r="A13" s="473" t="s">
        <v>612</v>
      </c>
      <c r="B13" s="584" t="s">
        <v>613</v>
      </c>
      <c r="C13" s="608"/>
      <c r="D13" s="832">
        <v>0</v>
      </c>
      <c r="E13" s="832">
        <v>0</v>
      </c>
      <c r="F13" s="832">
        <v>0</v>
      </c>
      <c r="G13" s="832">
        <v>0</v>
      </c>
    </row>
    <row r="14" spans="1:7" ht="20.100000000000001" customHeight="1">
      <c r="A14" s="473"/>
      <c r="B14" s="584" t="s">
        <v>530</v>
      </c>
      <c r="C14" s="608"/>
      <c r="D14" s="832">
        <v>0</v>
      </c>
      <c r="E14" s="832">
        <v>0</v>
      </c>
      <c r="F14" s="832">
        <v>0</v>
      </c>
      <c r="G14" s="832">
        <v>0</v>
      </c>
    </row>
    <row r="15" spans="1:7" ht="20.100000000000001" customHeight="1">
      <c r="A15" s="473"/>
      <c r="B15" s="584" t="s">
        <v>531</v>
      </c>
      <c r="C15" s="608"/>
      <c r="D15" s="832">
        <v>0</v>
      </c>
      <c r="E15" s="832">
        <v>0</v>
      </c>
      <c r="F15" s="832">
        <v>0</v>
      </c>
      <c r="G15" s="832">
        <v>0</v>
      </c>
    </row>
    <row r="16" spans="1:7" ht="20.100000000000001" customHeight="1" thickBot="1">
      <c r="A16" s="473"/>
      <c r="B16" s="584" t="s">
        <v>331</v>
      </c>
      <c r="C16" s="608"/>
      <c r="D16" s="832">
        <v>0</v>
      </c>
      <c r="E16" s="832">
        <v>0</v>
      </c>
      <c r="F16" s="832">
        <v>0</v>
      </c>
      <c r="G16" s="832">
        <v>0</v>
      </c>
    </row>
    <row r="17" spans="1:7" ht="20.100000000000001" customHeight="1">
      <c r="A17" s="484"/>
      <c r="B17" s="605" t="s">
        <v>497</v>
      </c>
      <c r="C17" s="586"/>
      <c r="D17" s="830">
        <v>18</v>
      </c>
      <c r="E17" s="830">
        <v>0</v>
      </c>
      <c r="F17" s="830">
        <v>18</v>
      </c>
      <c r="G17" s="830">
        <v>3</v>
      </c>
    </row>
    <row r="18" spans="1:7" ht="20.100000000000001" customHeight="1">
      <c r="A18" s="475" t="s">
        <v>614</v>
      </c>
      <c r="B18" s="584" t="s">
        <v>499</v>
      </c>
      <c r="C18" s="608"/>
      <c r="D18" s="832">
        <v>3</v>
      </c>
      <c r="E18" s="832">
        <v>0</v>
      </c>
      <c r="F18" s="832">
        <v>3</v>
      </c>
      <c r="G18" s="832">
        <v>0</v>
      </c>
    </row>
    <row r="19" spans="1:7" ht="20.100000000000001" customHeight="1">
      <c r="A19" s="475" t="s">
        <v>615</v>
      </c>
      <c r="B19" s="584" t="s">
        <v>616</v>
      </c>
      <c r="C19" s="608"/>
      <c r="D19" s="832">
        <v>0</v>
      </c>
      <c r="E19" s="832">
        <v>0</v>
      </c>
      <c r="F19" s="832">
        <v>0</v>
      </c>
      <c r="G19" s="832">
        <v>0</v>
      </c>
    </row>
    <row r="20" spans="1:7" ht="20.100000000000001" customHeight="1">
      <c r="A20" s="475" t="s">
        <v>500</v>
      </c>
      <c r="B20" s="584" t="s">
        <v>617</v>
      </c>
      <c r="C20" s="608"/>
      <c r="D20" s="832">
        <v>0</v>
      </c>
      <c r="E20" s="832">
        <v>0</v>
      </c>
      <c r="F20" s="832">
        <v>0</v>
      </c>
      <c r="G20" s="832">
        <v>0</v>
      </c>
    </row>
    <row r="21" spans="1:7" ht="20.100000000000001" customHeight="1">
      <c r="A21" s="475" t="s">
        <v>618</v>
      </c>
      <c r="B21" s="584" t="s">
        <v>619</v>
      </c>
      <c r="C21" s="608"/>
      <c r="D21" s="832">
        <v>0</v>
      </c>
      <c r="E21" s="832">
        <v>0</v>
      </c>
      <c r="F21" s="832">
        <v>0</v>
      </c>
      <c r="G21" s="832">
        <v>0</v>
      </c>
    </row>
    <row r="22" spans="1:7" ht="20.100000000000001" customHeight="1">
      <c r="A22" s="475" t="s">
        <v>620</v>
      </c>
      <c r="B22" s="584" t="s">
        <v>621</v>
      </c>
      <c r="C22" s="608"/>
      <c r="D22" s="832">
        <v>0</v>
      </c>
      <c r="E22" s="832">
        <v>0</v>
      </c>
      <c r="F22" s="832">
        <v>0</v>
      </c>
      <c r="G22" s="832">
        <v>0</v>
      </c>
    </row>
    <row r="23" spans="1:7" ht="20.100000000000001" customHeight="1">
      <c r="A23" s="475" t="s">
        <v>612</v>
      </c>
      <c r="B23" s="584" t="s">
        <v>511</v>
      </c>
      <c r="C23" s="608"/>
      <c r="D23" s="832">
        <v>14</v>
      </c>
      <c r="E23" s="832">
        <v>0</v>
      </c>
      <c r="F23" s="832">
        <v>17</v>
      </c>
      <c r="G23" s="832">
        <v>0</v>
      </c>
    </row>
    <row r="24" spans="1:7" ht="20.100000000000001" customHeight="1">
      <c r="A24" s="475"/>
      <c r="B24" s="584" t="s">
        <v>622</v>
      </c>
      <c r="C24" s="608"/>
      <c r="D24" s="832">
        <v>1</v>
      </c>
      <c r="E24" s="832">
        <v>0</v>
      </c>
      <c r="F24" s="832">
        <v>1</v>
      </c>
      <c r="G24" s="832">
        <v>0</v>
      </c>
    </row>
    <row r="25" spans="1:7" ht="20.100000000000001" customHeight="1">
      <c r="A25" s="475"/>
      <c r="B25" s="584" t="s">
        <v>520</v>
      </c>
      <c r="C25" s="608"/>
      <c r="D25" s="832">
        <v>49</v>
      </c>
      <c r="E25" s="832">
        <v>0</v>
      </c>
      <c r="F25" s="832">
        <v>53</v>
      </c>
      <c r="G25" s="832">
        <v>15</v>
      </c>
    </row>
    <row r="26" spans="1:7" ht="20.100000000000001" customHeight="1" thickBot="1">
      <c r="A26" s="475"/>
      <c r="B26" s="613" t="s">
        <v>331</v>
      </c>
      <c r="C26" s="611"/>
      <c r="D26" s="834">
        <v>45</v>
      </c>
      <c r="E26" s="834">
        <v>0</v>
      </c>
      <c r="F26" s="834">
        <v>50</v>
      </c>
      <c r="G26" s="834">
        <v>11</v>
      </c>
    </row>
    <row r="27" spans="1:7" ht="20.100000000000001" customHeight="1" thickBot="1">
      <c r="A27" s="562" t="s">
        <v>679</v>
      </c>
      <c r="B27" s="755"/>
      <c r="C27" s="573"/>
      <c r="D27" s="899">
        <v>840</v>
      </c>
      <c r="E27" s="899">
        <v>1</v>
      </c>
      <c r="F27" s="899">
        <v>1031</v>
      </c>
      <c r="G27" s="899">
        <v>97</v>
      </c>
    </row>
    <row r="28" spans="1:7" ht="20.100000000000001" customHeight="1" thickBot="1">
      <c r="A28" s="1339" t="s">
        <v>998</v>
      </c>
      <c r="B28" s="590"/>
      <c r="C28" s="590"/>
      <c r="D28" s="900">
        <f>SUM(D6:D27)</f>
        <v>970</v>
      </c>
      <c r="E28" s="900">
        <f>SUM(E6:E27)</f>
        <v>1</v>
      </c>
      <c r="F28" s="900">
        <f>SUM(F6:F27)</f>
        <v>1173</v>
      </c>
      <c r="G28" s="900">
        <f>SUM(G6:G27)</f>
        <v>126</v>
      </c>
    </row>
    <row r="29" spans="1:7" ht="19.5" customHeight="1">
      <c r="A29" s="1526" t="s">
        <v>368</v>
      </c>
      <c r="B29" s="1526"/>
      <c r="C29" s="483" t="s">
        <v>715</v>
      </c>
    </row>
  </sheetData>
  <mergeCells count="8">
    <mergeCell ref="F3:F5"/>
    <mergeCell ref="G4:G5"/>
    <mergeCell ref="A5:C5"/>
    <mergeCell ref="B8:B12"/>
    <mergeCell ref="A29:B29"/>
    <mergeCell ref="A3:C4"/>
    <mergeCell ref="D3:D5"/>
    <mergeCell ref="E3:E5"/>
  </mergeCells>
  <phoneticPr fontId="3"/>
  <pageMargins left="1.18" right="0.39370078740157483" top="0.98425196850393704" bottom="0.98425196850393704" header="0.51181102362204722" footer="0.51181102362204722"/>
  <pageSetup paperSize="9" scale="96" orientation="portrait" r:id="rId1"/>
  <headerFooter alignWithMargins="0">
    <oddFooter>&amp;C－27－</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view="pageBreakPreview" zoomScaleNormal="100" zoomScaleSheetLayoutView="100" workbookViewId="0">
      <selection activeCell="C18" sqref="C18"/>
    </sheetView>
  </sheetViews>
  <sheetFormatPr defaultRowHeight="14.25"/>
  <cols>
    <col min="1" max="1" width="1.625" style="2" customWidth="1"/>
    <col min="2" max="2" width="14.75" style="2" customWidth="1"/>
    <col min="3" max="15" width="6.625" style="2" customWidth="1"/>
    <col min="16" max="16" width="2.5" style="2" customWidth="1"/>
    <col min="17" max="16384" width="9" style="2"/>
  </cols>
  <sheetData>
    <row r="1" spans="1:15" ht="17.25" customHeight="1">
      <c r="A1" s="70" t="s">
        <v>716</v>
      </c>
      <c r="B1" s="70"/>
      <c r="C1" s="690"/>
      <c r="D1" s="690"/>
      <c r="E1" s="690"/>
      <c r="F1" s="690"/>
      <c r="G1" s="690"/>
      <c r="H1" s="690"/>
      <c r="I1" s="690"/>
      <c r="J1" s="690"/>
      <c r="K1" s="690"/>
    </row>
    <row r="2" spans="1:15">
      <c r="A2" s="901"/>
      <c r="B2" s="901"/>
      <c r="C2" s="902"/>
      <c r="D2" s="902"/>
      <c r="E2" s="902"/>
      <c r="F2" s="902"/>
      <c r="G2" s="902"/>
      <c r="H2" s="902"/>
      <c r="I2" s="690"/>
      <c r="J2" s="690"/>
      <c r="K2" s="690"/>
    </row>
    <row r="3" spans="1:15" ht="15.75" thickBot="1">
      <c r="A3" s="70" t="s">
        <v>717</v>
      </c>
      <c r="B3" s="70"/>
      <c r="C3" s="690"/>
      <c r="D3" s="690"/>
      <c r="E3" s="690"/>
      <c r="F3" s="690"/>
      <c r="G3" s="690"/>
      <c r="H3" s="690"/>
      <c r="I3" s="690"/>
      <c r="J3" s="690"/>
      <c r="K3" s="690"/>
    </row>
    <row r="4" spans="1:15" ht="19.5" customHeight="1">
      <c r="A4" s="1548" t="s">
        <v>356</v>
      </c>
      <c r="B4" s="1549"/>
      <c r="C4" s="1946" t="s">
        <v>549</v>
      </c>
      <c r="D4" s="1944" t="s">
        <v>718</v>
      </c>
      <c r="E4" s="1944" t="s">
        <v>719</v>
      </c>
      <c r="F4" s="1944" t="s">
        <v>683</v>
      </c>
      <c r="G4" s="1944" t="s">
        <v>684</v>
      </c>
      <c r="H4" s="1944" t="s">
        <v>685</v>
      </c>
      <c r="I4" s="1944" t="s">
        <v>686</v>
      </c>
      <c r="J4" s="1944" t="s">
        <v>358</v>
      </c>
      <c r="K4" s="1944" t="s">
        <v>359</v>
      </c>
      <c r="L4" s="1944" t="s">
        <v>720</v>
      </c>
      <c r="M4" s="1944" t="s">
        <v>721</v>
      </c>
      <c r="N4" s="1940" t="s">
        <v>688</v>
      </c>
      <c r="O4" s="1942" t="s">
        <v>361</v>
      </c>
    </row>
    <row r="5" spans="1:15" ht="17.25" customHeight="1">
      <c r="A5" s="903" t="s">
        <v>362</v>
      </c>
      <c r="B5" s="345"/>
      <c r="C5" s="1947"/>
      <c r="D5" s="1945"/>
      <c r="E5" s="1945"/>
      <c r="F5" s="1945"/>
      <c r="G5" s="1945"/>
      <c r="H5" s="1945"/>
      <c r="I5" s="1945"/>
      <c r="J5" s="1945"/>
      <c r="K5" s="1945"/>
      <c r="L5" s="1945"/>
      <c r="M5" s="1945"/>
      <c r="N5" s="1941"/>
      <c r="O5" s="1943"/>
    </row>
    <row r="6" spans="1:15" ht="27.75" customHeight="1">
      <c r="A6" s="1630" t="s">
        <v>181</v>
      </c>
      <c r="B6" s="1433"/>
      <c r="C6" s="103">
        <v>6692</v>
      </c>
      <c r="D6" s="83">
        <v>1389</v>
      </c>
      <c r="E6" s="775">
        <v>1361</v>
      </c>
      <c r="F6" s="82">
        <v>1294</v>
      </c>
      <c r="G6" s="86">
        <v>1261</v>
      </c>
      <c r="H6" s="86">
        <v>1309</v>
      </c>
      <c r="I6" s="904">
        <v>1217</v>
      </c>
      <c r="J6" s="109">
        <v>1096</v>
      </c>
      <c r="K6" s="86">
        <v>1170</v>
      </c>
      <c r="L6" s="86">
        <v>1111</v>
      </c>
      <c r="M6" s="86">
        <v>865</v>
      </c>
      <c r="N6" s="904">
        <v>813</v>
      </c>
      <c r="O6" s="380">
        <v>892</v>
      </c>
    </row>
    <row r="7" spans="1:15" ht="28.5" customHeight="1">
      <c r="A7" s="1630" t="s">
        <v>561</v>
      </c>
      <c r="B7" s="1433"/>
      <c r="C7" s="103">
        <v>176</v>
      </c>
      <c r="D7" s="83">
        <v>21</v>
      </c>
      <c r="E7" s="775">
        <v>11</v>
      </c>
      <c r="F7" s="82">
        <v>16</v>
      </c>
      <c r="G7" s="86">
        <v>28</v>
      </c>
      <c r="H7" s="86">
        <v>16</v>
      </c>
      <c r="I7" s="904">
        <v>18</v>
      </c>
      <c r="J7" s="109">
        <v>17</v>
      </c>
      <c r="K7" s="86">
        <v>15</v>
      </c>
      <c r="L7" s="86">
        <v>16</v>
      </c>
      <c r="M7" s="86">
        <v>16</v>
      </c>
      <c r="N7" s="904">
        <v>16</v>
      </c>
      <c r="O7" s="380">
        <v>12</v>
      </c>
    </row>
    <row r="8" spans="1:15" ht="27.75" customHeight="1">
      <c r="A8" s="1788" t="s">
        <v>562</v>
      </c>
      <c r="B8" s="1433"/>
      <c r="C8" s="105">
        <v>27</v>
      </c>
      <c r="D8" s="87">
        <v>1405</v>
      </c>
      <c r="E8" s="89">
        <v>1392</v>
      </c>
      <c r="F8" s="82">
        <v>1306</v>
      </c>
      <c r="G8" s="86">
        <v>1253</v>
      </c>
      <c r="H8" s="86">
        <v>1320</v>
      </c>
      <c r="I8" s="904">
        <v>1239</v>
      </c>
      <c r="J8" s="109">
        <v>1098</v>
      </c>
      <c r="K8" s="86">
        <v>1177</v>
      </c>
      <c r="L8" s="86">
        <v>1113</v>
      </c>
      <c r="M8" s="86">
        <v>876</v>
      </c>
      <c r="N8" s="904">
        <v>811</v>
      </c>
      <c r="O8" s="380">
        <v>899</v>
      </c>
    </row>
    <row r="9" spans="1:15" ht="27.75" customHeight="1">
      <c r="A9" s="783"/>
      <c r="B9" s="506" t="s">
        <v>928</v>
      </c>
      <c r="C9" s="456" t="s">
        <v>15</v>
      </c>
      <c r="D9" s="905" t="s">
        <v>634</v>
      </c>
      <c r="E9" s="457" t="s">
        <v>634</v>
      </c>
      <c r="F9" s="785" t="s">
        <v>634</v>
      </c>
      <c r="G9" s="906" t="s">
        <v>634</v>
      </c>
      <c r="H9" s="906" t="s">
        <v>634</v>
      </c>
      <c r="I9" s="907" t="s">
        <v>634</v>
      </c>
      <c r="J9" s="702" t="s">
        <v>634</v>
      </c>
      <c r="K9" s="86">
        <v>212</v>
      </c>
      <c r="L9" s="86">
        <v>182</v>
      </c>
      <c r="M9" s="86">
        <v>165</v>
      </c>
      <c r="N9" s="904">
        <v>166</v>
      </c>
      <c r="O9" s="380">
        <v>176</v>
      </c>
    </row>
    <row r="10" spans="1:15" ht="29.25" customHeight="1">
      <c r="A10" s="1630" t="s">
        <v>565</v>
      </c>
      <c r="B10" s="1433"/>
      <c r="C10" s="108">
        <v>280</v>
      </c>
      <c r="D10" s="86">
        <v>65</v>
      </c>
      <c r="E10" s="703">
        <v>51</v>
      </c>
      <c r="F10" s="109">
        <v>49</v>
      </c>
      <c r="G10" s="86">
        <v>51</v>
      </c>
      <c r="H10" s="86">
        <v>51</v>
      </c>
      <c r="I10" s="904">
        <v>49</v>
      </c>
      <c r="J10" s="109">
        <v>44</v>
      </c>
      <c r="K10" s="86">
        <v>44</v>
      </c>
      <c r="L10" s="86">
        <v>34</v>
      </c>
      <c r="M10" s="86">
        <v>37</v>
      </c>
      <c r="N10" s="904">
        <v>43</v>
      </c>
      <c r="O10" s="380">
        <v>40</v>
      </c>
    </row>
    <row r="11" spans="1:15" ht="39" customHeight="1" thickBot="1">
      <c r="A11" s="1775" t="s">
        <v>566</v>
      </c>
      <c r="B11" s="1823"/>
      <c r="C11" s="908">
        <f t="shared" ref="C11:O11" si="0">C7/C10*100</f>
        <v>62.857142857142854</v>
      </c>
      <c r="D11" s="909">
        <f t="shared" si="0"/>
        <v>32.307692307692307</v>
      </c>
      <c r="E11" s="909">
        <f t="shared" si="0"/>
        <v>21.568627450980394</v>
      </c>
      <c r="F11" s="909">
        <f t="shared" si="0"/>
        <v>32.653061224489797</v>
      </c>
      <c r="G11" s="909">
        <f t="shared" si="0"/>
        <v>54.901960784313729</v>
      </c>
      <c r="H11" s="910">
        <f t="shared" si="0"/>
        <v>31.372549019607842</v>
      </c>
      <c r="I11" s="910">
        <f t="shared" si="0"/>
        <v>36.734693877551024</v>
      </c>
      <c r="J11" s="910">
        <f t="shared" si="0"/>
        <v>38.636363636363633</v>
      </c>
      <c r="K11" s="911">
        <f t="shared" si="0"/>
        <v>34.090909090909086</v>
      </c>
      <c r="L11" s="911">
        <f t="shared" si="0"/>
        <v>47.058823529411761</v>
      </c>
      <c r="M11" s="911">
        <f t="shared" si="0"/>
        <v>43.243243243243242</v>
      </c>
      <c r="N11" s="912">
        <f t="shared" si="0"/>
        <v>37.209302325581397</v>
      </c>
      <c r="O11" s="913">
        <f t="shared" si="0"/>
        <v>30</v>
      </c>
    </row>
    <row r="12" spans="1:15">
      <c r="A12" s="9" t="s">
        <v>722</v>
      </c>
      <c r="B12" s="9"/>
      <c r="C12" s="708"/>
      <c r="D12" s="708"/>
      <c r="E12" s="708"/>
      <c r="F12" s="708"/>
      <c r="G12" s="708"/>
      <c r="H12" s="708"/>
      <c r="I12" s="708"/>
      <c r="J12" s="708"/>
      <c r="K12" s="708"/>
      <c r="L12" s="9"/>
    </row>
    <row r="13" spans="1:15">
      <c r="A13" s="1862" t="s">
        <v>723</v>
      </c>
      <c r="B13" s="1863"/>
      <c r="C13" s="1863"/>
      <c r="D13" s="1863"/>
      <c r="E13" s="1863"/>
      <c r="F13" s="1863"/>
      <c r="G13" s="1863"/>
      <c r="H13" s="1863"/>
      <c r="I13" s="1863"/>
      <c r="J13" s="1863"/>
      <c r="K13" s="1863"/>
      <c r="L13" s="1863"/>
      <c r="M13" s="1863"/>
      <c r="N13" s="1863"/>
      <c r="O13" s="1863"/>
    </row>
    <row r="14" spans="1:15" ht="31.5" customHeight="1">
      <c r="C14" s="708"/>
      <c r="D14" s="708"/>
      <c r="E14" s="708"/>
      <c r="F14" s="708"/>
      <c r="G14" s="708"/>
      <c r="H14" s="708"/>
      <c r="I14" s="708"/>
      <c r="J14" s="708"/>
      <c r="K14" s="708"/>
      <c r="L14" s="708"/>
      <c r="M14" s="9"/>
    </row>
    <row r="15" spans="1:15" ht="15.75" thickBot="1">
      <c r="A15" s="708"/>
      <c r="B15" s="708"/>
      <c r="C15" s="70" t="s">
        <v>724</v>
      </c>
    </row>
    <row r="16" spans="1:15" ht="8.25" customHeight="1">
      <c r="A16" s="708"/>
      <c r="B16" s="708"/>
      <c r="C16" s="914"/>
      <c r="D16" s="760"/>
      <c r="E16" s="4"/>
      <c r="F16" s="4"/>
      <c r="G16" s="1932" t="s">
        <v>382</v>
      </c>
      <c r="H16" s="1425" t="s">
        <v>689</v>
      </c>
      <c r="I16" s="1934"/>
      <c r="J16" s="1441" t="s">
        <v>725</v>
      </c>
      <c r="K16" s="1934"/>
      <c r="L16" s="1441" t="s">
        <v>726</v>
      </c>
      <c r="M16" s="1624"/>
      <c r="N16" s="1937"/>
      <c r="O16" s="1457"/>
    </row>
    <row r="17" spans="1:20" ht="42.75" customHeight="1" thickBot="1">
      <c r="A17" s="708"/>
      <c r="B17" s="708"/>
      <c r="C17" s="915" t="s">
        <v>727</v>
      </c>
      <c r="D17" s="916"/>
      <c r="E17" s="7"/>
      <c r="F17" s="7"/>
      <c r="G17" s="1933"/>
      <c r="H17" s="1935"/>
      <c r="I17" s="1936"/>
      <c r="J17" s="1523"/>
      <c r="K17" s="1936"/>
      <c r="L17" s="1523"/>
      <c r="M17" s="1936"/>
      <c r="N17" s="1938" t="s">
        <v>926</v>
      </c>
      <c r="O17" s="1939"/>
    </row>
    <row r="18" spans="1:20" ht="27" customHeight="1" thickBot="1">
      <c r="A18" s="708"/>
      <c r="B18" s="708"/>
      <c r="C18" s="589" t="s">
        <v>728</v>
      </c>
      <c r="D18" s="590"/>
      <c r="E18" s="590"/>
      <c r="F18" s="590"/>
      <c r="G18" s="917"/>
      <c r="H18" s="1921">
        <f>SUM(H19:I29)</f>
        <v>892</v>
      </c>
      <c r="I18" s="1922"/>
      <c r="J18" s="1923">
        <f>SUM(J19:K29)</f>
        <v>12</v>
      </c>
      <c r="K18" s="1924"/>
      <c r="L18" s="1925">
        <f>SUM(L19:M29)</f>
        <v>899</v>
      </c>
      <c r="M18" s="1922"/>
      <c r="N18" s="1923">
        <f>SUM(N19:O29)</f>
        <v>176</v>
      </c>
      <c r="O18" s="1926"/>
    </row>
    <row r="19" spans="1:20" ht="25.5" customHeight="1">
      <c r="A19" s="708"/>
      <c r="B19" s="708"/>
      <c r="C19" s="524"/>
      <c r="D19" s="918" t="s">
        <v>442</v>
      </c>
      <c r="E19" s="919"/>
      <c r="F19" s="492"/>
      <c r="G19" s="564"/>
      <c r="H19" s="1927">
        <v>102</v>
      </c>
      <c r="I19" s="1928"/>
      <c r="J19" s="1929">
        <v>1</v>
      </c>
      <c r="K19" s="1928"/>
      <c r="L19" s="1929">
        <v>104</v>
      </c>
      <c r="M19" s="1930"/>
      <c r="N19" s="1929">
        <v>11</v>
      </c>
      <c r="O19" s="1931"/>
      <c r="R19" s="69"/>
      <c r="S19" s="69"/>
      <c r="T19" s="69"/>
    </row>
    <row r="20" spans="1:20" ht="24.75" customHeight="1">
      <c r="A20" s="708"/>
      <c r="B20" s="708"/>
      <c r="C20" s="475" t="s">
        <v>729</v>
      </c>
      <c r="D20" s="584" t="s">
        <v>443</v>
      </c>
      <c r="E20" s="608"/>
      <c r="F20" s="608"/>
      <c r="G20" s="322"/>
      <c r="H20" s="1911">
        <v>156</v>
      </c>
      <c r="I20" s="1912"/>
      <c r="J20" s="1913">
        <v>1</v>
      </c>
      <c r="K20" s="1912"/>
      <c r="L20" s="1913">
        <v>156</v>
      </c>
      <c r="M20" s="1914"/>
      <c r="N20" s="1913">
        <v>18</v>
      </c>
      <c r="O20" s="1915"/>
      <c r="R20" s="69"/>
      <c r="S20" s="69"/>
      <c r="T20" s="69"/>
    </row>
    <row r="21" spans="1:20" ht="26.25" customHeight="1">
      <c r="A21" s="708"/>
      <c r="B21" s="708"/>
      <c r="C21" s="475"/>
      <c r="D21" s="920" t="s">
        <v>730</v>
      </c>
      <c r="E21" s="584" t="s">
        <v>445</v>
      </c>
      <c r="F21" s="492"/>
      <c r="G21" s="564"/>
      <c r="H21" s="1911">
        <v>253</v>
      </c>
      <c r="I21" s="1912"/>
      <c r="J21" s="1913">
        <v>5</v>
      </c>
      <c r="K21" s="1912"/>
      <c r="L21" s="1913">
        <v>253</v>
      </c>
      <c r="M21" s="1914"/>
      <c r="N21" s="1913">
        <v>67</v>
      </c>
      <c r="O21" s="1915"/>
      <c r="R21" s="69"/>
      <c r="S21" s="69"/>
      <c r="T21" s="69"/>
    </row>
    <row r="22" spans="1:20" ht="26.25" customHeight="1">
      <c r="A22" s="708"/>
      <c r="B22" s="708"/>
      <c r="C22" s="475" t="s">
        <v>731</v>
      </c>
      <c r="D22" s="920" t="s">
        <v>732</v>
      </c>
      <c r="E22" s="584" t="s">
        <v>446</v>
      </c>
      <c r="F22" s="608"/>
      <c r="G22" s="322"/>
      <c r="H22" s="1911">
        <v>21</v>
      </c>
      <c r="I22" s="1912"/>
      <c r="J22" s="1913">
        <v>0</v>
      </c>
      <c r="K22" s="1912"/>
      <c r="L22" s="1913">
        <v>22</v>
      </c>
      <c r="M22" s="1914"/>
      <c r="N22" s="1913">
        <v>8</v>
      </c>
      <c r="O22" s="1915"/>
      <c r="R22" s="69"/>
      <c r="S22" s="69"/>
      <c r="T22" s="69"/>
    </row>
    <row r="23" spans="1:20" ht="27" customHeight="1">
      <c r="A23" s="708"/>
      <c r="B23" s="708"/>
      <c r="C23" s="475"/>
      <c r="D23" s="920" t="s">
        <v>733</v>
      </c>
      <c r="E23" s="584" t="s">
        <v>734</v>
      </c>
      <c r="F23" s="492"/>
      <c r="G23" s="564"/>
      <c r="H23" s="1911">
        <v>3</v>
      </c>
      <c r="I23" s="1912"/>
      <c r="J23" s="1913">
        <v>0</v>
      </c>
      <c r="K23" s="1912"/>
      <c r="L23" s="1913">
        <v>3</v>
      </c>
      <c r="M23" s="1914"/>
      <c r="N23" s="1913">
        <v>1</v>
      </c>
      <c r="O23" s="1915"/>
      <c r="R23" s="69"/>
      <c r="S23" s="69"/>
      <c r="T23" s="69"/>
    </row>
    <row r="24" spans="1:20" ht="27" customHeight="1">
      <c r="A24" s="708"/>
      <c r="B24" s="708"/>
      <c r="C24" s="475" t="s">
        <v>500</v>
      </c>
      <c r="D24" s="921"/>
      <c r="E24" s="584" t="s">
        <v>331</v>
      </c>
      <c r="F24" s="608"/>
      <c r="G24" s="322"/>
      <c r="H24" s="1911">
        <v>178</v>
      </c>
      <c r="I24" s="1912"/>
      <c r="J24" s="1913">
        <v>3</v>
      </c>
      <c r="K24" s="1912"/>
      <c r="L24" s="1913">
        <v>176</v>
      </c>
      <c r="M24" s="1914"/>
      <c r="N24" s="1913">
        <v>36</v>
      </c>
      <c r="O24" s="1915"/>
      <c r="R24" s="69"/>
      <c r="S24" s="69"/>
      <c r="T24" s="69"/>
    </row>
    <row r="25" spans="1:20" ht="25.5" customHeight="1">
      <c r="A25" s="708"/>
      <c r="B25" s="708"/>
      <c r="C25" s="475"/>
      <c r="D25" s="584" t="s">
        <v>448</v>
      </c>
      <c r="E25" s="608"/>
      <c r="F25" s="492"/>
      <c r="G25" s="564"/>
      <c r="H25" s="1911">
        <v>1</v>
      </c>
      <c r="I25" s="1912"/>
      <c r="J25" s="1913">
        <v>0</v>
      </c>
      <c r="K25" s="1912"/>
      <c r="L25" s="1913">
        <v>1</v>
      </c>
      <c r="M25" s="1914"/>
      <c r="N25" s="1913">
        <v>0</v>
      </c>
      <c r="O25" s="1915"/>
      <c r="R25" s="69"/>
      <c r="S25" s="69"/>
      <c r="T25" s="69"/>
    </row>
    <row r="26" spans="1:20" ht="25.5" customHeight="1">
      <c r="A26" s="708"/>
      <c r="B26" s="708"/>
      <c r="C26" s="475" t="s">
        <v>505</v>
      </c>
      <c r="D26" s="584" t="s">
        <v>449</v>
      </c>
      <c r="E26" s="608"/>
      <c r="F26" s="608"/>
      <c r="G26" s="322"/>
      <c r="H26" s="1911">
        <v>14</v>
      </c>
      <c r="I26" s="1912"/>
      <c r="J26" s="1913">
        <v>0</v>
      </c>
      <c r="K26" s="1912"/>
      <c r="L26" s="1913">
        <v>15</v>
      </c>
      <c r="M26" s="1914"/>
      <c r="N26" s="1913">
        <v>2</v>
      </c>
      <c r="O26" s="1915"/>
      <c r="R26" s="69"/>
      <c r="S26" s="69"/>
      <c r="T26" s="69"/>
    </row>
    <row r="27" spans="1:20" ht="27.75" customHeight="1">
      <c r="A27" s="708"/>
      <c r="B27" s="708"/>
      <c r="C27" s="524"/>
      <c r="D27" s="584" t="s">
        <v>735</v>
      </c>
      <c r="E27" s="608"/>
      <c r="F27" s="492"/>
      <c r="G27" s="564"/>
      <c r="H27" s="1911">
        <v>26</v>
      </c>
      <c r="I27" s="1912"/>
      <c r="J27" s="1913">
        <v>0</v>
      </c>
      <c r="K27" s="1912"/>
      <c r="L27" s="1913">
        <v>27</v>
      </c>
      <c r="M27" s="1914"/>
      <c r="N27" s="1913">
        <v>3</v>
      </c>
      <c r="O27" s="1915"/>
      <c r="R27" s="69"/>
      <c r="S27" s="69"/>
      <c r="T27" s="69"/>
    </row>
    <row r="28" spans="1:20" ht="27.75" customHeight="1">
      <c r="A28" s="708"/>
      <c r="B28" s="708"/>
      <c r="C28" s="350"/>
      <c r="D28" s="613" t="s">
        <v>331</v>
      </c>
      <c r="E28" s="611"/>
      <c r="F28" s="608"/>
      <c r="G28" s="322"/>
      <c r="H28" s="1911">
        <v>138</v>
      </c>
      <c r="I28" s="1912"/>
      <c r="J28" s="1913">
        <v>2</v>
      </c>
      <c r="K28" s="1912"/>
      <c r="L28" s="1913">
        <v>142</v>
      </c>
      <c r="M28" s="1914"/>
      <c r="N28" s="1913">
        <v>30</v>
      </c>
      <c r="O28" s="1915"/>
      <c r="R28" s="69"/>
      <c r="S28" s="69"/>
      <c r="T28" s="69"/>
    </row>
    <row r="29" spans="1:20" ht="27.75" customHeight="1" thickBot="1">
      <c r="A29" s="708"/>
      <c r="B29" s="708"/>
      <c r="C29" s="922" t="s">
        <v>736</v>
      </c>
      <c r="D29" s="923"/>
      <c r="E29" s="923"/>
      <c r="F29" s="571"/>
      <c r="G29" s="567"/>
      <c r="H29" s="1916">
        <v>0</v>
      </c>
      <c r="I29" s="1917"/>
      <c r="J29" s="1918">
        <v>0</v>
      </c>
      <c r="K29" s="1917"/>
      <c r="L29" s="1918">
        <v>0</v>
      </c>
      <c r="M29" s="1919"/>
      <c r="N29" s="1918">
        <v>0</v>
      </c>
      <c r="O29" s="1920"/>
      <c r="R29" s="69"/>
      <c r="S29" s="69"/>
      <c r="T29" s="69"/>
    </row>
    <row r="30" spans="1:20" ht="20.25" customHeight="1">
      <c r="A30" s="708"/>
      <c r="B30" s="708"/>
      <c r="C30" s="1909" t="s">
        <v>737</v>
      </c>
      <c r="D30" s="1910"/>
      <c r="E30" s="1910"/>
      <c r="F30" s="1910"/>
      <c r="G30" s="1910"/>
      <c r="H30" s="1910"/>
      <c r="I30" s="1910"/>
      <c r="J30" s="1910"/>
      <c r="K30" s="1910"/>
      <c r="L30" s="1910"/>
      <c r="M30" s="1910"/>
      <c r="N30" s="1910"/>
      <c r="O30" s="924"/>
    </row>
    <row r="31" spans="1:20">
      <c r="A31" s="708"/>
      <c r="B31" s="708"/>
      <c r="C31" s="708"/>
      <c r="D31" s="708"/>
      <c r="E31" s="708"/>
      <c r="F31" s="708"/>
      <c r="G31" s="708"/>
      <c r="H31" s="708"/>
      <c r="I31" s="708"/>
      <c r="J31" s="708"/>
      <c r="K31" s="708"/>
      <c r="L31" s="9"/>
    </row>
    <row r="32" spans="1:20">
      <c r="A32" s="690"/>
      <c r="B32" s="690"/>
      <c r="C32" s="690"/>
      <c r="D32" s="690"/>
      <c r="E32" s="690"/>
      <c r="F32" s="690"/>
      <c r="G32" s="690"/>
      <c r="H32" s="690"/>
      <c r="I32" s="690"/>
      <c r="J32" s="690"/>
      <c r="K32" s="690"/>
    </row>
    <row r="33" spans="1:2">
      <c r="A33" s="690"/>
      <c r="B33" s="690"/>
    </row>
    <row r="34" spans="1:2">
      <c r="A34" s="690"/>
      <c r="B34" s="690"/>
    </row>
    <row r="35" spans="1:2">
      <c r="A35" s="690"/>
      <c r="B35" s="690"/>
    </row>
    <row r="36" spans="1:2">
      <c r="A36" s="690"/>
      <c r="B36" s="690"/>
    </row>
  </sheetData>
  <mergeCells count="75">
    <mergeCell ref="A10:B10"/>
    <mergeCell ref="H4:H5"/>
    <mergeCell ref="I4:I5"/>
    <mergeCell ref="J4:J5"/>
    <mergeCell ref="K4:K5"/>
    <mergeCell ref="A4:B4"/>
    <mergeCell ref="C4:C5"/>
    <mergeCell ref="D4:D5"/>
    <mergeCell ref="E4:E5"/>
    <mergeCell ref="F4:F5"/>
    <mergeCell ref="G4:G5"/>
    <mergeCell ref="N4:N5"/>
    <mergeCell ref="O4:O5"/>
    <mergeCell ref="A6:B6"/>
    <mergeCell ref="A7:B7"/>
    <mergeCell ref="A8:B8"/>
    <mergeCell ref="L4:L5"/>
    <mergeCell ref="M4:M5"/>
    <mergeCell ref="A11:B11"/>
    <mergeCell ref="A13:O13"/>
    <mergeCell ref="G16:G17"/>
    <mergeCell ref="H16:I17"/>
    <mergeCell ref="J16:K17"/>
    <mergeCell ref="L16:M17"/>
    <mergeCell ref="N16:O16"/>
    <mergeCell ref="N17:O17"/>
    <mergeCell ref="H18:I18"/>
    <mergeCell ref="J18:K18"/>
    <mergeCell ref="L18:M18"/>
    <mergeCell ref="N18:O18"/>
    <mergeCell ref="H19:I19"/>
    <mergeCell ref="J19:K19"/>
    <mergeCell ref="L19:M19"/>
    <mergeCell ref="N19:O19"/>
    <mergeCell ref="H20:I20"/>
    <mergeCell ref="J20:K20"/>
    <mergeCell ref="L20:M20"/>
    <mergeCell ref="N20:O20"/>
    <mergeCell ref="H21:I21"/>
    <mergeCell ref="J21:K21"/>
    <mergeCell ref="L21:M21"/>
    <mergeCell ref="N21:O21"/>
    <mergeCell ref="H22:I22"/>
    <mergeCell ref="J22:K22"/>
    <mergeCell ref="L22:M22"/>
    <mergeCell ref="N22:O22"/>
    <mergeCell ref="H23:I23"/>
    <mergeCell ref="J23:K23"/>
    <mergeCell ref="L23:M23"/>
    <mergeCell ref="N23:O23"/>
    <mergeCell ref="H24:I24"/>
    <mergeCell ref="J24:K24"/>
    <mergeCell ref="L24:M24"/>
    <mergeCell ref="N24:O24"/>
    <mergeCell ref="H25:I25"/>
    <mergeCell ref="J25:K25"/>
    <mergeCell ref="L25:M25"/>
    <mergeCell ref="N25:O25"/>
    <mergeCell ref="H26:I26"/>
    <mergeCell ref="J26:K26"/>
    <mergeCell ref="L26:M26"/>
    <mergeCell ref="N26:O26"/>
    <mergeCell ref="H27:I27"/>
    <mergeCell ref="J27:K27"/>
    <mergeCell ref="L27:M27"/>
    <mergeCell ref="N27:O27"/>
    <mergeCell ref="C30:N30"/>
    <mergeCell ref="H28:I28"/>
    <mergeCell ref="J28:K28"/>
    <mergeCell ref="L28:M28"/>
    <mergeCell ref="N28:O28"/>
    <mergeCell ref="H29:I29"/>
    <mergeCell ref="J29:K29"/>
    <mergeCell ref="L29:M29"/>
    <mergeCell ref="N29:O29"/>
  </mergeCells>
  <phoneticPr fontId="3"/>
  <pageMargins left="0.63" right="0.36" top="0.98425196850393704" bottom="0.19685039370078741" header="0.51181102362204722" footer="0.51181102362204722"/>
  <pageSetup paperSize="9" scale="92"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view="pageBreakPreview" zoomScaleNormal="100" zoomScaleSheetLayoutView="100" zoomScalePageLayoutView="70" workbookViewId="0">
      <selection activeCell="G10" sqref="G10"/>
    </sheetView>
  </sheetViews>
  <sheetFormatPr defaultRowHeight="14.25"/>
  <cols>
    <col min="1" max="1" width="1.75" style="2" customWidth="1"/>
    <col min="2" max="2" width="17.125" style="2" customWidth="1"/>
    <col min="3" max="14" width="5.625" style="2" customWidth="1"/>
    <col min="15" max="15" width="7.125" style="2" customWidth="1"/>
    <col min="16" max="18" width="5.625" style="2" customWidth="1"/>
    <col min="19" max="16384" width="9" style="2"/>
  </cols>
  <sheetData>
    <row r="1" spans="1:15" ht="15.75" thickBot="1">
      <c r="A1" s="70" t="s">
        <v>738</v>
      </c>
      <c r="B1" s="70"/>
    </row>
    <row r="2" spans="1:15">
      <c r="A2" s="1548" t="s">
        <v>739</v>
      </c>
      <c r="B2" s="1549"/>
      <c r="C2" s="1408">
        <v>1</v>
      </c>
      <c r="D2" s="1705">
        <v>2</v>
      </c>
      <c r="E2" s="1705">
        <v>3</v>
      </c>
      <c r="F2" s="1705">
        <v>4</v>
      </c>
      <c r="G2" s="1705">
        <v>5</v>
      </c>
      <c r="H2" s="1705">
        <v>6</v>
      </c>
      <c r="I2" s="1705">
        <v>7</v>
      </c>
      <c r="J2" s="1705">
        <v>8</v>
      </c>
      <c r="K2" s="1705">
        <v>9</v>
      </c>
      <c r="L2" s="1705">
        <v>10</v>
      </c>
      <c r="M2" s="1705">
        <v>11</v>
      </c>
      <c r="N2" s="1705">
        <v>12</v>
      </c>
      <c r="O2" s="1951" t="s">
        <v>997</v>
      </c>
    </row>
    <row r="3" spans="1:15" ht="18" customHeight="1" thickBot="1">
      <c r="A3" s="137" t="s">
        <v>740</v>
      </c>
      <c r="B3" s="6"/>
      <c r="C3" s="1950"/>
      <c r="D3" s="1949"/>
      <c r="E3" s="1949"/>
      <c r="F3" s="1949"/>
      <c r="G3" s="1949"/>
      <c r="H3" s="1949"/>
      <c r="I3" s="1949"/>
      <c r="J3" s="1949"/>
      <c r="K3" s="1949"/>
      <c r="L3" s="1949"/>
      <c r="M3" s="1949"/>
      <c r="N3" s="1949"/>
      <c r="O3" s="1952"/>
    </row>
    <row r="4" spans="1:15" ht="29.25" customHeight="1">
      <c r="A4" s="1646" t="s">
        <v>741</v>
      </c>
      <c r="B4" s="1417"/>
      <c r="C4" s="709">
        <v>77</v>
      </c>
      <c r="D4" s="74">
        <v>57</v>
      </c>
      <c r="E4" s="74">
        <v>74</v>
      </c>
      <c r="F4" s="74">
        <v>74</v>
      </c>
      <c r="G4" s="74">
        <v>77</v>
      </c>
      <c r="H4" s="74">
        <v>79</v>
      </c>
      <c r="I4" s="74">
        <v>70</v>
      </c>
      <c r="J4" s="74">
        <v>65</v>
      </c>
      <c r="K4" s="74">
        <v>67</v>
      </c>
      <c r="L4" s="74">
        <v>91</v>
      </c>
      <c r="M4" s="74">
        <v>68</v>
      </c>
      <c r="N4" s="74">
        <v>93</v>
      </c>
      <c r="O4" s="925">
        <f>SUM(C4:N4)</f>
        <v>892</v>
      </c>
    </row>
    <row r="5" spans="1:15" ht="30" customHeight="1">
      <c r="A5" s="1788" t="s">
        <v>742</v>
      </c>
      <c r="B5" s="1948"/>
      <c r="C5" s="108">
        <v>0</v>
      </c>
      <c r="D5" s="86">
        <v>1</v>
      </c>
      <c r="E5" s="86">
        <v>0</v>
      </c>
      <c r="F5" s="86">
        <v>1</v>
      </c>
      <c r="G5" s="86">
        <v>0</v>
      </c>
      <c r="H5" s="86">
        <v>2</v>
      </c>
      <c r="I5" s="86">
        <v>1</v>
      </c>
      <c r="J5" s="86">
        <v>2</v>
      </c>
      <c r="K5" s="86">
        <v>0</v>
      </c>
      <c r="L5" s="86">
        <v>1</v>
      </c>
      <c r="M5" s="86">
        <v>3</v>
      </c>
      <c r="N5" s="86">
        <v>1</v>
      </c>
      <c r="O5" s="926">
        <f>SUM(C5:N5)</f>
        <v>12</v>
      </c>
    </row>
    <row r="6" spans="1:15" ht="30.75" customHeight="1">
      <c r="A6" s="1788" t="s">
        <v>743</v>
      </c>
      <c r="B6" s="1948"/>
      <c r="C6" s="112">
        <v>78</v>
      </c>
      <c r="D6" s="80">
        <v>57</v>
      </c>
      <c r="E6" s="80">
        <v>78</v>
      </c>
      <c r="F6" s="80">
        <v>74</v>
      </c>
      <c r="G6" s="80">
        <v>81</v>
      </c>
      <c r="H6" s="80">
        <v>78</v>
      </c>
      <c r="I6" s="80">
        <v>72</v>
      </c>
      <c r="J6" s="80">
        <v>63</v>
      </c>
      <c r="K6" s="80">
        <v>69</v>
      </c>
      <c r="L6" s="80">
        <v>91</v>
      </c>
      <c r="M6" s="80">
        <v>66</v>
      </c>
      <c r="N6" s="80">
        <v>92</v>
      </c>
      <c r="O6" s="927">
        <f>SUM(C6:N6)</f>
        <v>899</v>
      </c>
    </row>
    <row r="7" spans="1:15" ht="30.75" customHeight="1" thickBot="1">
      <c r="A7" s="928"/>
      <c r="B7" s="1355" t="s">
        <v>926</v>
      </c>
      <c r="C7" s="372">
        <v>19</v>
      </c>
      <c r="D7" s="375">
        <v>14</v>
      </c>
      <c r="E7" s="375">
        <v>8</v>
      </c>
      <c r="F7" s="375">
        <v>16</v>
      </c>
      <c r="G7" s="375">
        <v>11</v>
      </c>
      <c r="H7" s="375">
        <v>11</v>
      </c>
      <c r="I7" s="375">
        <v>21</v>
      </c>
      <c r="J7" s="375">
        <v>12</v>
      </c>
      <c r="K7" s="375">
        <v>15</v>
      </c>
      <c r="L7" s="375">
        <v>18</v>
      </c>
      <c r="M7" s="375">
        <v>11</v>
      </c>
      <c r="N7" s="375">
        <v>20</v>
      </c>
      <c r="O7" s="929">
        <f>SUM(C7:N7)</f>
        <v>176</v>
      </c>
    </row>
    <row r="8" spans="1:15" ht="20.100000000000001" customHeight="1">
      <c r="A8" s="492" t="s">
        <v>744</v>
      </c>
      <c r="B8" s="492"/>
    </row>
    <row r="9" spans="1:15" ht="20.100000000000001" customHeight="1">
      <c r="A9" s="930"/>
      <c r="B9" s="930"/>
    </row>
    <row r="10" spans="1:15" ht="20.100000000000001" customHeight="1">
      <c r="A10" s="930"/>
      <c r="B10" s="930"/>
    </row>
    <row r="11" spans="1:15" ht="20.100000000000001" customHeight="1"/>
    <row r="12" spans="1:15" ht="20.100000000000001" customHeight="1"/>
    <row r="13" spans="1:15" ht="20.100000000000001" customHeight="1"/>
    <row r="14" spans="1:15" ht="20.100000000000001" customHeight="1"/>
    <row r="15" spans="1:15" ht="20.100000000000001" customHeight="1"/>
    <row r="16" spans="1:15" ht="20.100000000000001" customHeight="1"/>
    <row r="17" ht="20.100000000000001" customHeight="1"/>
    <row r="18" ht="20.100000000000001" customHeight="1"/>
    <row r="19" ht="20.100000000000001" customHeight="1"/>
    <row r="23" ht="18" customHeight="1"/>
    <row r="24" ht="18" customHeight="1"/>
    <row r="25" ht="18" customHeight="1"/>
    <row r="26" ht="18" customHeight="1"/>
    <row r="27" ht="18" customHeight="1"/>
    <row r="28" ht="18" customHeight="1"/>
  </sheetData>
  <mergeCells count="17">
    <mergeCell ref="N2:N3"/>
    <mergeCell ref="O2:O3"/>
    <mergeCell ref="A4:B4"/>
    <mergeCell ref="A5:B5"/>
    <mergeCell ref="L2:L3"/>
    <mergeCell ref="M2:M3"/>
    <mergeCell ref="A6:B6"/>
    <mergeCell ref="H2:H3"/>
    <mergeCell ref="I2:I3"/>
    <mergeCell ref="J2:J3"/>
    <mergeCell ref="K2:K3"/>
    <mergeCell ref="A2:B2"/>
    <mergeCell ref="C2:C3"/>
    <mergeCell ref="D2:D3"/>
    <mergeCell ref="E2:E3"/>
    <mergeCell ref="F2:F3"/>
    <mergeCell ref="G2:G3"/>
  </mergeCells>
  <phoneticPr fontId="3"/>
  <pageMargins left="0.98425196850393704" right="0.39370078740157483" top="0.98425196850393704" bottom="0.98425196850393704" header="0.51181102362204722" footer="0.51181102362204722"/>
  <pageSetup paperSize="9" scale="96" orientation="portrait" r:id="rId1"/>
  <headerFooter alignWithMargins="0">
    <oddFooter>&amp;C－29－</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Normal="100" zoomScaleSheetLayoutView="100" workbookViewId="0">
      <selection activeCell="E25" sqref="E25"/>
    </sheetView>
  </sheetViews>
  <sheetFormatPr defaultRowHeight="14.25"/>
  <cols>
    <col min="1" max="1" width="9.75" style="2" customWidth="1"/>
    <col min="2" max="17" width="7.125" style="2" customWidth="1"/>
    <col min="18" max="16384" width="9" style="2"/>
  </cols>
  <sheetData>
    <row r="1" spans="1:17" ht="15">
      <c r="A1" s="70" t="s">
        <v>745</v>
      </c>
    </row>
    <row r="2" spans="1:17" ht="15.75" thickBot="1">
      <c r="A2" s="70" t="s">
        <v>746</v>
      </c>
    </row>
    <row r="3" spans="1:17" ht="9.75" customHeight="1" thickBot="1">
      <c r="A3" s="931" t="s">
        <v>495</v>
      </c>
      <c r="B3" s="1425" t="s">
        <v>351</v>
      </c>
      <c r="C3" s="1453"/>
      <c r="D3" s="1453"/>
      <c r="E3" s="1954" t="s">
        <v>428</v>
      </c>
      <c r="F3" s="1425" t="s">
        <v>747</v>
      </c>
      <c r="G3" s="1453"/>
      <c r="H3" s="1453"/>
      <c r="I3" s="1954" t="s">
        <v>431</v>
      </c>
      <c r="J3" s="1425" t="s">
        <v>353</v>
      </c>
      <c r="K3" s="1453"/>
      <c r="L3" s="1453"/>
      <c r="M3" s="1672" t="s">
        <v>431</v>
      </c>
      <c r="N3" s="1674"/>
      <c r="O3" s="1396"/>
      <c r="P3" s="1396"/>
      <c r="Q3" s="932"/>
    </row>
    <row r="4" spans="1:17">
      <c r="A4" s="933"/>
      <c r="B4" s="1591"/>
      <c r="C4" s="1629"/>
      <c r="D4" s="1629"/>
      <c r="E4" s="1955"/>
      <c r="F4" s="1591"/>
      <c r="G4" s="1629"/>
      <c r="H4" s="1629"/>
      <c r="I4" s="1955"/>
      <c r="J4" s="1591"/>
      <c r="K4" s="1629"/>
      <c r="L4" s="1629"/>
      <c r="M4" s="1683"/>
      <c r="N4" s="1646" t="s">
        <v>920</v>
      </c>
      <c r="O4" s="1953"/>
      <c r="P4" s="1953"/>
      <c r="Q4" s="934" t="s">
        <v>748</v>
      </c>
    </row>
    <row r="5" spans="1:17">
      <c r="A5" s="935"/>
      <c r="B5" s="736" t="s">
        <v>599</v>
      </c>
      <c r="C5" s="312"/>
      <c r="D5" s="312"/>
      <c r="E5" s="312"/>
      <c r="F5" s="736" t="s">
        <v>599</v>
      </c>
      <c r="G5" s="312"/>
      <c r="H5" s="312"/>
      <c r="I5" s="312"/>
      <c r="J5" s="736" t="s">
        <v>599</v>
      </c>
      <c r="K5" s="611"/>
      <c r="L5" s="611"/>
      <c r="M5" s="936"/>
      <c r="N5" s="736" t="s">
        <v>599</v>
      </c>
      <c r="O5" s="611"/>
      <c r="P5" s="611"/>
      <c r="Q5" s="936"/>
    </row>
    <row r="6" spans="1:17" ht="22.5" customHeight="1" thickBot="1">
      <c r="A6" s="937" t="s">
        <v>749</v>
      </c>
      <c r="B6" s="524"/>
      <c r="C6" s="245" t="s">
        <v>750</v>
      </c>
      <c r="D6" s="230" t="s">
        <v>751</v>
      </c>
      <c r="E6" s="230" t="s">
        <v>266</v>
      </c>
      <c r="F6" s="938"/>
      <c r="G6" s="939" t="s">
        <v>752</v>
      </c>
      <c r="H6" s="940" t="s">
        <v>753</v>
      </c>
      <c r="I6" s="940" t="s">
        <v>377</v>
      </c>
      <c r="J6" s="938"/>
      <c r="K6" s="939" t="s">
        <v>752</v>
      </c>
      <c r="L6" s="940" t="s">
        <v>753</v>
      </c>
      <c r="M6" s="941" t="s">
        <v>377</v>
      </c>
      <c r="N6" s="938"/>
      <c r="O6" s="939" t="s">
        <v>752</v>
      </c>
      <c r="P6" s="940" t="s">
        <v>753</v>
      </c>
      <c r="Q6" s="941" t="s">
        <v>377</v>
      </c>
    </row>
    <row r="7" spans="1:17" ht="20.100000000000001" customHeight="1">
      <c r="A7" s="493" t="s">
        <v>185</v>
      </c>
      <c r="B7" s="714">
        <f t="shared" ref="B7:B30" si="0">SUM(C7:E7)</f>
        <v>103</v>
      </c>
      <c r="C7" s="74">
        <v>36</v>
      </c>
      <c r="D7" s="74">
        <v>52</v>
      </c>
      <c r="E7" s="694">
        <v>15</v>
      </c>
      <c r="F7" s="714">
        <f t="shared" ref="F7:F30" si="1">SUM(G7:I7)</f>
        <v>0</v>
      </c>
      <c r="G7" s="74">
        <v>0</v>
      </c>
      <c r="H7" s="74">
        <v>0</v>
      </c>
      <c r="I7" s="710">
        <v>0</v>
      </c>
      <c r="J7" s="883">
        <f t="shared" ref="J7:J30" si="2">SUM(K7:M7)</f>
        <v>105</v>
      </c>
      <c r="K7" s="74">
        <v>36</v>
      </c>
      <c r="L7" s="74">
        <v>54</v>
      </c>
      <c r="M7" s="710">
        <v>15</v>
      </c>
      <c r="N7" s="883">
        <f t="shared" ref="N7:N30" si="3">SUM(O7:Q7)</f>
        <v>18</v>
      </c>
      <c r="O7" s="74">
        <v>5</v>
      </c>
      <c r="P7" s="74">
        <v>9</v>
      </c>
      <c r="Q7" s="710">
        <v>4</v>
      </c>
    </row>
    <row r="8" spans="1:17" ht="20.100000000000001" customHeight="1">
      <c r="A8" s="494" t="s">
        <v>187</v>
      </c>
      <c r="B8" s="942">
        <f t="shared" si="0"/>
        <v>42</v>
      </c>
      <c r="C8" s="86">
        <v>16</v>
      </c>
      <c r="D8" s="86">
        <v>20</v>
      </c>
      <c r="E8" s="109">
        <v>6</v>
      </c>
      <c r="F8" s="942">
        <f t="shared" si="1"/>
        <v>1</v>
      </c>
      <c r="G8" s="86">
        <v>0</v>
      </c>
      <c r="H8" s="86">
        <v>1</v>
      </c>
      <c r="I8" s="380">
        <v>0</v>
      </c>
      <c r="J8" s="943">
        <f t="shared" si="2"/>
        <v>42</v>
      </c>
      <c r="K8" s="86">
        <v>16</v>
      </c>
      <c r="L8" s="86">
        <v>19</v>
      </c>
      <c r="M8" s="380">
        <v>7</v>
      </c>
      <c r="N8" s="943">
        <f t="shared" si="3"/>
        <v>7</v>
      </c>
      <c r="O8" s="86">
        <v>2</v>
      </c>
      <c r="P8" s="86">
        <v>4</v>
      </c>
      <c r="Q8" s="380">
        <v>1</v>
      </c>
    </row>
    <row r="9" spans="1:17" ht="20.100000000000001" customHeight="1">
      <c r="A9" s="494" t="s">
        <v>189</v>
      </c>
      <c r="B9" s="942">
        <f t="shared" si="0"/>
        <v>20</v>
      </c>
      <c r="C9" s="86">
        <v>3</v>
      </c>
      <c r="D9" s="86">
        <v>13</v>
      </c>
      <c r="E9" s="109">
        <v>4</v>
      </c>
      <c r="F9" s="942">
        <f t="shared" si="1"/>
        <v>0</v>
      </c>
      <c r="G9" s="86">
        <v>0</v>
      </c>
      <c r="H9" s="86">
        <v>0</v>
      </c>
      <c r="I9" s="380">
        <v>0</v>
      </c>
      <c r="J9" s="943">
        <f t="shared" si="2"/>
        <v>20</v>
      </c>
      <c r="K9" s="86">
        <v>3</v>
      </c>
      <c r="L9" s="86">
        <v>13</v>
      </c>
      <c r="M9" s="380">
        <v>4</v>
      </c>
      <c r="N9" s="943">
        <f t="shared" si="3"/>
        <v>4</v>
      </c>
      <c r="O9" s="86">
        <v>0</v>
      </c>
      <c r="P9" s="86">
        <v>3</v>
      </c>
      <c r="Q9" s="380">
        <v>1</v>
      </c>
    </row>
    <row r="10" spans="1:17" ht="20.100000000000001" customHeight="1">
      <c r="A10" s="494" t="s">
        <v>190</v>
      </c>
      <c r="B10" s="942">
        <f t="shared" si="0"/>
        <v>13</v>
      </c>
      <c r="C10" s="86">
        <v>3</v>
      </c>
      <c r="D10" s="86">
        <v>5</v>
      </c>
      <c r="E10" s="109">
        <v>5</v>
      </c>
      <c r="F10" s="942">
        <f t="shared" si="1"/>
        <v>0</v>
      </c>
      <c r="G10" s="86">
        <v>0</v>
      </c>
      <c r="H10" s="86">
        <v>0</v>
      </c>
      <c r="I10" s="380">
        <v>0</v>
      </c>
      <c r="J10" s="943">
        <f t="shared" si="2"/>
        <v>13</v>
      </c>
      <c r="K10" s="86">
        <v>3</v>
      </c>
      <c r="L10" s="86">
        <v>5</v>
      </c>
      <c r="M10" s="380">
        <v>5</v>
      </c>
      <c r="N10" s="943">
        <f t="shared" si="3"/>
        <v>5</v>
      </c>
      <c r="O10" s="86">
        <v>1</v>
      </c>
      <c r="P10" s="86">
        <v>3</v>
      </c>
      <c r="Q10" s="380">
        <v>1</v>
      </c>
    </row>
    <row r="11" spans="1:17" ht="20.100000000000001" customHeight="1">
      <c r="A11" s="494" t="s">
        <v>192</v>
      </c>
      <c r="B11" s="942">
        <f t="shared" si="0"/>
        <v>133</v>
      </c>
      <c r="C11" s="86">
        <v>47</v>
      </c>
      <c r="D11" s="86">
        <v>60</v>
      </c>
      <c r="E11" s="109">
        <v>26</v>
      </c>
      <c r="F11" s="942">
        <f t="shared" si="1"/>
        <v>1</v>
      </c>
      <c r="G11" s="86">
        <v>0</v>
      </c>
      <c r="H11" s="86">
        <v>1</v>
      </c>
      <c r="I11" s="380">
        <v>0</v>
      </c>
      <c r="J11" s="943">
        <f t="shared" si="2"/>
        <v>134</v>
      </c>
      <c r="K11" s="86">
        <v>47</v>
      </c>
      <c r="L11" s="86">
        <v>60</v>
      </c>
      <c r="M11" s="380">
        <v>27</v>
      </c>
      <c r="N11" s="943">
        <f t="shared" si="3"/>
        <v>23</v>
      </c>
      <c r="O11" s="86">
        <v>2</v>
      </c>
      <c r="P11" s="86">
        <v>18</v>
      </c>
      <c r="Q11" s="380">
        <v>3</v>
      </c>
    </row>
    <row r="12" spans="1:17" ht="20.100000000000001" customHeight="1">
      <c r="A12" s="494" t="s">
        <v>193</v>
      </c>
      <c r="B12" s="942">
        <f t="shared" si="0"/>
        <v>39</v>
      </c>
      <c r="C12" s="86">
        <v>9</v>
      </c>
      <c r="D12" s="86">
        <v>29</v>
      </c>
      <c r="E12" s="109">
        <v>1</v>
      </c>
      <c r="F12" s="942">
        <f t="shared" si="1"/>
        <v>2</v>
      </c>
      <c r="G12" s="86">
        <v>0</v>
      </c>
      <c r="H12" s="86">
        <v>2</v>
      </c>
      <c r="I12" s="380">
        <v>0</v>
      </c>
      <c r="J12" s="943">
        <f t="shared" si="2"/>
        <v>38</v>
      </c>
      <c r="K12" s="86">
        <v>9</v>
      </c>
      <c r="L12" s="86">
        <v>28</v>
      </c>
      <c r="M12" s="380">
        <v>1</v>
      </c>
      <c r="N12" s="943">
        <f t="shared" si="3"/>
        <v>12</v>
      </c>
      <c r="O12" s="86">
        <v>1</v>
      </c>
      <c r="P12" s="86">
        <v>10</v>
      </c>
      <c r="Q12" s="380">
        <v>1</v>
      </c>
    </row>
    <row r="13" spans="1:17" ht="20.100000000000001" customHeight="1">
      <c r="A13" s="494" t="s">
        <v>205</v>
      </c>
      <c r="B13" s="942">
        <f t="shared" si="0"/>
        <v>10</v>
      </c>
      <c r="C13" s="86">
        <v>3</v>
      </c>
      <c r="D13" s="86">
        <v>6</v>
      </c>
      <c r="E13" s="109">
        <v>1</v>
      </c>
      <c r="F13" s="942">
        <f t="shared" si="1"/>
        <v>1</v>
      </c>
      <c r="G13" s="86">
        <v>1</v>
      </c>
      <c r="H13" s="86">
        <v>0</v>
      </c>
      <c r="I13" s="380">
        <v>0</v>
      </c>
      <c r="J13" s="943">
        <f t="shared" si="2"/>
        <v>11</v>
      </c>
      <c r="K13" s="86">
        <v>4</v>
      </c>
      <c r="L13" s="86">
        <v>6</v>
      </c>
      <c r="M13" s="380">
        <v>1</v>
      </c>
      <c r="N13" s="943">
        <f t="shared" si="3"/>
        <v>2</v>
      </c>
      <c r="O13" s="86">
        <v>1</v>
      </c>
      <c r="P13" s="86">
        <v>1</v>
      </c>
      <c r="Q13" s="380">
        <v>0</v>
      </c>
    </row>
    <row r="14" spans="1:17" ht="20.100000000000001" customHeight="1">
      <c r="A14" s="494" t="s">
        <v>595</v>
      </c>
      <c r="B14" s="942">
        <f t="shared" si="0"/>
        <v>12</v>
      </c>
      <c r="C14" s="86">
        <v>3</v>
      </c>
      <c r="D14" s="86">
        <v>3</v>
      </c>
      <c r="E14" s="109">
        <v>6</v>
      </c>
      <c r="F14" s="942">
        <f t="shared" si="1"/>
        <v>0</v>
      </c>
      <c r="G14" s="86">
        <v>0</v>
      </c>
      <c r="H14" s="86">
        <v>0</v>
      </c>
      <c r="I14" s="380">
        <v>0</v>
      </c>
      <c r="J14" s="943">
        <f t="shared" si="2"/>
        <v>12</v>
      </c>
      <c r="K14" s="86">
        <v>3</v>
      </c>
      <c r="L14" s="86">
        <v>3</v>
      </c>
      <c r="M14" s="380">
        <v>6</v>
      </c>
      <c r="N14" s="943">
        <f t="shared" si="3"/>
        <v>3</v>
      </c>
      <c r="O14" s="86">
        <v>0</v>
      </c>
      <c r="P14" s="86">
        <v>2</v>
      </c>
      <c r="Q14" s="380">
        <v>1</v>
      </c>
    </row>
    <row r="15" spans="1:17" ht="20.100000000000001" customHeight="1">
      <c r="A15" s="494" t="s">
        <v>207</v>
      </c>
      <c r="B15" s="942">
        <f t="shared" si="0"/>
        <v>39</v>
      </c>
      <c r="C15" s="86">
        <v>8</v>
      </c>
      <c r="D15" s="86">
        <v>25</v>
      </c>
      <c r="E15" s="109">
        <v>6</v>
      </c>
      <c r="F15" s="942">
        <f t="shared" si="1"/>
        <v>1</v>
      </c>
      <c r="G15" s="86">
        <v>0</v>
      </c>
      <c r="H15" s="86">
        <v>1</v>
      </c>
      <c r="I15" s="380">
        <v>0</v>
      </c>
      <c r="J15" s="943">
        <f t="shared" si="2"/>
        <v>39</v>
      </c>
      <c r="K15" s="86">
        <v>8</v>
      </c>
      <c r="L15" s="86">
        <v>25</v>
      </c>
      <c r="M15" s="380">
        <v>6</v>
      </c>
      <c r="N15" s="943">
        <f t="shared" si="3"/>
        <v>5</v>
      </c>
      <c r="O15" s="86">
        <v>1</v>
      </c>
      <c r="P15" s="86">
        <v>4</v>
      </c>
      <c r="Q15" s="380">
        <v>0</v>
      </c>
    </row>
    <row r="16" spans="1:17" ht="20.100000000000001" customHeight="1">
      <c r="A16" s="494" t="s">
        <v>208</v>
      </c>
      <c r="B16" s="942">
        <f t="shared" si="0"/>
        <v>37</v>
      </c>
      <c r="C16" s="86">
        <v>6</v>
      </c>
      <c r="D16" s="86">
        <v>21</v>
      </c>
      <c r="E16" s="109">
        <v>10</v>
      </c>
      <c r="F16" s="942">
        <f t="shared" si="1"/>
        <v>1</v>
      </c>
      <c r="G16" s="86">
        <v>0</v>
      </c>
      <c r="H16" s="86">
        <v>1</v>
      </c>
      <c r="I16" s="380">
        <v>0</v>
      </c>
      <c r="J16" s="943">
        <f t="shared" si="2"/>
        <v>36</v>
      </c>
      <c r="K16" s="86">
        <v>6</v>
      </c>
      <c r="L16" s="86">
        <v>20</v>
      </c>
      <c r="M16" s="380">
        <v>10</v>
      </c>
      <c r="N16" s="943">
        <f t="shared" si="3"/>
        <v>6</v>
      </c>
      <c r="O16" s="86">
        <v>0</v>
      </c>
      <c r="P16" s="86">
        <v>5</v>
      </c>
      <c r="Q16" s="380">
        <v>1</v>
      </c>
    </row>
    <row r="17" spans="1:18" ht="20.100000000000001" customHeight="1">
      <c r="A17" s="494" t="s">
        <v>596</v>
      </c>
      <c r="B17" s="942">
        <f t="shared" si="0"/>
        <v>17</v>
      </c>
      <c r="C17" s="86">
        <v>3</v>
      </c>
      <c r="D17" s="86">
        <v>11</v>
      </c>
      <c r="E17" s="109">
        <v>3</v>
      </c>
      <c r="F17" s="942">
        <f t="shared" si="1"/>
        <v>0</v>
      </c>
      <c r="G17" s="86">
        <v>0</v>
      </c>
      <c r="H17" s="86">
        <v>0</v>
      </c>
      <c r="I17" s="380">
        <v>0</v>
      </c>
      <c r="J17" s="943">
        <f t="shared" si="2"/>
        <v>18</v>
      </c>
      <c r="K17" s="86">
        <v>3</v>
      </c>
      <c r="L17" s="86">
        <v>11</v>
      </c>
      <c r="M17" s="380">
        <v>4</v>
      </c>
      <c r="N17" s="943">
        <f t="shared" si="3"/>
        <v>3</v>
      </c>
      <c r="O17" s="86">
        <v>0</v>
      </c>
      <c r="P17" s="86">
        <v>2</v>
      </c>
      <c r="Q17" s="380">
        <v>1</v>
      </c>
    </row>
    <row r="18" spans="1:18" ht="20.100000000000001" customHeight="1">
      <c r="A18" s="494" t="s">
        <v>210</v>
      </c>
      <c r="B18" s="942">
        <f t="shared" si="0"/>
        <v>56</v>
      </c>
      <c r="C18" s="86">
        <v>17</v>
      </c>
      <c r="D18" s="86">
        <v>30</v>
      </c>
      <c r="E18" s="109">
        <v>9</v>
      </c>
      <c r="F18" s="942">
        <f t="shared" si="1"/>
        <v>0</v>
      </c>
      <c r="G18" s="86">
        <v>0</v>
      </c>
      <c r="H18" s="86">
        <v>0</v>
      </c>
      <c r="I18" s="380">
        <v>0</v>
      </c>
      <c r="J18" s="943">
        <f t="shared" si="2"/>
        <v>56</v>
      </c>
      <c r="K18" s="86">
        <v>17</v>
      </c>
      <c r="L18" s="86">
        <v>30</v>
      </c>
      <c r="M18" s="380">
        <v>9</v>
      </c>
      <c r="N18" s="943">
        <f t="shared" si="3"/>
        <v>6</v>
      </c>
      <c r="O18" s="86">
        <v>1</v>
      </c>
      <c r="P18" s="86">
        <v>5</v>
      </c>
      <c r="Q18" s="380">
        <v>0</v>
      </c>
    </row>
    <row r="19" spans="1:18" ht="20.100000000000001" customHeight="1">
      <c r="A19" s="494" t="s">
        <v>597</v>
      </c>
      <c r="B19" s="942">
        <f t="shared" si="0"/>
        <v>52</v>
      </c>
      <c r="C19" s="86">
        <v>14</v>
      </c>
      <c r="D19" s="86">
        <v>27</v>
      </c>
      <c r="E19" s="109">
        <v>11</v>
      </c>
      <c r="F19" s="942">
        <f t="shared" si="1"/>
        <v>2</v>
      </c>
      <c r="G19" s="86">
        <v>1</v>
      </c>
      <c r="H19" s="86">
        <v>0</v>
      </c>
      <c r="I19" s="380">
        <v>1</v>
      </c>
      <c r="J19" s="943">
        <f t="shared" si="2"/>
        <v>51</v>
      </c>
      <c r="K19" s="86">
        <v>14</v>
      </c>
      <c r="L19" s="86">
        <v>27</v>
      </c>
      <c r="M19" s="380">
        <v>10</v>
      </c>
      <c r="N19" s="943">
        <f t="shared" si="3"/>
        <v>17</v>
      </c>
      <c r="O19" s="86">
        <v>4</v>
      </c>
      <c r="P19" s="86">
        <v>11</v>
      </c>
      <c r="Q19" s="380">
        <v>2</v>
      </c>
    </row>
    <row r="20" spans="1:18" ht="20.100000000000001" customHeight="1">
      <c r="A20" s="494" t="s">
        <v>213</v>
      </c>
      <c r="B20" s="942">
        <f t="shared" si="0"/>
        <v>24</v>
      </c>
      <c r="C20" s="86">
        <v>6</v>
      </c>
      <c r="D20" s="86">
        <v>12</v>
      </c>
      <c r="E20" s="109">
        <v>6</v>
      </c>
      <c r="F20" s="942">
        <f t="shared" si="1"/>
        <v>0</v>
      </c>
      <c r="G20" s="86">
        <v>0</v>
      </c>
      <c r="H20" s="86">
        <v>0</v>
      </c>
      <c r="I20" s="380">
        <v>0</v>
      </c>
      <c r="J20" s="943">
        <f t="shared" si="2"/>
        <v>27</v>
      </c>
      <c r="K20" s="86">
        <v>7</v>
      </c>
      <c r="L20" s="86">
        <v>13</v>
      </c>
      <c r="M20" s="380">
        <v>7</v>
      </c>
      <c r="N20" s="943">
        <f t="shared" si="3"/>
        <v>5</v>
      </c>
      <c r="O20" s="86">
        <v>1</v>
      </c>
      <c r="P20" s="86">
        <v>3</v>
      </c>
      <c r="Q20" s="380">
        <v>1</v>
      </c>
    </row>
    <row r="21" spans="1:18" ht="20.100000000000001" customHeight="1">
      <c r="A21" s="494" t="s">
        <v>215</v>
      </c>
      <c r="B21" s="942">
        <f t="shared" si="0"/>
        <v>16</v>
      </c>
      <c r="C21" s="86">
        <v>6</v>
      </c>
      <c r="D21" s="86">
        <v>7</v>
      </c>
      <c r="E21" s="109">
        <v>3</v>
      </c>
      <c r="F21" s="942">
        <f t="shared" si="1"/>
        <v>1</v>
      </c>
      <c r="G21" s="86">
        <v>0</v>
      </c>
      <c r="H21" s="86">
        <v>1</v>
      </c>
      <c r="I21" s="380">
        <v>0</v>
      </c>
      <c r="J21" s="943">
        <f t="shared" si="2"/>
        <v>15</v>
      </c>
      <c r="K21" s="86">
        <v>6</v>
      </c>
      <c r="L21" s="86">
        <v>6</v>
      </c>
      <c r="M21" s="380">
        <v>3</v>
      </c>
      <c r="N21" s="943">
        <f t="shared" si="3"/>
        <v>2</v>
      </c>
      <c r="O21" s="86">
        <v>0</v>
      </c>
      <c r="P21" s="86">
        <v>2</v>
      </c>
      <c r="Q21" s="380">
        <v>0</v>
      </c>
    </row>
    <row r="22" spans="1:18" ht="20.100000000000001" customHeight="1">
      <c r="A22" s="494" t="s">
        <v>216</v>
      </c>
      <c r="B22" s="942">
        <f t="shared" si="0"/>
        <v>17</v>
      </c>
      <c r="C22" s="86">
        <v>5</v>
      </c>
      <c r="D22" s="86">
        <v>7</v>
      </c>
      <c r="E22" s="109">
        <v>5</v>
      </c>
      <c r="F22" s="942">
        <f t="shared" si="1"/>
        <v>0</v>
      </c>
      <c r="G22" s="86">
        <v>0</v>
      </c>
      <c r="H22" s="86">
        <v>0</v>
      </c>
      <c r="I22" s="380">
        <v>0</v>
      </c>
      <c r="J22" s="943">
        <f t="shared" si="2"/>
        <v>17</v>
      </c>
      <c r="K22" s="86">
        <v>5</v>
      </c>
      <c r="L22" s="86">
        <v>7</v>
      </c>
      <c r="M22" s="380">
        <v>5</v>
      </c>
      <c r="N22" s="943">
        <f t="shared" si="3"/>
        <v>1</v>
      </c>
      <c r="O22" s="86">
        <v>0</v>
      </c>
      <c r="P22" s="86">
        <v>0</v>
      </c>
      <c r="Q22" s="380">
        <v>1</v>
      </c>
    </row>
    <row r="23" spans="1:18" ht="20.100000000000001" customHeight="1">
      <c r="A23" s="494" t="s">
        <v>217</v>
      </c>
      <c r="B23" s="942">
        <f t="shared" si="0"/>
        <v>49</v>
      </c>
      <c r="C23" s="86">
        <v>20</v>
      </c>
      <c r="D23" s="86">
        <v>17</v>
      </c>
      <c r="E23" s="109">
        <v>12</v>
      </c>
      <c r="F23" s="942">
        <f t="shared" si="1"/>
        <v>0</v>
      </c>
      <c r="G23" s="86">
        <v>0</v>
      </c>
      <c r="H23" s="86">
        <v>0</v>
      </c>
      <c r="I23" s="380">
        <v>0</v>
      </c>
      <c r="J23" s="943">
        <f t="shared" si="2"/>
        <v>49</v>
      </c>
      <c r="K23" s="86">
        <v>20</v>
      </c>
      <c r="L23" s="86">
        <v>17</v>
      </c>
      <c r="M23" s="380">
        <v>12</v>
      </c>
      <c r="N23" s="943">
        <f t="shared" si="3"/>
        <v>3</v>
      </c>
      <c r="O23" s="86">
        <v>0</v>
      </c>
      <c r="P23" s="86">
        <v>1</v>
      </c>
      <c r="Q23" s="380">
        <v>2</v>
      </c>
    </row>
    <row r="24" spans="1:18" ht="20.100000000000001" customHeight="1">
      <c r="A24" s="494" t="s">
        <v>218</v>
      </c>
      <c r="B24" s="942">
        <f t="shared" si="0"/>
        <v>25</v>
      </c>
      <c r="C24" s="86">
        <v>2</v>
      </c>
      <c r="D24" s="86">
        <v>17</v>
      </c>
      <c r="E24" s="109">
        <v>6</v>
      </c>
      <c r="F24" s="942">
        <f t="shared" si="1"/>
        <v>0</v>
      </c>
      <c r="G24" s="86">
        <v>0</v>
      </c>
      <c r="H24" s="86">
        <v>0</v>
      </c>
      <c r="I24" s="380">
        <v>0</v>
      </c>
      <c r="J24" s="943">
        <f t="shared" si="2"/>
        <v>26</v>
      </c>
      <c r="K24" s="86">
        <v>2</v>
      </c>
      <c r="L24" s="86">
        <v>18</v>
      </c>
      <c r="M24" s="380">
        <v>6</v>
      </c>
      <c r="N24" s="943">
        <f t="shared" si="3"/>
        <v>3</v>
      </c>
      <c r="O24" s="86">
        <v>0</v>
      </c>
      <c r="P24" s="86">
        <v>2</v>
      </c>
      <c r="Q24" s="380">
        <v>1</v>
      </c>
    </row>
    <row r="25" spans="1:18" ht="20.100000000000001" customHeight="1">
      <c r="A25" s="494" t="s">
        <v>219</v>
      </c>
      <c r="B25" s="942">
        <f t="shared" si="0"/>
        <v>20</v>
      </c>
      <c r="C25" s="86">
        <v>6</v>
      </c>
      <c r="D25" s="86">
        <v>8</v>
      </c>
      <c r="E25" s="109">
        <v>6</v>
      </c>
      <c r="F25" s="942">
        <f t="shared" si="1"/>
        <v>0</v>
      </c>
      <c r="G25" s="86">
        <v>0</v>
      </c>
      <c r="H25" s="86">
        <v>0</v>
      </c>
      <c r="I25" s="380">
        <v>0</v>
      </c>
      <c r="J25" s="943">
        <f t="shared" si="2"/>
        <v>22</v>
      </c>
      <c r="K25" s="86">
        <v>6</v>
      </c>
      <c r="L25" s="86">
        <v>8</v>
      </c>
      <c r="M25" s="380">
        <v>8</v>
      </c>
      <c r="N25" s="943">
        <f t="shared" si="3"/>
        <v>7</v>
      </c>
      <c r="O25" s="86">
        <v>1</v>
      </c>
      <c r="P25" s="86">
        <v>4</v>
      </c>
      <c r="Q25" s="380">
        <v>2</v>
      </c>
    </row>
    <row r="26" spans="1:18" ht="20.100000000000001" customHeight="1">
      <c r="A26" s="494" t="s">
        <v>220</v>
      </c>
      <c r="B26" s="942">
        <f t="shared" si="0"/>
        <v>33</v>
      </c>
      <c r="C26" s="86">
        <v>8</v>
      </c>
      <c r="D26" s="86">
        <v>20</v>
      </c>
      <c r="E26" s="109">
        <v>5</v>
      </c>
      <c r="F26" s="942">
        <f t="shared" si="1"/>
        <v>0</v>
      </c>
      <c r="G26" s="86">
        <v>0</v>
      </c>
      <c r="H26" s="86">
        <v>0</v>
      </c>
      <c r="I26" s="380">
        <v>0</v>
      </c>
      <c r="J26" s="943">
        <f t="shared" si="2"/>
        <v>33</v>
      </c>
      <c r="K26" s="86">
        <v>8</v>
      </c>
      <c r="L26" s="86">
        <v>20</v>
      </c>
      <c r="M26" s="380">
        <v>5</v>
      </c>
      <c r="N26" s="943">
        <f t="shared" si="3"/>
        <v>10</v>
      </c>
      <c r="O26" s="86">
        <v>3</v>
      </c>
      <c r="P26" s="86">
        <v>7</v>
      </c>
      <c r="Q26" s="380">
        <v>0</v>
      </c>
    </row>
    <row r="27" spans="1:18" ht="20.100000000000001" customHeight="1">
      <c r="A27" s="494" t="s">
        <v>221</v>
      </c>
      <c r="B27" s="942">
        <f t="shared" si="0"/>
        <v>34</v>
      </c>
      <c r="C27" s="86">
        <v>13</v>
      </c>
      <c r="D27" s="86">
        <v>14</v>
      </c>
      <c r="E27" s="109">
        <v>7</v>
      </c>
      <c r="F27" s="942">
        <f t="shared" si="1"/>
        <v>0</v>
      </c>
      <c r="G27" s="86">
        <v>0</v>
      </c>
      <c r="H27" s="86">
        <v>0</v>
      </c>
      <c r="I27" s="380">
        <v>0</v>
      </c>
      <c r="J27" s="943">
        <f t="shared" si="2"/>
        <v>34</v>
      </c>
      <c r="K27" s="86">
        <v>13</v>
      </c>
      <c r="L27" s="86">
        <v>14</v>
      </c>
      <c r="M27" s="380">
        <v>7</v>
      </c>
      <c r="N27" s="943">
        <f t="shared" si="3"/>
        <v>7</v>
      </c>
      <c r="O27" s="86">
        <v>1</v>
      </c>
      <c r="P27" s="86">
        <v>3</v>
      </c>
      <c r="Q27" s="380">
        <v>3</v>
      </c>
    </row>
    <row r="28" spans="1:18" ht="20.100000000000001" customHeight="1">
      <c r="A28" s="494" t="s">
        <v>598</v>
      </c>
      <c r="B28" s="942">
        <f t="shared" si="0"/>
        <v>17</v>
      </c>
      <c r="C28" s="86">
        <v>7</v>
      </c>
      <c r="D28" s="86">
        <v>8</v>
      </c>
      <c r="E28" s="109">
        <v>2</v>
      </c>
      <c r="F28" s="942">
        <f t="shared" si="1"/>
        <v>0</v>
      </c>
      <c r="G28" s="86">
        <v>0</v>
      </c>
      <c r="H28" s="86">
        <v>0</v>
      </c>
      <c r="I28" s="380">
        <v>0</v>
      </c>
      <c r="J28" s="943">
        <f t="shared" si="2"/>
        <v>17</v>
      </c>
      <c r="K28" s="86">
        <v>7</v>
      </c>
      <c r="L28" s="86">
        <v>8</v>
      </c>
      <c r="M28" s="380">
        <v>2</v>
      </c>
      <c r="N28" s="943">
        <f t="shared" si="3"/>
        <v>4</v>
      </c>
      <c r="O28" s="86">
        <v>2</v>
      </c>
      <c r="P28" s="86">
        <v>2</v>
      </c>
      <c r="Q28" s="380">
        <v>0</v>
      </c>
    </row>
    <row r="29" spans="1:18" ht="20.100000000000001" customHeight="1">
      <c r="A29" s="494" t="s">
        <v>223</v>
      </c>
      <c r="B29" s="942">
        <f t="shared" si="0"/>
        <v>57</v>
      </c>
      <c r="C29" s="86">
        <v>13</v>
      </c>
      <c r="D29" s="86">
        <v>31</v>
      </c>
      <c r="E29" s="109">
        <v>13</v>
      </c>
      <c r="F29" s="942">
        <f t="shared" si="1"/>
        <v>1</v>
      </c>
      <c r="G29" s="86">
        <v>0</v>
      </c>
      <c r="H29" s="86">
        <v>1</v>
      </c>
      <c r="I29" s="380">
        <v>0</v>
      </c>
      <c r="J29" s="943">
        <f t="shared" si="2"/>
        <v>57</v>
      </c>
      <c r="K29" s="86">
        <v>13</v>
      </c>
      <c r="L29" s="86">
        <v>30</v>
      </c>
      <c r="M29" s="380">
        <v>14</v>
      </c>
      <c r="N29" s="943">
        <f t="shared" si="3"/>
        <v>14</v>
      </c>
      <c r="O29" s="86">
        <v>2</v>
      </c>
      <c r="P29" s="86">
        <v>7</v>
      </c>
      <c r="Q29" s="380">
        <v>5</v>
      </c>
    </row>
    <row r="30" spans="1:18" ht="20.100000000000001" customHeight="1" thickBot="1">
      <c r="A30" s="736" t="s">
        <v>224</v>
      </c>
      <c r="B30" s="944">
        <f t="shared" si="0"/>
        <v>27</v>
      </c>
      <c r="C30" s="375">
        <v>4</v>
      </c>
      <c r="D30" s="375">
        <v>12</v>
      </c>
      <c r="E30" s="376">
        <v>11</v>
      </c>
      <c r="F30" s="944">
        <f t="shared" si="1"/>
        <v>1</v>
      </c>
      <c r="G30" s="375">
        <v>0</v>
      </c>
      <c r="H30" s="375">
        <v>0</v>
      </c>
      <c r="I30" s="383">
        <v>1</v>
      </c>
      <c r="J30" s="945">
        <f t="shared" si="2"/>
        <v>27</v>
      </c>
      <c r="K30" s="375">
        <v>4</v>
      </c>
      <c r="L30" s="375">
        <v>12</v>
      </c>
      <c r="M30" s="383">
        <v>11</v>
      </c>
      <c r="N30" s="945">
        <f t="shared" si="3"/>
        <v>9</v>
      </c>
      <c r="O30" s="375">
        <v>1</v>
      </c>
      <c r="P30" s="375">
        <v>4</v>
      </c>
      <c r="Q30" s="383">
        <v>4</v>
      </c>
    </row>
    <row r="31" spans="1:18" ht="20.100000000000001" customHeight="1" thickBot="1">
      <c r="A31" s="946" t="s">
        <v>997</v>
      </c>
      <c r="B31" s="947">
        <f t="shared" ref="B31:Q31" si="4">SUM(B7:B30)</f>
        <v>892</v>
      </c>
      <c r="C31" s="947">
        <f t="shared" si="4"/>
        <v>258</v>
      </c>
      <c r="D31" s="947">
        <f t="shared" si="4"/>
        <v>455</v>
      </c>
      <c r="E31" s="948">
        <f t="shared" si="4"/>
        <v>179</v>
      </c>
      <c r="F31" s="949">
        <f t="shared" si="4"/>
        <v>12</v>
      </c>
      <c r="G31" s="947">
        <f t="shared" si="4"/>
        <v>2</v>
      </c>
      <c r="H31" s="947">
        <f t="shared" si="4"/>
        <v>8</v>
      </c>
      <c r="I31" s="950">
        <f t="shared" si="4"/>
        <v>2</v>
      </c>
      <c r="J31" s="951">
        <f t="shared" si="4"/>
        <v>899</v>
      </c>
      <c r="K31" s="952">
        <f t="shared" si="4"/>
        <v>260</v>
      </c>
      <c r="L31" s="952">
        <f t="shared" si="4"/>
        <v>454</v>
      </c>
      <c r="M31" s="953">
        <f t="shared" si="4"/>
        <v>185</v>
      </c>
      <c r="N31" s="951">
        <f t="shared" si="4"/>
        <v>176</v>
      </c>
      <c r="O31" s="952">
        <f t="shared" si="4"/>
        <v>29</v>
      </c>
      <c r="P31" s="952">
        <f t="shared" si="4"/>
        <v>112</v>
      </c>
      <c r="Q31" s="953">
        <f t="shared" si="4"/>
        <v>35</v>
      </c>
    </row>
    <row r="32" spans="1:18" ht="19.5" customHeight="1">
      <c r="A32" s="1393" t="s">
        <v>754</v>
      </c>
      <c r="B32" s="1393"/>
      <c r="C32" s="1393"/>
      <c r="D32" s="1393"/>
      <c r="E32" s="1393"/>
      <c r="F32" s="1393"/>
      <c r="G32" s="1393"/>
      <c r="H32" s="1393"/>
      <c r="I32" s="1393"/>
      <c r="J32" s="1393"/>
      <c r="K32" s="1393"/>
      <c r="L32" s="1393"/>
      <c r="M32" s="1393"/>
      <c r="N32" s="43"/>
      <c r="O32" s="43"/>
      <c r="P32" s="43"/>
      <c r="Q32" s="43"/>
      <c r="R32" s="483"/>
    </row>
    <row r="33" spans="2:17">
      <c r="B33" s="487"/>
      <c r="C33" s="487"/>
      <c r="D33" s="487"/>
      <c r="E33" s="487"/>
      <c r="F33" s="487"/>
      <c r="G33" s="487"/>
      <c r="H33" s="487"/>
      <c r="I33" s="487"/>
      <c r="J33" s="487"/>
      <c r="K33" s="487"/>
      <c r="L33" s="487"/>
      <c r="M33" s="487"/>
      <c r="N33" s="487"/>
      <c r="O33" s="487"/>
      <c r="P33" s="487"/>
      <c r="Q33" s="487"/>
    </row>
    <row r="34" spans="2:17">
      <c r="B34" s="487"/>
      <c r="C34" s="487"/>
      <c r="D34" s="487"/>
      <c r="E34" s="487"/>
      <c r="F34" s="487"/>
      <c r="G34" s="487"/>
      <c r="H34" s="487"/>
      <c r="I34" s="487"/>
      <c r="J34" s="487"/>
      <c r="K34" s="487"/>
      <c r="L34" s="487"/>
      <c r="M34" s="487"/>
      <c r="N34" s="487"/>
      <c r="O34" s="487"/>
      <c r="P34" s="487"/>
      <c r="Q34" s="487"/>
    </row>
  </sheetData>
  <mergeCells count="9">
    <mergeCell ref="N3:P3"/>
    <mergeCell ref="N4:P4"/>
    <mergeCell ref="A32:M32"/>
    <mergeCell ref="B3:D4"/>
    <mergeCell ref="E3:E4"/>
    <mergeCell ref="F3:H4"/>
    <mergeCell ref="I3:I4"/>
    <mergeCell ref="J3:L4"/>
    <mergeCell ref="M3:M4"/>
  </mergeCells>
  <phoneticPr fontId="3"/>
  <pageMargins left="0.59055118110236227" right="0.78740157480314965" top="0.98425196850393704" bottom="0.98425196850393704" header="0.51181102362204722" footer="0.51181102362204722"/>
  <pageSetup paperSize="9" scale="72" orientation="portrait" r:id="rId1"/>
  <headerFooter alignWithMargins="0">
    <oddFooter>&amp;C－30－</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view="pageBreakPreview" zoomScaleNormal="100" zoomScaleSheetLayoutView="100" workbookViewId="0">
      <selection activeCell="D40" sqref="D40"/>
    </sheetView>
  </sheetViews>
  <sheetFormatPr defaultRowHeight="14.25"/>
  <cols>
    <col min="1" max="1" width="3.75" style="2" customWidth="1"/>
    <col min="2" max="2" width="4.625" style="2" customWidth="1"/>
    <col min="3" max="18" width="6.625" style="2" customWidth="1"/>
    <col min="19" max="19" width="5.5" style="2" customWidth="1"/>
    <col min="20" max="16384" width="9" style="2"/>
  </cols>
  <sheetData>
    <row r="1" spans="1:18" ht="15">
      <c r="A1" s="1958" t="s">
        <v>745</v>
      </c>
      <c r="B1" s="1527"/>
      <c r="C1" s="1527"/>
      <c r="D1" s="1527"/>
      <c r="E1" s="1527"/>
      <c r="F1" s="1527"/>
    </row>
    <row r="2" spans="1:18" ht="15" thickBot="1">
      <c r="A2" s="1435" t="s">
        <v>755</v>
      </c>
      <c r="B2" s="1435"/>
      <c r="C2" s="1435"/>
      <c r="D2" s="1435"/>
      <c r="E2" s="1435"/>
      <c r="F2" s="1435"/>
    </row>
    <row r="3" spans="1:18" ht="12" customHeight="1" thickBot="1">
      <c r="A3" s="562"/>
      <c r="B3" s="1343" t="s">
        <v>495</v>
      </c>
      <c r="C3" s="1425" t="s">
        <v>351</v>
      </c>
      <c r="D3" s="1453"/>
      <c r="E3" s="1453"/>
      <c r="F3" s="1954" t="s">
        <v>428</v>
      </c>
      <c r="G3" s="1425" t="s">
        <v>747</v>
      </c>
      <c r="H3" s="1453"/>
      <c r="I3" s="1453"/>
      <c r="J3" s="1954" t="s">
        <v>431</v>
      </c>
      <c r="K3" s="1425" t="s">
        <v>353</v>
      </c>
      <c r="L3" s="1453"/>
      <c r="M3" s="1453"/>
      <c r="N3" s="1957" t="s">
        <v>431</v>
      </c>
      <c r="O3" s="1674"/>
      <c r="P3" s="1396"/>
      <c r="Q3" s="1396"/>
      <c r="R3" s="496"/>
    </row>
    <row r="4" spans="1:18">
      <c r="A4" s="563"/>
      <c r="B4" s="954"/>
      <c r="C4" s="1591"/>
      <c r="D4" s="1629"/>
      <c r="E4" s="1629"/>
      <c r="F4" s="1955"/>
      <c r="G4" s="1591"/>
      <c r="H4" s="1629"/>
      <c r="I4" s="1629"/>
      <c r="J4" s="1955"/>
      <c r="K4" s="1591"/>
      <c r="L4" s="1629"/>
      <c r="M4" s="1629"/>
      <c r="N4" s="1955"/>
      <c r="O4" s="1646" t="s">
        <v>914</v>
      </c>
      <c r="P4" s="1953"/>
      <c r="Q4" s="1953"/>
      <c r="R4" s="309" t="s">
        <v>431</v>
      </c>
    </row>
    <row r="5" spans="1:18" ht="20.100000000000001" customHeight="1">
      <c r="A5" s="563"/>
      <c r="B5" s="492"/>
      <c r="C5" s="736" t="s">
        <v>599</v>
      </c>
      <c r="D5" s="312"/>
      <c r="E5" s="312"/>
      <c r="F5" s="312"/>
      <c r="G5" s="736" t="s">
        <v>394</v>
      </c>
      <c r="H5" s="312"/>
      <c r="I5" s="312"/>
      <c r="J5" s="312"/>
      <c r="K5" s="736" t="s">
        <v>394</v>
      </c>
      <c r="L5" s="611"/>
      <c r="M5" s="611"/>
      <c r="N5" s="936"/>
      <c r="O5" s="736" t="s">
        <v>394</v>
      </c>
      <c r="P5" s="611"/>
      <c r="Q5" s="611"/>
      <c r="R5" s="936"/>
    </row>
    <row r="6" spans="1:18" ht="20.100000000000001" customHeight="1" thickBot="1">
      <c r="A6" s="937" t="s">
        <v>918</v>
      </c>
      <c r="B6" s="492"/>
      <c r="C6" s="581"/>
      <c r="D6" s="956" t="s">
        <v>758</v>
      </c>
      <c r="E6" s="957" t="s">
        <v>759</v>
      </c>
      <c r="F6" s="957" t="s">
        <v>760</v>
      </c>
      <c r="G6" s="485"/>
      <c r="H6" s="956" t="s">
        <v>758</v>
      </c>
      <c r="I6" s="957" t="s">
        <v>759</v>
      </c>
      <c r="J6" s="957" t="s">
        <v>760</v>
      </c>
      <c r="K6" s="485"/>
      <c r="L6" s="956" t="s">
        <v>758</v>
      </c>
      <c r="M6" s="957" t="s">
        <v>759</v>
      </c>
      <c r="N6" s="958" t="s">
        <v>760</v>
      </c>
      <c r="O6" s="485"/>
      <c r="P6" s="956" t="s">
        <v>758</v>
      </c>
      <c r="Q6" s="957" t="s">
        <v>759</v>
      </c>
      <c r="R6" s="958" t="s">
        <v>760</v>
      </c>
    </row>
    <row r="7" spans="1:18" ht="20.100000000000001" customHeight="1">
      <c r="A7" s="475"/>
      <c r="B7" s="316">
        <v>0</v>
      </c>
      <c r="C7" s="959">
        <f t="shared" ref="C7:C30" si="0">SUM(D7:F7)</f>
        <v>15</v>
      </c>
      <c r="D7" s="960">
        <v>4</v>
      </c>
      <c r="E7" s="817">
        <v>6</v>
      </c>
      <c r="F7" s="817">
        <v>5</v>
      </c>
      <c r="G7" s="959">
        <f t="shared" ref="G7:G30" si="1">SUM(H7:J7)</f>
        <v>1</v>
      </c>
      <c r="H7" s="960">
        <v>0</v>
      </c>
      <c r="I7" s="817">
        <v>0</v>
      </c>
      <c r="J7" s="38">
        <v>1</v>
      </c>
      <c r="K7" s="961">
        <f t="shared" ref="K7:K30" si="2">SUM(L7:N7)</f>
        <v>14</v>
      </c>
      <c r="L7" s="960">
        <v>4</v>
      </c>
      <c r="M7" s="817">
        <v>6</v>
      </c>
      <c r="N7" s="38">
        <v>4</v>
      </c>
      <c r="O7" s="961">
        <f t="shared" ref="O7:O30" si="3">SUM(P7:R7)</f>
        <v>1</v>
      </c>
      <c r="P7" s="960">
        <v>0</v>
      </c>
      <c r="Q7" s="817">
        <v>1</v>
      </c>
      <c r="R7" s="38">
        <v>0</v>
      </c>
    </row>
    <row r="8" spans="1:18" ht="20.100000000000001" customHeight="1">
      <c r="A8" s="475" t="s">
        <v>390</v>
      </c>
      <c r="B8" s="584">
        <v>1</v>
      </c>
      <c r="C8" s="959">
        <f t="shared" si="0"/>
        <v>20</v>
      </c>
      <c r="D8" s="962">
        <v>7</v>
      </c>
      <c r="E8" s="819">
        <v>8</v>
      </c>
      <c r="F8" s="819">
        <v>5</v>
      </c>
      <c r="G8" s="959">
        <f t="shared" si="1"/>
        <v>1</v>
      </c>
      <c r="H8" s="962">
        <v>0</v>
      </c>
      <c r="I8" s="819">
        <v>0</v>
      </c>
      <c r="J8" s="19">
        <v>1</v>
      </c>
      <c r="K8" s="961">
        <f t="shared" si="2"/>
        <v>20</v>
      </c>
      <c r="L8" s="962">
        <v>7</v>
      </c>
      <c r="M8" s="819">
        <v>9</v>
      </c>
      <c r="N8" s="19">
        <v>4</v>
      </c>
      <c r="O8" s="961">
        <f t="shared" si="3"/>
        <v>3</v>
      </c>
      <c r="P8" s="962">
        <v>0</v>
      </c>
      <c r="Q8" s="819">
        <v>3</v>
      </c>
      <c r="R8" s="19">
        <v>0</v>
      </c>
    </row>
    <row r="9" spans="1:18" ht="20.100000000000001" customHeight="1">
      <c r="A9" s="475"/>
      <c r="B9" s="584">
        <v>2</v>
      </c>
      <c r="C9" s="959">
        <f t="shared" si="0"/>
        <v>15</v>
      </c>
      <c r="D9" s="962">
        <v>2</v>
      </c>
      <c r="E9" s="819">
        <v>9</v>
      </c>
      <c r="F9" s="819">
        <v>4</v>
      </c>
      <c r="G9" s="959">
        <f t="shared" si="1"/>
        <v>0</v>
      </c>
      <c r="H9" s="962">
        <v>0</v>
      </c>
      <c r="I9" s="819">
        <v>0</v>
      </c>
      <c r="J9" s="19">
        <v>0</v>
      </c>
      <c r="K9" s="961">
        <f t="shared" si="2"/>
        <v>17</v>
      </c>
      <c r="L9" s="962">
        <v>4</v>
      </c>
      <c r="M9" s="819">
        <v>9</v>
      </c>
      <c r="N9" s="19">
        <v>4</v>
      </c>
      <c r="O9" s="961">
        <f t="shared" si="3"/>
        <v>5</v>
      </c>
      <c r="P9" s="962">
        <v>0</v>
      </c>
      <c r="Q9" s="819">
        <v>4</v>
      </c>
      <c r="R9" s="19">
        <v>1</v>
      </c>
    </row>
    <row r="10" spans="1:18" ht="20.100000000000001" customHeight="1">
      <c r="A10" s="475" t="s">
        <v>391</v>
      </c>
      <c r="B10" s="584">
        <v>3</v>
      </c>
      <c r="C10" s="959">
        <f t="shared" si="0"/>
        <v>12</v>
      </c>
      <c r="D10" s="962">
        <v>4</v>
      </c>
      <c r="E10" s="819">
        <v>6</v>
      </c>
      <c r="F10" s="819">
        <v>2</v>
      </c>
      <c r="G10" s="959">
        <f t="shared" si="1"/>
        <v>1</v>
      </c>
      <c r="H10" s="962">
        <v>0</v>
      </c>
      <c r="I10" s="819">
        <v>1</v>
      </c>
      <c r="J10" s="19">
        <v>0</v>
      </c>
      <c r="K10" s="961">
        <f t="shared" si="2"/>
        <v>11</v>
      </c>
      <c r="L10" s="962">
        <v>4</v>
      </c>
      <c r="M10" s="819">
        <v>5</v>
      </c>
      <c r="N10" s="19">
        <v>2</v>
      </c>
      <c r="O10" s="961">
        <f t="shared" si="3"/>
        <v>4</v>
      </c>
      <c r="P10" s="962">
        <v>0</v>
      </c>
      <c r="Q10" s="819">
        <v>3</v>
      </c>
      <c r="R10" s="19">
        <v>1</v>
      </c>
    </row>
    <row r="11" spans="1:18" ht="20.100000000000001" customHeight="1">
      <c r="A11" s="475"/>
      <c r="B11" s="584">
        <v>4</v>
      </c>
      <c r="C11" s="959">
        <f t="shared" si="0"/>
        <v>8</v>
      </c>
      <c r="D11" s="962">
        <v>1</v>
      </c>
      <c r="E11" s="819">
        <v>6</v>
      </c>
      <c r="F11" s="819">
        <v>1</v>
      </c>
      <c r="G11" s="959">
        <f t="shared" si="1"/>
        <v>1</v>
      </c>
      <c r="H11" s="962">
        <v>0</v>
      </c>
      <c r="I11" s="819">
        <v>1</v>
      </c>
      <c r="J11" s="19">
        <v>0</v>
      </c>
      <c r="K11" s="961">
        <f t="shared" si="2"/>
        <v>7</v>
      </c>
      <c r="L11" s="962">
        <v>1</v>
      </c>
      <c r="M11" s="819">
        <v>5</v>
      </c>
      <c r="N11" s="19">
        <v>1</v>
      </c>
      <c r="O11" s="961">
        <f t="shared" si="3"/>
        <v>2</v>
      </c>
      <c r="P11" s="962">
        <v>0</v>
      </c>
      <c r="Q11" s="819">
        <v>1</v>
      </c>
      <c r="R11" s="19">
        <v>1</v>
      </c>
    </row>
    <row r="12" spans="1:18" ht="20.100000000000001" customHeight="1">
      <c r="A12" s="350"/>
      <c r="B12" s="584">
        <v>5</v>
      </c>
      <c r="C12" s="959">
        <f t="shared" si="0"/>
        <v>18</v>
      </c>
      <c r="D12" s="962">
        <v>4</v>
      </c>
      <c r="E12" s="819">
        <v>10</v>
      </c>
      <c r="F12" s="819">
        <v>4</v>
      </c>
      <c r="G12" s="959">
        <f t="shared" si="1"/>
        <v>2</v>
      </c>
      <c r="H12" s="962">
        <v>1</v>
      </c>
      <c r="I12" s="819">
        <v>1</v>
      </c>
      <c r="J12" s="19">
        <v>0</v>
      </c>
      <c r="K12" s="961">
        <f t="shared" si="2"/>
        <v>16</v>
      </c>
      <c r="L12" s="962">
        <v>3</v>
      </c>
      <c r="M12" s="819">
        <v>9</v>
      </c>
      <c r="N12" s="19">
        <v>4</v>
      </c>
      <c r="O12" s="961">
        <f t="shared" si="3"/>
        <v>5</v>
      </c>
      <c r="P12" s="962">
        <v>0</v>
      </c>
      <c r="Q12" s="819">
        <v>4</v>
      </c>
      <c r="R12" s="19">
        <v>1</v>
      </c>
    </row>
    <row r="13" spans="1:18" ht="20.100000000000001" customHeight="1">
      <c r="A13" s="321"/>
      <c r="B13" s="608">
        <v>6</v>
      </c>
      <c r="C13" s="959">
        <f t="shared" si="0"/>
        <v>18</v>
      </c>
      <c r="D13" s="962">
        <v>1</v>
      </c>
      <c r="E13" s="819">
        <v>14</v>
      </c>
      <c r="F13" s="819">
        <v>3</v>
      </c>
      <c r="G13" s="959">
        <f t="shared" si="1"/>
        <v>0</v>
      </c>
      <c r="H13" s="962">
        <v>0</v>
      </c>
      <c r="I13" s="819">
        <v>0</v>
      </c>
      <c r="J13" s="19">
        <v>0</v>
      </c>
      <c r="K13" s="961">
        <f t="shared" si="2"/>
        <v>18</v>
      </c>
      <c r="L13" s="962">
        <v>1</v>
      </c>
      <c r="M13" s="819">
        <v>14</v>
      </c>
      <c r="N13" s="19">
        <v>3</v>
      </c>
      <c r="O13" s="961">
        <f t="shared" si="3"/>
        <v>9</v>
      </c>
      <c r="P13" s="962">
        <v>0</v>
      </c>
      <c r="Q13" s="819">
        <v>7</v>
      </c>
      <c r="R13" s="19">
        <v>2</v>
      </c>
    </row>
    <row r="14" spans="1:18" ht="20.100000000000001" customHeight="1">
      <c r="A14" s="321"/>
      <c r="B14" s="608">
        <v>7</v>
      </c>
      <c r="C14" s="959">
        <f t="shared" si="0"/>
        <v>39</v>
      </c>
      <c r="D14" s="962">
        <v>15</v>
      </c>
      <c r="E14" s="819">
        <v>20</v>
      </c>
      <c r="F14" s="819">
        <v>4</v>
      </c>
      <c r="G14" s="959">
        <f t="shared" si="1"/>
        <v>0</v>
      </c>
      <c r="H14" s="962">
        <v>0</v>
      </c>
      <c r="I14" s="819">
        <v>0</v>
      </c>
      <c r="J14" s="19">
        <v>0</v>
      </c>
      <c r="K14" s="961">
        <f t="shared" si="2"/>
        <v>39</v>
      </c>
      <c r="L14" s="962">
        <v>15</v>
      </c>
      <c r="M14" s="819">
        <v>20</v>
      </c>
      <c r="N14" s="19">
        <v>4</v>
      </c>
      <c r="O14" s="961">
        <f t="shared" si="3"/>
        <v>6</v>
      </c>
      <c r="P14" s="962">
        <v>2</v>
      </c>
      <c r="Q14" s="819">
        <v>4</v>
      </c>
      <c r="R14" s="19">
        <v>0</v>
      </c>
    </row>
    <row r="15" spans="1:18" ht="20.100000000000001" customHeight="1">
      <c r="A15" s="321"/>
      <c r="B15" s="608">
        <v>8</v>
      </c>
      <c r="C15" s="959">
        <f t="shared" si="0"/>
        <v>65</v>
      </c>
      <c r="D15" s="962">
        <v>24</v>
      </c>
      <c r="E15" s="819">
        <v>30</v>
      </c>
      <c r="F15" s="819">
        <v>11</v>
      </c>
      <c r="G15" s="959">
        <f t="shared" si="1"/>
        <v>1</v>
      </c>
      <c r="H15" s="962">
        <v>0</v>
      </c>
      <c r="I15" s="819">
        <v>1</v>
      </c>
      <c r="J15" s="19">
        <v>0</v>
      </c>
      <c r="K15" s="961">
        <f t="shared" si="2"/>
        <v>65</v>
      </c>
      <c r="L15" s="962">
        <v>24</v>
      </c>
      <c r="M15" s="819">
        <v>29</v>
      </c>
      <c r="N15" s="19">
        <v>12</v>
      </c>
      <c r="O15" s="961">
        <f t="shared" si="3"/>
        <v>13</v>
      </c>
      <c r="P15" s="962">
        <v>3</v>
      </c>
      <c r="Q15" s="819">
        <v>7</v>
      </c>
      <c r="R15" s="19">
        <v>3</v>
      </c>
    </row>
    <row r="16" spans="1:18" ht="20.100000000000001" customHeight="1">
      <c r="A16" s="321"/>
      <c r="B16" s="608">
        <v>9</v>
      </c>
      <c r="C16" s="959">
        <f t="shared" si="0"/>
        <v>57</v>
      </c>
      <c r="D16" s="962">
        <v>14</v>
      </c>
      <c r="E16" s="819">
        <v>32</v>
      </c>
      <c r="F16" s="819">
        <v>11</v>
      </c>
      <c r="G16" s="959">
        <f t="shared" si="1"/>
        <v>0</v>
      </c>
      <c r="H16" s="962">
        <v>0</v>
      </c>
      <c r="I16" s="819">
        <v>0</v>
      </c>
      <c r="J16" s="19">
        <v>0</v>
      </c>
      <c r="K16" s="961">
        <f t="shared" si="2"/>
        <v>57</v>
      </c>
      <c r="L16" s="962">
        <v>14</v>
      </c>
      <c r="M16" s="819">
        <v>32</v>
      </c>
      <c r="N16" s="19">
        <v>11</v>
      </c>
      <c r="O16" s="961">
        <f t="shared" si="3"/>
        <v>8</v>
      </c>
      <c r="P16" s="962">
        <v>0</v>
      </c>
      <c r="Q16" s="819">
        <v>7</v>
      </c>
      <c r="R16" s="19">
        <v>1</v>
      </c>
    </row>
    <row r="17" spans="1:18" ht="20.100000000000001" customHeight="1">
      <c r="A17" s="321"/>
      <c r="B17" s="608">
        <v>10</v>
      </c>
      <c r="C17" s="959">
        <f t="shared" si="0"/>
        <v>47</v>
      </c>
      <c r="D17" s="962">
        <v>16</v>
      </c>
      <c r="E17" s="819">
        <v>19</v>
      </c>
      <c r="F17" s="819">
        <v>12</v>
      </c>
      <c r="G17" s="959">
        <f t="shared" si="1"/>
        <v>0</v>
      </c>
      <c r="H17" s="962">
        <v>0</v>
      </c>
      <c r="I17" s="819">
        <v>0</v>
      </c>
      <c r="J17" s="19">
        <v>0</v>
      </c>
      <c r="K17" s="961">
        <f t="shared" si="2"/>
        <v>47</v>
      </c>
      <c r="L17" s="962">
        <v>16</v>
      </c>
      <c r="M17" s="819">
        <v>19</v>
      </c>
      <c r="N17" s="19">
        <v>12</v>
      </c>
      <c r="O17" s="961">
        <f t="shared" si="3"/>
        <v>10</v>
      </c>
      <c r="P17" s="962">
        <v>2</v>
      </c>
      <c r="Q17" s="819">
        <v>4</v>
      </c>
      <c r="R17" s="19">
        <v>4</v>
      </c>
    </row>
    <row r="18" spans="1:18" ht="20.100000000000001" customHeight="1">
      <c r="A18" s="321"/>
      <c r="B18" s="608">
        <v>11</v>
      </c>
      <c r="C18" s="959">
        <f t="shared" si="0"/>
        <v>56</v>
      </c>
      <c r="D18" s="962">
        <v>20</v>
      </c>
      <c r="E18" s="819">
        <v>26</v>
      </c>
      <c r="F18" s="819">
        <v>10</v>
      </c>
      <c r="G18" s="959">
        <f t="shared" si="1"/>
        <v>1</v>
      </c>
      <c r="H18" s="962">
        <v>0</v>
      </c>
      <c r="I18" s="819">
        <v>1</v>
      </c>
      <c r="J18" s="19">
        <v>0</v>
      </c>
      <c r="K18" s="961">
        <f t="shared" si="2"/>
        <v>55</v>
      </c>
      <c r="L18" s="962">
        <v>20</v>
      </c>
      <c r="M18" s="819">
        <v>25</v>
      </c>
      <c r="N18" s="19">
        <v>10</v>
      </c>
      <c r="O18" s="961">
        <f t="shared" si="3"/>
        <v>7</v>
      </c>
      <c r="P18" s="962">
        <v>1</v>
      </c>
      <c r="Q18" s="819">
        <v>2</v>
      </c>
      <c r="R18" s="19">
        <v>4</v>
      </c>
    </row>
    <row r="19" spans="1:18" ht="20.100000000000001" customHeight="1">
      <c r="A19" s="321"/>
      <c r="B19" s="608">
        <v>12</v>
      </c>
      <c r="C19" s="959">
        <f t="shared" si="0"/>
        <v>42</v>
      </c>
      <c r="D19" s="962">
        <v>7</v>
      </c>
      <c r="E19" s="819">
        <v>25</v>
      </c>
      <c r="F19" s="819">
        <v>10</v>
      </c>
      <c r="G19" s="959">
        <f t="shared" si="1"/>
        <v>0</v>
      </c>
      <c r="H19" s="962">
        <v>0</v>
      </c>
      <c r="I19" s="819">
        <v>0</v>
      </c>
      <c r="J19" s="19">
        <v>0</v>
      </c>
      <c r="K19" s="961">
        <f t="shared" si="2"/>
        <v>44</v>
      </c>
      <c r="L19" s="962">
        <v>7</v>
      </c>
      <c r="M19" s="819">
        <v>26</v>
      </c>
      <c r="N19" s="19">
        <v>11</v>
      </c>
      <c r="O19" s="961">
        <f t="shared" si="3"/>
        <v>8</v>
      </c>
      <c r="P19" s="962">
        <v>0</v>
      </c>
      <c r="Q19" s="819">
        <v>8</v>
      </c>
      <c r="R19" s="19">
        <v>0</v>
      </c>
    </row>
    <row r="20" spans="1:18" ht="20.100000000000001" customHeight="1">
      <c r="A20" s="321"/>
      <c r="B20" s="608">
        <v>13</v>
      </c>
      <c r="C20" s="959">
        <f t="shared" si="0"/>
        <v>39</v>
      </c>
      <c r="D20" s="962">
        <v>14</v>
      </c>
      <c r="E20" s="819">
        <v>20</v>
      </c>
      <c r="F20" s="819">
        <v>5</v>
      </c>
      <c r="G20" s="959">
        <f t="shared" si="1"/>
        <v>0</v>
      </c>
      <c r="H20" s="962">
        <v>0</v>
      </c>
      <c r="I20" s="819">
        <v>0</v>
      </c>
      <c r="J20" s="19">
        <v>0</v>
      </c>
      <c r="K20" s="961">
        <f t="shared" si="2"/>
        <v>39</v>
      </c>
      <c r="L20" s="962">
        <v>14</v>
      </c>
      <c r="M20" s="819">
        <v>20</v>
      </c>
      <c r="N20" s="19">
        <v>5</v>
      </c>
      <c r="O20" s="961">
        <f t="shared" si="3"/>
        <v>9</v>
      </c>
      <c r="P20" s="962">
        <v>3</v>
      </c>
      <c r="Q20" s="819">
        <v>5</v>
      </c>
      <c r="R20" s="19">
        <v>1</v>
      </c>
    </row>
    <row r="21" spans="1:18" ht="20.100000000000001" customHeight="1">
      <c r="A21" s="321"/>
      <c r="B21" s="608">
        <v>14</v>
      </c>
      <c r="C21" s="959">
        <f t="shared" si="0"/>
        <v>48</v>
      </c>
      <c r="D21" s="962">
        <v>10</v>
      </c>
      <c r="E21" s="819">
        <v>26</v>
      </c>
      <c r="F21" s="819">
        <v>12</v>
      </c>
      <c r="G21" s="959">
        <f t="shared" si="1"/>
        <v>0</v>
      </c>
      <c r="H21" s="962">
        <v>0</v>
      </c>
      <c r="I21" s="819">
        <v>0</v>
      </c>
      <c r="J21" s="19">
        <v>0</v>
      </c>
      <c r="K21" s="961">
        <f t="shared" si="2"/>
        <v>51</v>
      </c>
      <c r="L21" s="962">
        <v>10</v>
      </c>
      <c r="M21" s="819">
        <v>27</v>
      </c>
      <c r="N21" s="19">
        <v>14</v>
      </c>
      <c r="O21" s="961">
        <f t="shared" si="3"/>
        <v>8</v>
      </c>
      <c r="P21" s="962">
        <v>1</v>
      </c>
      <c r="Q21" s="819">
        <v>5</v>
      </c>
      <c r="R21" s="19">
        <v>2</v>
      </c>
    </row>
    <row r="22" spans="1:18" ht="20.100000000000001" customHeight="1">
      <c r="A22" s="321"/>
      <c r="B22" s="608">
        <v>15</v>
      </c>
      <c r="C22" s="959">
        <f t="shared" si="0"/>
        <v>51</v>
      </c>
      <c r="D22" s="962">
        <v>20</v>
      </c>
      <c r="E22" s="819">
        <v>20</v>
      </c>
      <c r="F22" s="819">
        <v>11</v>
      </c>
      <c r="G22" s="959">
        <f t="shared" si="1"/>
        <v>0</v>
      </c>
      <c r="H22" s="962">
        <v>0</v>
      </c>
      <c r="I22" s="819">
        <v>0</v>
      </c>
      <c r="J22" s="19">
        <v>0</v>
      </c>
      <c r="K22" s="961">
        <f t="shared" si="2"/>
        <v>53</v>
      </c>
      <c r="L22" s="962">
        <v>20</v>
      </c>
      <c r="M22" s="819">
        <v>20</v>
      </c>
      <c r="N22" s="19">
        <v>13</v>
      </c>
      <c r="O22" s="961">
        <f t="shared" si="3"/>
        <v>11</v>
      </c>
      <c r="P22" s="962">
        <v>2</v>
      </c>
      <c r="Q22" s="819">
        <v>6</v>
      </c>
      <c r="R22" s="19">
        <v>3</v>
      </c>
    </row>
    <row r="23" spans="1:18" ht="20.100000000000001" customHeight="1">
      <c r="A23" s="321"/>
      <c r="B23" s="608">
        <v>16</v>
      </c>
      <c r="C23" s="959">
        <f t="shared" si="0"/>
        <v>52</v>
      </c>
      <c r="D23" s="962">
        <v>15</v>
      </c>
      <c r="E23" s="819">
        <v>24</v>
      </c>
      <c r="F23" s="819">
        <v>13</v>
      </c>
      <c r="G23" s="959">
        <f t="shared" si="1"/>
        <v>0</v>
      </c>
      <c r="H23" s="962">
        <v>0</v>
      </c>
      <c r="I23" s="819">
        <v>0</v>
      </c>
      <c r="J23" s="19">
        <v>0</v>
      </c>
      <c r="K23" s="961">
        <f t="shared" si="2"/>
        <v>52</v>
      </c>
      <c r="L23" s="962">
        <v>15</v>
      </c>
      <c r="M23" s="819">
        <v>24</v>
      </c>
      <c r="N23" s="19">
        <v>13</v>
      </c>
      <c r="O23" s="961">
        <f t="shared" si="3"/>
        <v>10</v>
      </c>
      <c r="P23" s="962">
        <v>4</v>
      </c>
      <c r="Q23" s="819">
        <v>5</v>
      </c>
      <c r="R23" s="19">
        <v>1</v>
      </c>
    </row>
    <row r="24" spans="1:18" ht="20.100000000000001" customHeight="1">
      <c r="A24" s="321"/>
      <c r="B24" s="608">
        <v>17</v>
      </c>
      <c r="C24" s="959">
        <f t="shared" si="0"/>
        <v>64</v>
      </c>
      <c r="D24" s="962">
        <v>17</v>
      </c>
      <c r="E24" s="819">
        <v>37</v>
      </c>
      <c r="F24" s="819">
        <v>10</v>
      </c>
      <c r="G24" s="959">
        <f t="shared" si="1"/>
        <v>1</v>
      </c>
      <c r="H24" s="962">
        <v>1</v>
      </c>
      <c r="I24" s="819">
        <v>0</v>
      </c>
      <c r="J24" s="19">
        <v>0</v>
      </c>
      <c r="K24" s="961">
        <f t="shared" si="2"/>
        <v>65</v>
      </c>
      <c r="L24" s="962">
        <v>16</v>
      </c>
      <c r="M24" s="819">
        <v>38</v>
      </c>
      <c r="N24" s="19">
        <v>11</v>
      </c>
      <c r="O24" s="961">
        <f t="shared" si="3"/>
        <v>14</v>
      </c>
      <c r="P24" s="962">
        <v>4</v>
      </c>
      <c r="Q24" s="819">
        <v>7</v>
      </c>
      <c r="R24" s="19">
        <v>3</v>
      </c>
    </row>
    <row r="25" spans="1:18" ht="20.100000000000001" customHeight="1">
      <c r="A25" s="474"/>
      <c r="B25" s="584">
        <v>18</v>
      </c>
      <c r="C25" s="959">
        <f t="shared" si="0"/>
        <v>58</v>
      </c>
      <c r="D25" s="962">
        <v>14</v>
      </c>
      <c r="E25" s="819">
        <v>33</v>
      </c>
      <c r="F25" s="819">
        <v>11</v>
      </c>
      <c r="G25" s="959">
        <f t="shared" si="1"/>
        <v>1</v>
      </c>
      <c r="H25" s="962">
        <v>0</v>
      </c>
      <c r="I25" s="819">
        <v>1</v>
      </c>
      <c r="J25" s="19">
        <v>0</v>
      </c>
      <c r="K25" s="961">
        <f t="shared" si="2"/>
        <v>58</v>
      </c>
      <c r="L25" s="962">
        <v>14</v>
      </c>
      <c r="M25" s="819">
        <v>33</v>
      </c>
      <c r="N25" s="19">
        <v>11</v>
      </c>
      <c r="O25" s="961">
        <f t="shared" si="3"/>
        <v>13</v>
      </c>
      <c r="P25" s="962">
        <v>2</v>
      </c>
      <c r="Q25" s="819">
        <v>10</v>
      </c>
      <c r="R25" s="19">
        <v>1</v>
      </c>
    </row>
    <row r="26" spans="1:18" ht="20.100000000000001" customHeight="1">
      <c r="A26" s="475" t="s">
        <v>390</v>
      </c>
      <c r="B26" s="584">
        <v>19</v>
      </c>
      <c r="C26" s="959">
        <f t="shared" si="0"/>
        <v>56</v>
      </c>
      <c r="D26" s="962">
        <v>17</v>
      </c>
      <c r="E26" s="819">
        <v>31</v>
      </c>
      <c r="F26" s="819">
        <v>8</v>
      </c>
      <c r="G26" s="959">
        <f t="shared" si="1"/>
        <v>1</v>
      </c>
      <c r="H26" s="962">
        <v>0</v>
      </c>
      <c r="I26" s="819">
        <v>1</v>
      </c>
      <c r="J26" s="19">
        <v>0</v>
      </c>
      <c r="K26" s="961">
        <f t="shared" si="2"/>
        <v>57</v>
      </c>
      <c r="L26" s="962">
        <v>17</v>
      </c>
      <c r="M26" s="819">
        <v>32</v>
      </c>
      <c r="N26" s="19">
        <v>8</v>
      </c>
      <c r="O26" s="961">
        <f t="shared" si="3"/>
        <v>11</v>
      </c>
      <c r="P26" s="962">
        <v>1</v>
      </c>
      <c r="Q26" s="819">
        <v>7</v>
      </c>
      <c r="R26" s="19">
        <v>3</v>
      </c>
    </row>
    <row r="27" spans="1:18" ht="20.100000000000001" customHeight="1">
      <c r="A27" s="475"/>
      <c r="B27" s="584">
        <v>20</v>
      </c>
      <c r="C27" s="959">
        <f t="shared" si="0"/>
        <v>40</v>
      </c>
      <c r="D27" s="962">
        <v>13</v>
      </c>
      <c r="E27" s="819">
        <v>16</v>
      </c>
      <c r="F27" s="819">
        <v>11</v>
      </c>
      <c r="G27" s="959">
        <f t="shared" si="1"/>
        <v>0</v>
      </c>
      <c r="H27" s="962">
        <v>0</v>
      </c>
      <c r="I27" s="819">
        <v>0</v>
      </c>
      <c r="J27" s="19">
        <v>0</v>
      </c>
      <c r="K27" s="961">
        <f t="shared" si="2"/>
        <v>41</v>
      </c>
      <c r="L27" s="962">
        <v>14</v>
      </c>
      <c r="M27" s="819">
        <v>16</v>
      </c>
      <c r="N27" s="19">
        <v>11</v>
      </c>
      <c r="O27" s="961">
        <f t="shared" si="3"/>
        <v>6</v>
      </c>
      <c r="P27" s="962">
        <v>2</v>
      </c>
      <c r="Q27" s="819">
        <v>3</v>
      </c>
      <c r="R27" s="19">
        <v>1</v>
      </c>
    </row>
    <row r="28" spans="1:18" ht="20.100000000000001" customHeight="1">
      <c r="A28" s="475" t="s">
        <v>391</v>
      </c>
      <c r="B28" s="584">
        <v>21</v>
      </c>
      <c r="C28" s="959">
        <f t="shared" si="0"/>
        <v>32</v>
      </c>
      <c r="D28" s="962">
        <v>8</v>
      </c>
      <c r="E28" s="819">
        <v>15</v>
      </c>
      <c r="F28" s="819">
        <v>9</v>
      </c>
      <c r="G28" s="959">
        <f t="shared" si="1"/>
        <v>1</v>
      </c>
      <c r="H28" s="962">
        <v>0</v>
      </c>
      <c r="I28" s="819">
        <v>1</v>
      </c>
      <c r="J28" s="19">
        <v>0</v>
      </c>
      <c r="K28" s="961">
        <f t="shared" si="2"/>
        <v>32</v>
      </c>
      <c r="L28" s="962">
        <v>8</v>
      </c>
      <c r="M28" s="819">
        <v>14</v>
      </c>
      <c r="N28" s="19">
        <v>10</v>
      </c>
      <c r="O28" s="961">
        <f t="shared" si="3"/>
        <v>6</v>
      </c>
      <c r="P28" s="962">
        <v>1</v>
      </c>
      <c r="Q28" s="819">
        <v>3</v>
      </c>
      <c r="R28" s="19">
        <v>2</v>
      </c>
    </row>
    <row r="29" spans="1:18" ht="20.100000000000001" customHeight="1">
      <c r="A29" s="475"/>
      <c r="B29" s="584">
        <v>22</v>
      </c>
      <c r="C29" s="959">
        <f t="shared" si="0"/>
        <v>22</v>
      </c>
      <c r="D29" s="962">
        <v>6</v>
      </c>
      <c r="E29" s="819">
        <v>12</v>
      </c>
      <c r="F29" s="819">
        <v>4</v>
      </c>
      <c r="G29" s="959">
        <f t="shared" si="1"/>
        <v>0</v>
      </c>
      <c r="H29" s="962">
        <v>0</v>
      </c>
      <c r="I29" s="819">
        <v>0</v>
      </c>
      <c r="J29" s="19">
        <v>0</v>
      </c>
      <c r="K29" s="961">
        <f t="shared" si="2"/>
        <v>22</v>
      </c>
      <c r="L29" s="962">
        <v>6</v>
      </c>
      <c r="M29" s="819">
        <v>12</v>
      </c>
      <c r="N29" s="19">
        <v>4</v>
      </c>
      <c r="O29" s="961">
        <f t="shared" si="3"/>
        <v>4</v>
      </c>
      <c r="P29" s="962">
        <v>0</v>
      </c>
      <c r="Q29" s="819">
        <v>4</v>
      </c>
      <c r="R29" s="19">
        <v>0</v>
      </c>
    </row>
    <row r="30" spans="1:18" ht="20.100000000000001" customHeight="1" thickBot="1">
      <c r="A30" s="475"/>
      <c r="B30" s="613">
        <v>23</v>
      </c>
      <c r="C30" s="963">
        <f t="shared" si="0"/>
        <v>18</v>
      </c>
      <c r="D30" s="964">
        <v>5</v>
      </c>
      <c r="E30" s="823">
        <v>10</v>
      </c>
      <c r="F30" s="823">
        <v>3</v>
      </c>
      <c r="G30" s="963">
        <f t="shared" si="1"/>
        <v>0</v>
      </c>
      <c r="H30" s="964">
        <v>0</v>
      </c>
      <c r="I30" s="823">
        <v>0</v>
      </c>
      <c r="J30" s="34">
        <v>0</v>
      </c>
      <c r="K30" s="965">
        <f t="shared" si="2"/>
        <v>19</v>
      </c>
      <c r="L30" s="964">
        <v>6</v>
      </c>
      <c r="M30" s="823">
        <v>10</v>
      </c>
      <c r="N30" s="34">
        <v>3</v>
      </c>
      <c r="O30" s="965">
        <f t="shared" si="3"/>
        <v>3</v>
      </c>
      <c r="P30" s="964">
        <v>1</v>
      </c>
      <c r="Q30" s="823">
        <v>2</v>
      </c>
      <c r="R30" s="34">
        <v>0</v>
      </c>
    </row>
    <row r="31" spans="1:18" ht="20.100000000000001" customHeight="1">
      <c r="A31" s="1675" t="s">
        <v>392</v>
      </c>
      <c r="B31" s="1540"/>
      <c r="C31" s="966">
        <f t="shared" ref="C31:R31" si="4">SUM(C13:C24)</f>
        <v>578</v>
      </c>
      <c r="D31" s="967">
        <f t="shared" si="4"/>
        <v>173</v>
      </c>
      <c r="E31" s="967">
        <f t="shared" si="4"/>
        <v>293</v>
      </c>
      <c r="F31" s="968">
        <f t="shared" si="4"/>
        <v>112</v>
      </c>
      <c r="G31" s="966">
        <f t="shared" si="4"/>
        <v>3</v>
      </c>
      <c r="H31" s="967">
        <v>1</v>
      </c>
      <c r="I31" s="967">
        <v>2</v>
      </c>
      <c r="J31" s="968">
        <v>0</v>
      </c>
      <c r="K31" s="969">
        <f t="shared" si="4"/>
        <v>585</v>
      </c>
      <c r="L31" s="967">
        <f t="shared" si="4"/>
        <v>172</v>
      </c>
      <c r="M31" s="967">
        <f t="shared" si="4"/>
        <v>294</v>
      </c>
      <c r="N31" s="968">
        <f t="shared" si="4"/>
        <v>119</v>
      </c>
      <c r="O31" s="969">
        <f t="shared" si="4"/>
        <v>113</v>
      </c>
      <c r="P31" s="967">
        <f t="shared" si="4"/>
        <v>22</v>
      </c>
      <c r="Q31" s="967">
        <f t="shared" si="4"/>
        <v>67</v>
      </c>
      <c r="R31" s="968">
        <f t="shared" si="4"/>
        <v>24</v>
      </c>
    </row>
    <row r="32" spans="1:18" ht="20.100000000000001" customHeight="1">
      <c r="A32" s="1676" t="s">
        <v>393</v>
      </c>
      <c r="B32" s="1846"/>
      <c r="C32" s="970">
        <f t="shared" ref="C32:R32" si="5">C33-C31</f>
        <v>314</v>
      </c>
      <c r="D32" s="971">
        <f t="shared" si="5"/>
        <v>85</v>
      </c>
      <c r="E32" s="971">
        <f t="shared" si="5"/>
        <v>162</v>
      </c>
      <c r="F32" s="972">
        <f t="shared" si="5"/>
        <v>67</v>
      </c>
      <c r="G32" s="970">
        <f t="shared" si="5"/>
        <v>9</v>
      </c>
      <c r="H32" s="971">
        <v>1</v>
      </c>
      <c r="I32" s="971">
        <v>6</v>
      </c>
      <c r="J32" s="972">
        <v>2</v>
      </c>
      <c r="K32" s="973">
        <f t="shared" si="5"/>
        <v>314</v>
      </c>
      <c r="L32" s="971">
        <f t="shared" si="5"/>
        <v>88</v>
      </c>
      <c r="M32" s="971">
        <f t="shared" si="5"/>
        <v>160</v>
      </c>
      <c r="N32" s="972">
        <f t="shared" si="5"/>
        <v>66</v>
      </c>
      <c r="O32" s="973">
        <f t="shared" si="5"/>
        <v>63</v>
      </c>
      <c r="P32" s="971">
        <f t="shared" si="5"/>
        <v>7</v>
      </c>
      <c r="Q32" s="971">
        <f t="shared" si="5"/>
        <v>45</v>
      </c>
      <c r="R32" s="972">
        <f t="shared" si="5"/>
        <v>11</v>
      </c>
    </row>
    <row r="33" spans="1:18" ht="20.100000000000001" customHeight="1" thickBot="1">
      <c r="A33" s="1670" t="s">
        <v>997</v>
      </c>
      <c r="B33" s="1956"/>
      <c r="C33" s="974">
        <f t="shared" ref="C33:R33" si="6">SUM(C7:C30)</f>
        <v>892</v>
      </c>
      <c r="D33" s="975">
        <f t="shared" si="6"/>
        <v>258</v>
      </c>
      <c r="E33" s="975">
        <f t="shared" si="6"/>
        <v>455</v>
      </c>
      <c r="F33" s="976">
        <f t="shared" si="6"/>
        <v>179</v>
      </c>
      <c r="G33" s="974">
        <f t="shared" si="6"/>
        <v>12</v>
      </c>
      <c r="H33" s="975">
        <v>2</v>
      </c>
      <c r="I33" s="975">
        <v>8</v>
      </c>
      <c r="J33" s="976">
        <v>2</v>
      </c>
      <c r="K33" s="977">
        <f t="shared" si="6"/>
        <v>899</v>
      </c>
      <c r="L33" s="975">
        <f t="shared" si="6"/>
        <v>260</v>
      </c>
      <c r="M33" s="975">
        <f t="shared" si="6"/>
        <v>454</v>
      </c>
      <c r="N33" s="976">
        <f t="shared" si="6"/>
        <v>185</v>
      </c>
      <c r="O33" s="977">
        <f t="shared" si="6"/>
        <v>176</v>
      </c>
      <c r="P33" s="975">
        <f t="shared" si="6"/>
        <v>29</v>
      </c>
      <c r="Q33" s="975">
        <f t="shared" si="6"/>
        <v>112</v>
      </c>
      <c r="R33" s="976">
        <f t="shared" si="6"/>
        <v>35</v>
      </c>
    </row>
    <row r="34" spans="1:18" ht="20.100000000000001" customHeight="1">
      <c r="A34" s="2" t="s">
        <v>761</v>
      </c>
      <c r="B34" s="978"/>
      <c r="C34" s="978"/>
      <c r="D34" s="978"/>
      <c r="E34" s="978"/>
      <c r="F34" s="978"/>
      <c r="G34" s="978"/>
      <c r="H34" s="978"/>
      <c r="I34" s="978"/>
      <c r="J34" s="978"/>
      <c r="K34" s="978"/>
      <c r="L34" s="978"/>
      <c r="M34" s="487"/>
      <c r="O34" s="978"/>
      <c r="P34" s="978"/>
      <c r="Q34" s="487"/>
    </row>
    <row r="35" spans="1:18">
      <c r="B35" s="487"/>
      <c r="C35" s="487"/>
      <c r="D35" s="487"/>
      <c r="E35" s="487"/>
      <c r="F35" s="487"/>
      <c r="G35" s="487"/>
      <c r="H35" s="487"/>
      <c r="I35" s="487"/>
      <c r="J35" s="487"/>
      <c r="K35" s="487"/>
      <c r="L35" s="487"/>
      <c r="M35" s="487"/>
      <c r="O35" s="487"/>
      <c r="P35" s="487"/>
      <c r="Q35" s="487"/>
    </row>
  </sheetData>
  <mergeCells count="13">
    <mergeCell ref="A1:F1"/>
    <mergeCell ref="A2:F2"/>
    <mergeCell ref="C3:E4"/>
    <mergeCell ref="F3:F4"/>
    <mergeCell ref="G3:I4"/>
    <mergeCell ref="A33:B33"/>
    <mergeCell ref="K3:M4"/>
    <mergeCell ref="N3:N4"/>
    <mergeCell ref="O3:Q3"/>
    <mergeCell ref="O4:Q4"/>
    <mergeCell ref="A31:B31"/>
    <mergeCell ref="A32:B32"/>
    <mergeCell ref="J3:J4"/>
  </mergeCells>
  <phoneticPr fontId="3"/>
  <pageMargins left="0.78740157480314965" right="0.59055118110236227" top="0.98425196850393704" bottom="0.98425196850393704" header="0.51181102362204722" footer="0.51181102362204722"/>
  <pageSetup paperSize="9" scale="70" orientation="portrait" r:id="rId1"/>
  <headerFooter alignWithMargins="0">
    <oddFooter xml:space="preserve">&amp;C－31－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view="pageBreakPreview" zoomScaleNormal="100" zoomScaleSheetLayoutView="100" workbookViewId="0">
      <selection activeCell="N16" sqref="N16"/>
    </sheetView>
  </sheetViews>
  <sheetFormatPr defaultRowHeight="14.25"/>
  <cols>
    <col min="1" max="1" width="1.875" style="2" customWidth="1"/>
    <col min="2" max="2" width="10.5" style="2" customWidth="1"/>
    <col min="3" max="15" width="6.375" style="2" customWidth="1"/>
    <col min="16" max="16" width="1.5" style="2" hidden="1" customWidth="1"/>
    <col min="17" max="16384" width="9" style="2"/>
  </cols>
  <sheetData>
    <row r="1" spans="1:15" ht="15">
      <c r="A1" s="70" t="s">
        <v>762</v>
      </c>
      <c r="B1" s="70"/>
      <c r="C1" s="690"/>
      <c r="D1" s="690"/>
      <c r="E1" s="690"/>
      <c r="F1" s="690"/>
      <c r="G1" s="690"/>
      <c r="H1" s="690"/>
      <c r="I1" s="690"/>
      <c r="J1" s="690"/>
      <c r="K1" s="690"/>
      <c r="L1" s="690"/>
      <c r="M1" s="690"/>
      <c r="N1" s="690"/>
      <c r="O1" s="690"/>
    </row>
    <row r="2" spans="1:15" ht="8.25" customHeight="1">
      <c r="A2" s="901"/>
      <c r="B2" s="901"/>
      <c r="C2" s="902"/>
      <c r="D2" s="902"/>
      <c r="E2" s="902"/>
      <c r="F2" s="902"/>
      <c r="G2" s="902"/>
      <c r="H2" s="902"/>
      <c r="I2" s="902"/>
      <c r="J2" s="902"/>
      <c r="K2" s="902"/>
      <c r="L2" s="902"/>
      <c r="M2" s="690"/>
      <c r="N2" s="690"/>
      <c r="O2" s="690"/>
    </row>
    <row r="3" spans="1:15" ht="15.75" thickBot="1">
      <c r="A3" s="70" t="s">
        <v>763</v>
      </c>
      <c r="B3" s="70"/>
      <c r="C3" s="690"/>
      <c r="D3" s="690"/>
      <c r="E3" s="690"/>
      <c r="F3" s="690"/>
      <c r="G3" s="690"/>
      <c r="H3" s="690"/>
      <c r="I3" s="690"/>
      <c r="J3" s="690"/>
      <c r="K3" s="690"/>
      <c r="L3" s="690"/>
      <c r="M3" s="690"/>
      <c r="N3" s="690"/>
      <c r="O3" s="690"/>
    </row>
    <row r="4" spans="1:15" ht="15" customHeight="1">
      <c r="A4" s="1972" t="s">
        <v>764</v>
      </c>
      <c r="B4" s="1973"/>
      <c r="C4" s="1791" t="s">
        <v>549</v>
      </c>
      <c r="D4" s="1708" t="s">
        <v>718</v>
      </c>
      <c r="E4" s="1708" t="s">
        <v>719</v>
      </c>
      <c r="F4" s="1708" t="s">
        <v>683</v>
      </c>
      <c r="G4" s="1708" t="s">
        <v>684</v>
      </c>
      <c r="H4" s="1708" t="s">
        <v>685</v>
      </c>
      <c r="I4" s="1708" t="s">
        <v>686</v>
      </c>
      <c r="J4" s="1708" t="s">
        <v>358</v>
      </c>
      <c r="K4" s="1708" t="s">
        <v>359</v>
      </c>
      <c r="L4" s="1708" t="s">
        <v>765</v>
      </c>
      <c r="M4" s="1708" t="s">
        <v>766</v>
      </c>
      <c r="N4" s="1964" t="s">
        <v>767</v>
      </c>
      <c r="O4" s="1966" t="s">
        <v>694</v>
      </c>
    </row>
    <row r="5" spans="1:15" ht="18.75" customHeight="1" thickBot="1">
      <c r="A5" s="979" t="s">
        <v>768</v>
      </c>
      <c r="B5" s="980"/>
      <c r="C5" s="1792"/>
      <c r="D5" s="1970"/>
      <c r="E5" s="1970"/>
      <c r="F5" s="1970"/>
      <c r="G5" s="1970"/>
      <c r="H5" s="1970"/>
      <c r="I5" s="1970"/>
      <c r="J5" s="1970"/>
      <c r="K5" s="1970"/>
      <c r="L5" s="1970"/>
      <c r="M5" s="1970"/>
      <c r="N5" s="1965"/>
      <c r="O5" s="1785"/>
    </row>
    <row r="6" spans="1:15" ht="36.75" customHeight="1">
      <c r="A6" s="1967" t="s">
        <v>769</v>
      </c>
      <c r="B6" s="1417"/>
      <c r="C6" s="981">
        <v>3067</v>
      </c>
      <c r="D6" s="982">
        <v>6110</v>
      </c>
      <c r="E6" s="77">
        <v>5992</v>
      </c>
      <c r="F6" s="983">
        <v>5587</v>
      </c>
      <c r="G6" s="984">
        <v>5172</v>
      </c>
      <c r="H6" s="984">
        <v>4916</v>
      </c>
      <c r="I6" s="984">
        <v>4720</v>
      </c>
      <c r="J6" s="694">
        <v>4458</v>
      </c>
      <c r="K6" s="694">
        <v>4367</v>
      </c>
      <c r="L6" s="74">
        <v>4174</v>
      </c>
      <c r="M6" s="74">
        <v>3538</v>
      </c>
      <c r="N6" s="985">
        <v>3639</v>
      </c>
      <c r="O6" s="710">
        <v>3453</v>
      </c>
    </row>
    <row r="7" spans="1:15" ht="36.75" customHeight="1">
      <c r="A7" s="1968" t="s">
        <v>770</v>
      </c>
      <c r="B7" s="1433"/>
      <c r="C7" s="103">
        <v>33</v>
      </c>
      <c r="D7" s="81">
        <v>14</v>
      </c>
      <c r="E7" s="83">
        <v>20</v>
      </c>
      <c r="F7" s="775">
        <v>15</v>
      </c>
      <c r="G7" s="82">
        <v>13</v>
      </c>
      <c r="H7" s="82">
        <v>19</v>
      </c>
      <c r="I7" s="82">
        <v>8</v>
      </c>
      <c r="J7" s="109">
        <v>13</v>
      </c>
      <c r="K7" s="109">
        <v>7</v>
      </c>
      <c r="L7" s="86">
        <v>11</v>
      </c>
      <c r="M7" s="86">
        <v>12</v>
      </c>
      <c r="N7" s="904">
        <v>9</v>
      </c>
      <c r="O7" s="380">
        <v>8</v>
      </c>
    </row>
    <row r="8" spans="1:15" ht="36.75" customHeight="1">
      <c r="A8" s="1969" t="s">
        <v>771</v>
      </c>
      <c r="B8" s="1433"/>
      <c r="C8" s="85">
        <v>3182</v>
      </c>
      <c r="D8" s="89">
        <v>6331</v>
      </c>
      <c r="E8" s="87">
        <v>6185</v>
      </c>
      <c r="F8" s="89">
        <v>5789</v>
      </c>
      <c r="G8" s="82">
        <v>5335</v>
      </c>
      <c r="H8" s="82">
        <v>5060</v>
      </c>
      <c r="I8" s="82">
        <v>4913</v>
      </c>
      <c r="J8" s="109">
        <v>4644</v>
      </c>
      <c r="K8" s="109">
        <v>4552</v>
      </c>
      <c r="L8" s="86">
        <v>4327</v>
      </c>
      <c r="M8" s="86">
        <v>3680</v>
      </c>
      <c r="N8" s="904">
        <v>3798</v>
      </c>
      <c r="O8" s="380">
        <v>3591</v>
      </c>
    </row>
    <row r="9" spans="1:15" ht="36.75" customHeight="1">
      <c r="A9" s="986"/>
      <c r="B9" s="1354" t="s">
        <v>949</v>
      </c>
      <c r="C9" s="987" t="s">
        <v>15</v>
      </c>
      <c r="D9" s="457" t="s">
        <v>634</v>
      </c>
      <c r="E9" s="905" t="s">
        <v>634</v>
      </c>
      <c r="F9" s="457" t="s">
        <v>634</v>
      </c>
      <c r="G9" s="785" t="s">
        <v>634</v>
      </c>
      <c r="H9" s="785" t="s">
        <v>634</v>
      </c>
      <c r="I9" s="785" t="s">
        <v>634</v>
      </c>
      <c r="J9" s="702" t="s">
        <v>634</v>
      </c>
      <c r="K9" s="109">
        <v>539</v>
      </c>
      <c r="L9" s="86">
        <v>511</v>
      </c>
      <c r="M9" s="86">
        <v>438</v>
      </c>
      <c r="N9" s="904">
        <v>423</v>
      </c>
      <c r="O9" s="380">
        <v>478</v>
      </c>
    </row>
    <row r="10" spans="1:15" ht="36.75" customHeight="1">
      <c r="A10" s="1971" t="s">
        <v>772</v>
      </c>
      <c r="B10" s="1433"/>
      <c r="C10" s="108">
        <v>280</v>
      </c>
      <c r="D10" s="904">
        <v>65</v>
      </c>
      <c r="E10" s="86">
        <v>51</v>
      </c>
      <c r="F10" s="703">
        <v>49</v>
      </c>
      <c r="G10" s="109">
        <v>51</v>
      </c>
      <c r="H10" s="109">
        <v>51</v>
      </c>
      <c r="I10" s="109">
        <v>49</v>
      </c>
      <c r="J10" s="109">
        <v>44</v>
      </c>
      <c r="K10" s="109">
        <v>44</v>
      </c>
      <c r="L10" s="86">
        <v>34</v>
      </c>
      <c r="M10" s="86">
        <v>37</v>
      </c>
      <c r="N10" s="904">
        <v>43</v>
      </c>
      <c r="O10" s="380">
        <v>40</v>
      </c>
    </row>
    <row r="11" spans="1:15" ht="36.75" customHeight="1" thickBot="1">
      <c r="A11" s="1959" t="s">
        <v>773</v>
      </c>
      <c r="B11" s="1823"/>
      <c r="C11" s="704">
        <f t="shared" ref="C11:O11" si="0">C7/C10*100</f>
        <v>11.785714285714285</v>
      </c>
      <c r="D11" s="988">
        <f t="shared" si="0"/>
        <v>21.53846153846154</v>
      </c>
      <c r="E11" s="988">
        <f t="shared" si="0"/>
        <v>39.215686274509807</v>
      </c>
      <c r="F11" s="988">
        <f t="shared" si="0"/>
        <v>30.612244897959183</v>
      </c>
      <c r="G11" s="988">
        <f t="shared" si="0"/>
        <v>25.490196078431371</v>
      </c>
      <c r="H11" s="705">
        <f t="shared" si="0"/>
        <v>37.254901960784316</v>
      </c>
      <c r="I11" s="989">
        <f t="shared" si="0"/>
        <v>16.326530612244898</v>
      </c>
      <c r="J11" s="989">
        <f t="shared" si="0"/>
        <v>29.545454545454547</v>
      </c>
      <c r="K11" s="989">
        <f t="shared" si="0"/>
        <v>15.909090909090908</v>
      </c>
      <c r="L11" s="990">
        <f t="shared" si="0"/>
        <v>32.352941176470587</v>
      </c>
      <c r="M11" s="990">
        <f t="shared" si="0"/>
        <v>32.432432432432435</v>
      </c>
      <c r="N11" s="991">
        <f t="shared" si="0"/>
        <v>20.930232558139537</v>
      </c>
      <c r="O11" s="992">
        <f t="shared" si="0"/>
        <v>20</v>
      </c>
    </row>
    <row r="12" spans="1:15">
      <c r="A12" s="9" t="s">
        <v>774</v>
      </c>
      <c r="B12" s="9"/>
      <c r="C12" s="708"/>
      <c r="D12" s="708"/>
      <c r="E12" s="708"/>
      <c r="F12" s="708"/>
      <c r="G12" s="708"/>
      <c r="H12" s="708"/>
      <c r="I12" s="708"/>
      <c r="J12" s="708"/>
      <c r="K12" s="708"/>
      <c r="L12" s="708"/>
      <c r="M12" s="708"/>
      <c r="N12" s="708"/>
      <c r="O12" s="708"/>
    </row>
    <row r="13" spans="1:15">
      <c r="A13" s="9" t="s">
        <v>775</v>
      </c>
      <c r="B13" s="9"/>
      <c r="C13" s="708"/>
      <c r="D13" s="708"/>
      <c r="E13" s="708"/>
      <c r="F13" s="708"/>
      <c r="G13" s="708"/>
      <c r="H13" s="708"/>
      <c r="I13" s="708"/>
      <c r="J13" s="708"/>
      <c r="K13" s="708"/>
      <c r="L13" s="708"/>
      <c r="M13" s="708"/>
      <c r="N13" s="708"/>
      <c r="O13" s="708"/>
    </row>
    <row r="14" spans="1:15">
      <c r="A14" s="708"/>
      <c r="B14" s="708"/>
      <c r="C14" s="708"/>
      <c r="D14" s="708"/>
      <c r="E14" s="708"/>
      <c r="F14" s="708"/>
      <c r="G14" s="708"/>
      <c r="H14" s="708"/>
      <c r="I14" s="708"/>
      <c r="J14" s="708"/>
      <c r="K14" s="708"/>
      <c r="L14" s="708"/>
      <c r="M14" s="708"/>
      <c r="N14" s="708"/>
      <c r="O14" s="708"/>
    </row>
    <row r="15" spans="1:15" ht="15.75" thickBot="1">
      <c r="A15" s="70" t="s">
        <v>776</v>
      </c>
      <c r="B15" s="70"/>
    </row>
    <row r="16" spans="1:15" ht="27.75" customHeight="1" thickBot="1">
      <c r="A16" s="1960" t="s">
        <v>777</v>
      </c>
      <c r="B16" s="1648"/>
      <c r="C16" s="993">
        <v>1</v>
      </c>
      <c r="D16" s="994">
        <v>2</v>
      </c>
      <c r="E16" s="994">
        <v>3</v>
      </c>
      <c r="F16" s="994">
        <v>4</v>
      </c>
      <c r="G16" s="994">
        <v>5</v>
      </c>
      <c r="H16" s="994">
        <v>6</v>
      </c>
      <c r="I16" s="994">
        <v>7</v>
      </c>
      <c r="J16" s="994">
        <v>8</v>
      </c>
      <c r="K16" s="994">
        <v>9</v>
      </c>
      <c r="L16" s="994">
        <v>10</v>
      </c>
      <c r="M16" s="994">
        <v>11</v>
      </c>
      <c r="N16" s="994">
        <v>12</v>
      </c>
      <c r="O16" s="995" t="s">
        <v>997</v>
      </c>
    </row>
    <row r="17" spans="1:15" ht="27" customHeight="1">
      <c r="A17" s="1961" t="s">
        <v>778</v>
      </c>
      <c r="B17" s="1513"/>
      <c r="C17" s="709">
        <v>237</v>
      </c>
      <c r="D17" s="74">
        <v>224</v>
      </c>
      <c r="E17" s="74">
        <v>317</v>
      </c>
      <c r="F17" s="74">
        <v>310</v>
      </c>
      <c r="G17" s="74">
        <v>305</v>
      </c>
      <c r="H17" s="74">
        <v>286</v>
      </c>
      <c r="I17" s="74">
        <v>270</v>
      </c>
      <c r="J17" s="74">
        <v>290</v>
      </c>
      <c r="K17" s="74">
        <v>282</v>
      </c>
      <c r="L17" s="74">
        <v>299</v>
      </c>
      <c r="M17" s="74">
        <v>303</v>
      </c>
      <c r="N17" s="74">
        <v>330</v>
      </c>
      <c r="O17" s="996">
        <f>SUM(C17:N17)</f>
        <v>3453</v>
      </c>
    </row>
    <row r="18" spans="1:15" ht="27" customHeight="1">
      <c r="A18" s="1962" t="s">
        <v>779</v>
      </c>
      <c r="B18" s="1496"/>
      <c r="C18" s="108">
        <v>0</v>
      </c>
      <c r="D18" s="86">
        <v>0</v>
      </c>
      <c r="E18" s="86">
        <v>1</v>
      </c>
      <c r="F18" s="86">
        <v>0</v>
      </c>
      <c r="G18" s="86">
        <v>0</v>
      </c>
      <c r="H18" s="86">
        <v>3</v>
      </c>
      <c r="I18" s="86">
        <v>0</v>
      </c>
      <c r="J18" s="86">
        <v>1</v>
      </c>
      <c r="K18" s="86">
        <v>2</v>
      </c>
      <c r="L18" s="86">
        <v>1</v>
      </c>
      <c r="M18" s="86">
        <v>0</v>
      </c>
      <c r="N18" s="86">
        <v>0</v>
      </c>
      <c r="O18" s="997">
        <f>SUM(C18:N18)</f>
        <v>8</v>
      </c>
    </row>
    <row r="19" spans="1:15" ht="27" customHeight="1">
      <c r="A19" s="1963" t="s">
        <v>780</v>
      </c>
      <c r="B19" s="1496"/>
      <c r="C19" s="112">
        <v>246</v>
      </c>
      <c r="D19" s="80">
        <v>235</v>
      </c>
      <c r="E19" s="80">
        <v>327</v>
      </c>
      <c r="F19" s="80">
        <v>317</v>
      </c>
      <c r="G19" s="80">
        <v>317</v>
      </c>
      <c r="H19" s="80">
        <v>296</v>
      </c>
      <c r="I19" s="80">
        <v>282</v>
      </c>
      <c r="J19" s="80">
        <v>302</v>
      </c>
      <c r="K19" s="80">
        <v>291</v>
      </c>
      <c r="L19" s="80">
        <v>310</v>
      </c>
      <c r="M19" s="80">
        <v>321</v>
      </c>
      <c r="N19" s="80">
        <v>347</v>
      </c>
      <c r="O19" s="927">
        <f>SUM(C19:N19)</f>
        <v>3591</v>
      </c>
    </row>
    <row r="20" spans="1:15" ht="27" customHeight="1" thickBot="1">
      <c r="A20" s="998"/>
      <c r="B20" s="999" t="s">
        <v>781</v>
      </c>
      <c r="C20" s="372">
        <v>33</v>
      </c>
      <c r="D20" s="375">
        <v>30</v>
      </c>
      <c r="E20" s="375">
        <v>42</v>
      </c>
      <c r="F20" s="375">
        <v>47</v>
      </c>
      <c r="G20" s="375">
        <v>44</v>
      </c>
      <c r="H20" s="375">
        <v>39</v>
      </c>
      <c r="I20" s="375">
        <v>29</v>
      </c>
      <c r="J20" s="375">
        <v>42</v>
      </c>
      <c r="K20" s="375">
        <v>48</v>
      </c>
      <c r="L20" s="375">
        <v>38</v>
      </c>
      <c r="M20" s="375">
        <v>41</v>
      </c>
      <c r="N20" s="375">
        <v>45</v>
      </c>
      <c r="O20" s="929">
        <f>SUM(C20:N20)</f>
        <v>478</v>
      </c>
    </row>
    <row r="21" spans="1:15">
      <c r="A21" s="9" t="s">
        <v>782</v>
      </c>
      <c r="B21" s="9"/>
      <c r="C21" s="708"/>
      <c r="D21" s="708"/>
      <c r="E21" s="708"/>
      <c r="F21" s="708"/>
      <c r="G21" s="708"/>
      <c r="H21" s="708"/>
      <c r="I21" s="708"/>
      <c r="J21" s="708"/>
      <c r="K21" s="708"/>
      <c r="L21" s="708"/>
      <c r="M21" s="708"/>
      <c r="N21" s="708"/>
      <c r="O21" s="708"/>
    </row>
    <row r="22" spans="1:15">
      <c r="A22" s="9"/>
      <c r="B22" s="9"/>
      <c r="C22" s="708"/>
      <c r="D22" s="708"/>
      <c r="E22" s="708"/>
      <c r="F22" s="708"/>
      <c r="G22" s="708"/>
      <c r="H22" s="708"/>
      <c r="I22" s="708"/>
      <c r="J22" s="708"/>
      <c r="K22" s="708"/>
      <c r="L22" s="708"/>
      <c r="M22" s="708"/>
      <c r="N22" s="708"/>
      <c r="O22" s="708"/>
    </row>
    <row r="23" spans="1:15">
      <c r="A23" s="708"/>
      <c r="B23" s="708"/>
      <c r="C23" s="708"/>
      <c r="D23" s="708"/>
      <c r="E23" s="708"/>
      <c r="F23" s="708"/>
      <c r="G23" s="708"/>
      <c r="H23" s="708"/>
      <c r="I23" s="708"/>
      <c r="J23" s="708"/>
      <c r="K23" s="708"/>
      <c r="L23" s="708"/>
      <c r="M23" s="708"/>
      <c r="N23" s="708"/>
      <c r="O23" s="708"/>
    </row>
    <row r="24" spans="1:15">
      <c r="A24" s="708"/>
      <c r="B24" s="708"/>
      <c r="C24" s="708"/>
      <c r="D24" s="708"/>
      <c r="E24" s="708"/>
      <c r="F24" s="708"/>
      <c r="G24" s="708"/>
      <c r="H24" s="708"/>
      <c r="I24" s="708"/>
      <c r="J24" s="708"/>
      <c r="K24" s="708"/>
      <c r="L24" s="708"/>
      <c r="M24" s="708"/>
      <c r="N24" s="708"/>
      <c r="O24" s="708"/>
    </row>
    <row r="25" spans="1:15">
      <c r="A25" s="708"/>
      <c r="B25" s="708"/>
      <c r="C25" s="708"/>
      <c r="D25" s="708"/>
      <c r="E25" s="708"/>
      <c r="F25" s="708"/>
      <c r="G25" s="708"/>
      <c r="H25" s="708"/>
      <c r="I25" s="708"/>
      <c r="J25" s="708"/>
      <c r="K25" s="708"/>
      <c r="L25" s="708"/>
      <c r="M25" s="708"/>
      <c r="N25" s="708"/>
      <c r="O25" s="708"/>
    </row>
    <row r="26" spans="1:15">
      <c r="A26" s="708"/>
      <c r="B26" s="708"/>
      <c r="C26" s="708"/>
      <c r="D26" s="708"/>
      <c r="E26" s="708"/>
      <c r="F26" s="708"/>
      <c r="G26" s="708"/>
      <c r="H26" s="708"/>
      <c r="I26" s="708"/>
      <c r="J26" s="708"/>
      <c r="K26" s="708"/>
      <c r="L26" s="708"/>
      <c r="M26" s="708"/>
      <c r="N26" s="708"/>
      <c r="O26" s="708"/>
    </row>
    <row r="27" spans="1:15">
      <c r="A27" s="708"/>
      <c r="B27" s="708"/>
      <c r="C27" s="708"/>
      <c r="D27" s="708"/>
      <c r="E27" s="708"/>
      <c r="F27" s="708"/>
      <c r="G27" s="708"/>
      <c r="H27" s="708"/>
      <c r="I27" s="708"/>
      <c r="J27" s="708"/>
      <c r="K27" s="708"/>
      <c r="L27" s="708"/>
      <c r="M27" s="708"/>
      <c r="N27" s="708"/>
      <c r="O27" s="708"/>
    </row>
    <row r="28" spans="1:15">
      <c r="A28" s="708"/>
      <c r="B28" s="708"/>
      <c r="C28" s="708"/>
      <c r="D28" s="708"/>
      <c r="E28" s="708"/>
      <c r="F28" s="708"/>
      <c r="G28" s="708"/>
      <c r="H28" s="708"/>
      <c r="I28" s="708"/>
      <c r="J28" s="708"/>
      <c r="K28" s="708"/>
      <c r="L28" s="708"/>
      <c r="M28" s="708"/>
      <c r="N28" s="708"/>
      <c r="O28" s="708"/>
    </row>
    <row r="29" spans="1:15">
      <c r="A29" s="708"/>
      <c r="B29" s="708"/>
      <c r="C29" s="708"/>
      <c r="D29" s="708"/>
      <c r="E29" s="708"/>
      <c r="F29" s="708"/>
      <c r="G29" s="708"/>
      <c r="H29" s="708"/>
      <c r="I29" s="708"/>
      <c r="J29" s="708"/>
      <c r="K29" s="708"/>
      <c r="L29" s="708"/>
      <c r="M29" s="708"/>
      <c r="N29" s="708"/>
      <c r="O29" s="708"/>
    </row>
    <row r="30" spans="1:15">
      <c r="A30" s="708"/>
      <c r="B30" s="708"/>
      <c r="C30" s="708"/>
      <c r="D30" s="708"/>
      <c r="E30" s="708"/>
      <c r="F30" s="708"/>
      <c r="G30" s="708"/>
      <c r="H30" s="708"/>
      <c r="I30" s="708"/>
      <c r="J30" s="708"/>
      <c r="K30" s="708"/>
      <c r="L30" s="708"/>
      <c r="M30" s="708"/>
      <c r="N30" s="708"/>
      <c r="O30" s="708"/>
    </row>
    <row r="31" spans="1:15">
      <c r="A31" s="708"/>
      <c r="B31" s="708"/>
      <c r="C31" s="708"/>
      <c r="D31" s="708"/>
      <c r="E31" s="708"/>
      <c r="F31" s="708"/>
      <c r="G31" s="708"/>
      <c r="H31" s="708"/>
      <c r="I31" s="708"/>
      <c r="J31" s="708"/>
      <c r="K31" s="708"/>
      <c r="L31" s="708"/>
      <c r="M31" s="708"/>
      <c r="N31" s="708"/>
      <c r="O31" s="708"/>
    </row>
    <row r="32" spans="1:15">
      <c r="A32" s="708"/>
      <c r="B32" s="708"/>
      <c r="C32" s="708"/>
      <c r="D32" s="708"/>
      <c r="E32" s="708"/>
      <c r="F32" s="708"/>
      <c r="G32" s="708"/>
      <c r="H32" s="708"/>
      <c r="I32" s="708"/>
      <c r="J32" s="708"/>
      <c r="K32" s="708"/>
      <c r="L32" s="708"/>
      <c r="M32" s="708"/>
      <c r="N32" s="708"/>
      <c r="O32" s="708"/>
    </row>
    <row r="33" spans="1:15">
      <c r="A33" s="708"/>
      <c r="B33" s="708"/>
      <c r="C33" s="708"/>
      <c r="D33" s="708"/>
      <c r="E33" s="708"/>
      <c r="F33" s="708"/>
      <c r="G33" s="708"/>
      <c r="H33" s="708"/>
      <c r="I33" s="708"/>
      <c r="J33" s="708"/>
      <c r="K33" s="708"/>
      <c r="L33" s="708"/>
      <c r="M33" s="708"/>
      <c r="N33" s="708"/>
      <c r="O33" s="708"/>
    </row>
    <row r="34" spans="1:15">
      <c r="A34" s="690"/>
      <c r="B34" s="690"/>
      <c r="C34" s="690"/>
      <c r="D34" s="690"/>
      <c r="E34" s="690"/>
      <c r="F34" s="690"/>
      <c r="G34" s="690"/>
      <c r="H34" s="690"/>
      <c r="I34" s="690"/>
      <c r="J34" s="690"/>
      <c r="K34" s="690"/>
      <c r="L34" s="690"/>
      <c r="M34" s="690"/>
      <c r="N34" s="690"/>
      <c r="O34" s="690"/>
    </row>
    <row r="35" spans="1:15">
      <c r="A35" s="690"/>
      <c r="B35" s="690"/>
      <c r="C35" s="690"/>
      <c r="D35" s="690"/>
      <c r="E35" s="690"/>
      <c r="F35" s="690"/>
      <c r="G35" s="690"/>
      <c r="H35" s="690"/>
      <c r="I35" s="690"/>
      <c r="J35" s="690"/>
      <c r="K35" s="690"/>
      <c r="L35" s="690"/>
      <c r="M35" s="690"/>
      <c r="N35" s="690"/>
      <c r="O35" s="690"/>
    </row>
    <row r="36" spans="1:15">
      <c r="A36" s="690"/>
      <c r="B36" s="690"/>
      <c r="C36" s="690"/>
      <c r="D36" s="690"/>
      <c r="E36" s="690"/>
      <c r="F36" s="690"/>
      <c r="G36" s="690"/>
      <c r="H36" s="690"/>
      <c r="I36" s="690"/>
      <c r="J36" s="690"/>
      <c r="K36" s="690"/>
      <c r="L36" s="690"/>
      <c r="M36" s="690"/>
      <c r="N36" s="690"/>
      <c r="O36" s="690"/>
    </row>
    <row r="37" spans="1:15">
      <c r="A37" s="690"/>
      <c r="B37" s="690"/>
      <c r="C37" s="690"/>
      <c r="D37" s="690"/>
      <c r="E37" s="690"/>
      <c r="F37" s="690"/>
      <c r="G37" s="690"/>
      <c r="H37" s="690"/>
      <c r="I37" s="690"/>
      <c r="J37" s="690"/>
      <c r="K37" s="690"/>
      <c r="L37" s="690"/>
      <c r="M37" s="690"/>
      <c r="N37" s="690"/>
      <c r="O37" s="690"/>
    </row>
    <row r="38" spans="1:15">
      <c r="A38" s="690"/>
      <c r="B38" s="690"/>
      <c r="C38" s="690"/>
      <c r="D38" s="690"/>
      <c r="E38" s="690"/>
      <c r="F38" s="690"/>
      <c r="G38" s="690"/>
      <c r="H38" s="690"/>
      <c r="I38" s="690"/>
      <c r="J38" s="690"/>
      <c r="K38" s="690"/>
      <c r="L38" s="690"/>
      <c r="M38" s="690"/>
      <c r="N38" s="690"/>
      <c r="O38" s="690"/>
    </row>
    <row r="39" spans="1:15">
      <c r="A39" s="690"/>
      <c r="B39" s="690"/>
      <c r="C39" s="690"/>
      <c r="D39" s="690"/>
      <c r="E39" s="690"/>
      <c r="F39" s="690"/>
      <c r="G39" s="690"/>
      <c r="H39" s="690"/>
      <c r="I39" s="690"/>
      <c r="J39" s="690"/>
      <c r="K39" s="690"/>
      <c r="L39" s="690"/>
      <c r="M39" s="690"/>
      <c r="N39" s="690"/>
      <c r="O39" s="690"/>
    </row>
  </sheetData>
  <mergeCells count="23">
    <mergeCell ref="A10:B10"/>
    <mergeCell ref="H4:H5"/>
    <mergeCell ref="I4:I5"/>
    <mergeCell ref="J4:J5"/>
    <mergeCell ref="K4:K5"/>
    <mergeCell ref="A4:B4"/>
    <mergeCell ref="C4:C5"/>
    <mergeCell ref="D4:D5"/>
    <mergeCell ref="E4:E5"/>
    <mergeCell ref="F4:F5"/>
    <mergeCell ref="G4:G5"/>
    <mergeCell ref="N4:N5"/>
    <mergeCell ref="O4:O5"/>
    <mergeCell ref="A6:B6"/>
    <mergeCell ref="A7:B7"/>
    <mergeCell ref="A8:B8"/>
    <mergeCell ref="L4:L5"/>
    <mergeCell ref="M4:M5"/>
    <mergeCell ref="A11:B11"/>
    <mergeCell ref="A16:B16"/>
    <mergeCell ref="A17:B17"/>
    <mergeCell ref="A18:B18"/>
    <mergeCell ref="A19:B19"/>
  </mergeCells>
  <phoneticPr fontId="3"/>
  <pageMargins left="0.78740157480314965" right="0.59055118110236227" top="0.82677165354330717" bottom="0.59055118110236227" header="0.51181102362204722" footer="0.51181102362204722"/>
  <pageSetup paperSize="9" scale="86" orientation="portrait" r:id="rId1"/>
  <headerFooter alignWithMargins="0">
    <oddFooter>&amp;C－32－</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view="pageBreakPreview" zoomScaleNormal="100" zoomScaleSheetLayoutView="100" workbookViewId="0">
      <selection activeCell="M6" sqref="M6"/>
    </sheetView>
  </sheetViews>
  <sheetFormatPr defaultRowHeight="13.5"/>
  <cols>
    <col min="1" max="1" width="5.25" customWidth="1"/>
    <col min="2" max="2" width="3.25" customWidth="1"/>
    <col min="3" max="5" width="9.75" customWidth="1"/>
    <col min="6" max="6" width="10.5" customWidth="1"/>
    <col min="7" max="7" width="6.5" customWidth="1"/>
    <col min="8" max="8" width="5.25" customWidth="1"/>
    <col min="9" max="9" width="3.25" customWidth="1"/>
    <col min="10" max="12" width="9.75" customWidth="1"/>
    <col min="13" max="13" width="10.5" customWidth="1"/>
  </cols>
  <sheetData>
    <row r="1" spans="1:20" ht="13.5" customHeight="1">
      <c r="A1" s="1987" t="s">
        <v>792</v>
      </c>
      <c r="B1" s="1988"/>
      <c r="C1" s="1988"/>
      <c r="D1" s="1988"/>
      <c r="E1" s="1988"/>
      <c r="F1" s="1988"/>
      <c r="G1" s="1988"/>
      <c r="H1" s="1988"/>
      <c r="I1" s="1988"/>
      <c r="J1" s="1988"/>
      <c r="K1" s="1988"/>
      <c r="L1" s="1988"/>
      <c r="M1" s="1037"/>
      <c r="N1" s="1037"/>
      <c r="O1" s="1037"/>
      <c r="P1" s="1037"/>
      <c r="Q1" s="1037"/>
      <c r="R1" s="1037"/>
      <c r="S1" s="1037"/>
      <c r="T1" s="1038"/>
    </row>
    <row r="2" spans="1:20" ht="13.5" customHeight="1">
      <c r="A2" s="1988"/>
      <c r="B2" s="1988"/>
      <c r="C2" s="1988"/>
      <c r="D2" s="1988"/>
      <c r="E2" s="1988"/>
      <c r="F2" s="1988"/>
      <c r="G2" s="1988"/>
      <c r="H2" s="1988"/>
      <c r="I2" s="1988"/>
      <c r="J2" s="1988"/>
      <c r="K2" s="1988"/>
      <c r="L2" s="1988"/>
      <c r="M2" s="1037"/>
      <c r="N2" s="1037"/>
      <c r="O2" s="1037"/>
      <c r="P2" s="1037"/>
      <c r="Q2" s="1037"/>
      <c r="R2" s="1037"/>
      <c r="S2" s="1037"/>
      <c r="T2" s="1038"/>
    </row>
    <row r="4" spans="1:20" ht="15.75" thickBot="1">
      <c r="A4" s="1989" t="s">
        <v>793</v>
      </c>
      <c r="B4" s="1989"/>
      <c r="C4" s="1989"/>
      <c r="D4" s="1989"/>
      <c r="E4" s="1989"/>
      <c r="F4" s="1039"/>
      <c r="G4" s="240"/>
      <c r="H4" s="1990" t="s">
        <v>794</v>
      </c>
      <c r="I4" s="1990"/>
      <c r="J4" s="1990"/>
      <c r="K4" s="1990"/>
      <c r="L4" s="1990"/>
      <c r="M4" s="1038"/>
      <c r="N4" s="1038"/>
      <c r="O4" s="1038"/>
      <c r="P4" s="1038"/>
      <c r="Q4" s="1038"/>
      <c r="R4" s="1038"/>
      <c r="S4" s="1038"/>
      <c r="T4" s="1038"/>
    </row>
    <row r="5" spans="1:20" ht="9.75" customHeight="1">
      <c r="A5" s="1991" t="s">
        <v>795</v>
      </c>
      <c r="B5" s="1992"/>
      <c r="C5" s="1995" t="s">
        <v>181</v>
      </c>
      <c r="D5" s="1996" t="s">
        <v>430</v>
      </c>
      <c r="E5" s="1998" t="s">
        <v>433</v>
      </c>
      <c r="F5" s="1040"/>
      <c r="G5" s="240"/>
      <c r="H5" s="1991" t="s">
        <v>795</v>
      </c>
      <c r="I5" s="1992"/>
      <c r="J5" s="1995" t="s">
        <v>181</v>
      </c>
      <c r="K5" s="1996" t="s">
        <v>430</v>
      </c>
      <c r="L5" s="1998" t="s">
        <v>433</v>
      </c>
      <c r="M5" s="1040"/>
      <c r="N5" s="1038"/>
      <c r="O5" s="1038"/>
      <c r="P5" s="1038"/>
      <c r="Q5" s="1038"/>
      <c r="R5" s="1038"/>
      <c r="S5" s="1038"/>
      <c r="T5" s="1038"/>
    </row>
    <row r="6" spans="1:20" s="1043" customFormat="1" ht="19.5" customHeight="1" thickBot="1">
      <c r="A6" s="1993"/>
      <c r="B6" s="1994"/>
      <c r="C6" s="1411"/>
      <c r="D6" s="1997"/>
      <c r="E6" s="1997"/>
      <c r="F6" s="1353" t="s">
        <v>947</v>
      </c>
      <c r="G6" s="1041"/>
      <c r="H6" s="1993"/>
      <c r="I6" s="1994"/>
      <c r="J6" s="1411"/>
      <c r="K6" s="1997"/>
      <c r="L6" s="1997"/>
      <c r="M6" s="1353" t="s">
        <v>947</v>
      </c>
      <c r="N6" s="1042"/>
      <c r="O6" s="1042"/>
      <c r="P6" s="1042"/>
      <c r="Q6" s="1042"/>
      <c r="R6" s="1042"/>
      <c r="S6" s="1042"/>
      <c r="T6" s="1042"/>
    </row>
    <row r="7" spans="1:20" ht="18" customHeight="1">
      <c r="A7" s="1985" t="s">
        <v>98</v>
      </c>
      <c r="B7" s="1986"/>
      <c r="C7" s="1044">
        <v>128</v>
      </c>
      <c r="D7" s="776">
        <v>0</v>
      </c>
      <c r="E7" s="778">
        <v>140</v>
      </c>
      <c r="F7" s="1045" t="s">
        <v>15</v>
      </c>
      <c r="G7" s="116"/>
      <c r="H7" s="1985" t="s">
        <v>98</v>
      </c>
      <c r="I7" s="1986"/>
      <c r="J7" s="1044">
        <v>59</v>
      </c>
      <c r="K7" s="776">
        <v>0</v>
      </c>
      <c r="L7" s="778">
        <v>60</v>
      </c>
      <c r="M7" s="1045" t="s">
        <v>15</v>
      </c>
    </row>
    <row r="8" spans="1:20" ht="18" customHeight="1">
      <c r="A8" s="1981" t="s">
        <v>100</v>
      </c>
      <c r="B8" s="1982"/>
      <c r="C8" s="1046">
        <v>151</v>
      </c>
      <c r="D8" s="787">
        <v>0</v>
      </c>
      <c r="E8" s="789">
        <v>161</v>
      </c>
      <c r="F8" s="1045" t="s">
        <v>15</v>
      </c>
      <c r="G8" s="116"/>
      <c r="H8" s="1981" t="s">
        <v>100</v>
      </c>
      <c r="I8" s="1982"/>
      <c r="J8" s="1046">
        <v>81</v>
      </c>
      <c r="K8" s="787">
        <v>0</v>
      </c>
      <c r="L8" s="789">
        <v>83</v>
      </c>
      <c r="M8" s="1045" t="s">
        <v>15</v>
      </c>
    </row>
    <row r="9" spans="1:20" ht="18" customHeight="1">
      <c r="A9" s="1981" t="s">
        <v>101</v>
      </c>
      <c r="B9" s="1982"/>
      <c r="C9" s="1046">
        <v>179</v>
      </c>
      <c r="D9" s="787">
        <v>1</v>
      </c>
      <c r="E9" s="789">
        <v>199</v>
      </c>
      <c r="F9" s="1045" t="s">
        <v>15</v>
      </c>
      <c r="G9" s="116"/>
      <c r="H9" s="1981" t="s">
        <v>101</v>
      </c>
      <c r="I9" s="1982"/>
      <c r="J9" s="1046">
        <v>101</v>
      </c>
      <c r="K9" s="787">
        <v>1</v>
      </c>
      <c r="L9" s="789">
        <v>100</v>
      </c>
      <c r="M9" s="1045" t="s">
        <v>15</v>
      </c>
    </row>
    <row r="10" spans="1:20" ht="18" customHeight="1">
      <c r="A10" s="1981" t="s">
        <v>102</v>
      </c>
      <c r="B10" s="1982"/>
      <c r="C10" s="1046">
        <v>215</v>
      </c>
      <c r="D10" s="787">
        <v>0</v>
      </c>
      <c r="E10" s="789">
        <v>240</v>
      </c>
      <c r="F10" s="1045" t="s">
        <v>15</v>
      </c>
      <c r="G10" s="116"/>
      <c r="H10" s="1981" t="s">
        <v>102</v>
      </c>
      <c r="I10" s="1982"/>
      <c r="J10" s="1046">
        <v>102</v>
      </c>
      <c r="K10" s="787">
        <v>0</v>
      </c>
      <c r="L10" s="789">
        <v>108</v>
      </c>
      <c r="M10" s="1045" t="s">
        <v>15</v>
      </c>
    </row>
    <row r="11" spans="1:20" ht="18" customHeight="1">
      <c r="A11" s="1981" t="s">
        <v>103</v>
      </c>
      <c r="B11" s="1982"/>
      <c r="C11" s="1046">
        <v>235</v>
      </c>
      <c r="D11" s="787">
        <v>0</v>
      </c>
      <c r="E11" s="789">
        <v>266</v>
      </c>
      <c r="F11" s="1045" t="s">
        <v>15</v>
      </c>
      <c r="G11" s="116"/>
      <c r="H11" s="1981" t="s">
        <v>103</v>
      </c>
      <c r="I11" s="1982"/>
      <c r="J11" s="1046">
        <v>136</v>
      </c>
      <c r="K11" s="787">
        <v>0</v>
      </c>
      <c r="L11" s="789">
        <v>141</v>
      </c>
      <c r="M11" s="1045" t="s">
        <v>15</v>
      </c>
    </row>
    <row r="12" spans="1:20" ht="18" customHeight="1">
      <c r="A12" s="1981" t="s">
        <v>104</v>
      </c>
      <c r="B12" s="1982"/>
      <c r="C12" s="1046">
        <v>249</v>
      </c>
      <c r="D12" s="787">
        <v>0</v>
      </c>
      <c r="E12" s="789">
        <v>285</v>
      </c>
      <c r="F12" s="1045" t="s">
        <v>15</v>
      </c>
      <c r="G12" s="116"/>
      <c r="H12" s="1981" t="s">
        <v>104</v>
      </c>
      <c r="I12" s="1982"/>
      <c r="J12" s="1046">
        <v>121</v>
      </c>
      <c r="K12" s="787">
        <v>0</v>
      </c>
      <c r="L12" s="789">
        <v>121</v>
      </c>
      <c r="M12" s="1045" t="s">
        <v>15</v>
      </c>
    </row>
    <row r="13" spans="1:20" ht="18" customHeight="1">
      <c r="A13" s="1981" t="s">
        <v>106</v>
      </c>
      <c r="B13" s="1982"/>
      <c r="C13" s="1046">
        <v>264</v>
      </c>
      <c r="D13" s="787">
        <v>0</v>
      </c>
      <c r="E13" s="789">
        <v>287</v>
      </c>
      <c r="F13" s="1045" t="s">
        <v>15</v>
      </c>
      <c r="G13" s="116"/>
      <c r="H13" s="1981" t="s">
        <v>106</v>
      </c>
      <c r="I13" s="1982"/>
      <c r="J13" s="1046">
        <v>134</v>
      </c>
      <c r="K13" s="787">
        <v>0</v>
      </c>
      <c r="L13" s="789">
        <v>135</v>
      </c>
      <c r="M13" s="1045" t="s">
        <v>15</v>
      </c>
    </row>
    <row r="14" spans="1:20" ht="18" customHeight="1">
      <c r="A14" s="1981" t="s">
        <v>107</v>
      </c>
      <c r="B14" s="1982"/>
      <c r="C14" s="1046">
        <v>248</v>
      </c>
      <c r="D14" s="787">
        <v>0</v>
      </c>
      <c r="E14" s="789">
        <v>271</v>
      </c>
      <c r="F14" s="1045" t="s">
        <v>15</v>
      </c>
      <c r="G14" s="116"/>
      <c r="H14" s="1981" t="s">
        <v>107</v>
      </c>
      <c r="I14" s="1982"/>
      <c r="J14" s="1046">
        <v>147</v>
      </c>
      <c r="K14" s="787">
        <v>0</v>
      </c>
      <c r="L14" s="789">
        <v>148</v>
      </c>
      <c r="M14" s="1045" t="s">
        <v>15</v>
      </c>
    </row>
    <row r="15" spans="1:20" ht="18" customHeight="1">
      <c r="A15" s="1981" t="s">
        <v>108</v>
      </c>
      <c r="B15" s="1982"/>
      <c r="C15" s="1046">
        <v>254</v>
      </c>
      <c r="D15" s="787">
        <v>0</v>
      </c>
      <c r="E15" s="789">
        <v>289</v>
      </c>
      <c r="F15" s="1045" t="s">
        <v>15</v>
      </c>
      <c r="G15" s="116"/>
      <c r="H15" s="1981" t="s">
        <v>108</v>
      </c>
      <c r="I15" s="1982"/>
      <c r="J15" s="1046">
        <v>125</v>
      </c>
      <c r="K15" s="787">
        <v>0</v>
      </c>
      <c r="L15" s="789">
        <v>125</v>
      </c>
      <c r="M15" s="1045" t="s">
        <v>15</v>
      </c>
    </row>
    <row r="16" spans="1:20" ht="18" customHeight="1">
      <c r="A16" s="1981" t="s">
        <v>109</v>
      </c>
      <c r="B16" s="1982"/>
      <c r="C16" s="1046">
        <v>261</v>
      </c>
      <c r="D16" s="787">
        <v>0</v>
      </c>
      <c r="E16" s="789">
        <v>294</v>
      </c>
      <c r="F16" s="1045" t="s">
        <v>15</v>
      </c>
      <c r="G16" s="116"/>
      <c r="H16" s="1981" t="s">
        <v>109</v>
      </c>
      <c r="I16" s="1982"/>
      <c r="J16" s="1046">
        <v>155</v>
      </c>
      <c r="K16" s="787">
        <v>0</v>
      </c>
      <c r="L16" s="789">
        <v>158</v>
      </c>
      <c r="M16" s="1045" t="s">
        <v>15</v>
      </c>
    </row>
    <row r="17" spans="1:13" ht="18" customHeight="1">
      <c r="A17" s="1981" t="s">
        <v>110</v>
      </c>
      <c r="B17" s="1982"/>
      <c r="C17" s="1046">
        <v>315</v>
      </c>
      <c r="D17" s="787">
        <v>0</v>
      </c>
      <c r="E17" s="789">
        <v>351</v>
      </c>
      <c r="F17" s="1045" t="s">
        <v>15</v>
      </c>
      <c r="G17" s="116"/>
      <c r="H17" s="1981" t="s">
        <v>110</v>
      </c>
      <c r="I17" s="1982"/>
      <c r="J17" s="1046">
        <v>159</v>
      </c>
      <c r="K17" s="787">
        <v>0</v>
      </c>
      <c r="L17" s="789">
        <v>160</v>
      </c>
      <c r="M17" s="1045" t="s">
        <v>15</v>
      </c>
    </row>
    <row r="18" spans="1:13" ht="18" customHeight="1">
      <c r="A18" s="1981" t="s">
        <v>112</v>
      </c>
      <c r="B18" s="1982"/>
      <c r="C18" s="1046">
        <v>319</v>
      </c>
      <c r="D18" s="787">
        <v>0</v>
      </c>
      <c r="E18" s="789">
        <v>361</v>
      </c>
      <c r="F18" s="1045" t="s">
        <v>15</v>
      </c>
      <c r="G18" s="116"/>
      <c r="H18" s="1981" t="s">
        <v>112</v>
      </c>
      <c r="I18" s="1982"/>
      <c r="J18" s="1046">
        <v>151</v>
      </c>
      <c r="K18" s="787">
        <v>0</v>
      </c>
      <c r="L18" s="789">
        <v>154</v>
      </c>
      <c r="M18" s="1045" t="s">
        <v>15</v>
      </c>
    </row>
    <row r="19" spans="1:13" ht="18" customHeight="1">
      <c r="A19" s="1981" t="s">
        <v>113</v>
      </c>
      <c r="B19" s="1982"/>
      <c r="C19" s="1046">
        <v>279</v>
      </c>
      <c r="D19" s="787">
        <v>0</v>
      </c>
      <c r="E19" s="789">
        <v>316</v>
      </c>
      <c r="F19" s="1045" t="s">
        <v>15</v>
      </c>
      <c r="G19" s="116"/>
      <c r="H19" s="1981" t="s">
        <v>113</v>
      </c>
      <c r="I19" s="1982"/>
      <c r="J19" s="1046">
        <v>169</v>
      </c>
      <c r="K19" s="787">
        <v>0</v>
      </c>
      <c r="L19" s="789">
        <v>172</v>
      </c>
      <c r="M19" s="1045" t="s">
        <v>15</v>
      </c>
    </row>
    <row r="20" spans="1:13" ht="18" customHeight="1">
      <c r="A20" s="1981" t="s">
        <v>114</v>
      </c>
      <c r="B20" s="1982"/>
      <c r="C20" s="1046">
        <v>365</v>
      </c>
      <c r="D20" s="787">
        <v>1</v>
      </c>
      <c r="E20" s="789">
        <v>407</v>
      </c>
      <c r="F20" s="1047">
        <v>82</v>
      </c>
      <c r="G20" s="116"/>
      <c r="H20" s="1981" t="s">
        <v>114</v>
      </c>
      <c r="I20" s="1982"/>
      <c r="J20" s="1046">
        <v>212</v>
      </c>
      <c r="K20" s="787">
        <v>0</v>
      </c>
      <c r="L20" s="789">
        <v>214</v>
      </c>
      <c r="M20" s="1047">
        <v>31</v>
      </c>
    </row>
    <row r="21" spans="1:13" ht="18" customHeight="1">
      <c r="A21" s="1981" t="s">
        <v>796</v>
      </c>
      <c r="B21" s="1982"/>
      <c r="C21" s="1046">
        <v>331</v>
      </c>
      <c r="D21" s="787">
        <v>0</v>
      </c>
      <c r="E21" s="789">
        <v>374</v>
      </c>
      <c r="F21" s="1047">
        <v>78</v>
      </c>
      <c r="G21" s="116"/>
      <c r="H21" s="1981" t="s">
        <v>796</v>
      </c>
      <c r="I21" s="1982"/>
      <c r="J21" s="1046">
        <v>203</v>
      </c>
      <c r="K21" s="787">
        <v>0</v>
      </c>
      <c r="L21" s="789">
        <v>203</v>
      </c>
      <c r="M21" s="1047">
        <v>36</v>
      </c>
    </row>
    <row r="22" spans="1:13" ht="18" customHeight="1">
      <c r="A22" s="1975" t="s">
        <v>116</v>
      </c>
      <c r="B22" s="1976"/>
      <c r="C22" s="1048">
        <v>276</v>
      </c>
      <c r="D22" s="1049">
        <v>0</v>
      </c>
      <c r="E22" s="1050">
        <v>315</v>
      </c>
      <c r="F22" s="1051">
        <v>58</v>
      </c>
      <c r="G22" s="116"/>
      <c r="H22" s="1975" t="s">
        <v>116</v>
      </c>
      <c r="I22" s="1976"/>
      <c r="J22" s="1048">
        <v>180</v>
      </c>
      <c r="K22" s="1049">
        <v>0</v>
      </c>
      <c r="L22" s="1050">
        <v>185</v>
      </c>
      <c r="M22" s="1051">
        <v>30</v>
      </c>
    </row>
    <row r="23" spans="1:13" ht="18" customHeight="1">
      <c r="A23" s="1977" t="s">
        <v>118</v>
      </c>
      <c r="B23" s="1485"/>
      <c r="C23" s="1048">
        <v>296</v>
      </c>
      <c r="D23" s="1049">
        <v>1</v>
      </c>
      <c r="E23" s="1050">
        <v>344</v>
      </c>
      <c r="F23" s="1051">
        <v>68</v>
      </c>
      <c r="G23" s="116"/>
      <c r="H23" s="1977" t="s">
        <v>118</v>
      </c>
      <c r="I23" s="1485"/>
      <c r="J23" s="1048">
        <v>165</v>
      </c>
      <c r="K23" s="1049">
        <v>1</v>
      </c>
      <c r="L23" s="1050">
        <v>165</v>
      </c>
      <c r="M23" s="1051">
        <v>20</v>
      </c>
    </row>
    <row r="24" spans="1:13" ht="18" customHeight="1" thickBot="1">
      <c r="A24" s="1978" t="s">
        <v>119</v>
      </c>
      <c r="B24" s="1979"/>
      <c r="C24" s="1052">
        <v>302</v>
      </c>
      <c r="D24" s="1053">
        <v>0</v>
      </c>
      <c r="E24" s="1054">
        <v>340</v>
      </c>
      <c r="F24" s="1055">
        <v>71</v>
      </c>
      <c r="G24" s="116"/>
      <c r="H24" s="1978" t="s">
        <v>119</v>
      </c>
      <c r="I24" s="1980"/>
      <c r="J24" s="1052">
        <v>188</v>
      </c>
      <c r="K24" s="1053">
        <v>0</v>
      </c>
      <c r="L24" s="1054">
        <v>189</v>
      </c>
      <c r="M24" s="1055">
        <v>43</v>
      </c>
    </row>
    <row r="25" spans="1:13" ht="99" customHeight="1">
      <c r="A25" s="1056" t="s">
        <v>797</v>
      </c>
      <c r="B25" s="1983" t="s">
        <v>948</v>
      </c>
      <c r="C25" s="1983"/>
      <c r="D25" s="1983"/>
      <c r="E25" s="1983"/>
      <c r="F25" s="1983"/>
      <c r="G25" s="116"/>
      <c r="H25" s="1057" t="s">
        <v>798</v>
      </c>
      <c r="I25" s="1983" t="s">
        <v>948</v>
      </c>
      <c r="J25" s="1983"/>
      <c r="K25" s="1983"/>
      <c r="L25" s="1983"/>
      <c r="M25" s="1984"/>
    </row>
    <row r="26" spans="1:13" ht="27.75" customHeight="1">
      <c r="A26" s="1056"/>
      <c r="B26" s="1058"/>
      <c r="C26" s="1058"/>
      <c r="D26" s="1058"/>
      <c r="E26" s="1058"/>
      <c r="F26" s="1058"/>
      <c r="G26" s="116"/>
      <c r="H26" s="1057"/>
      <c r="I26" s="1059"/>
      <c r="J26" s="1059"/>
      <c r="K26" s="1059"/>
      <c r="L26" s="1059"/>
      <c r="M26" s="1056"/>
    </row>
    <row r="27" spans="1:13">
      <c r="A27" s="1974"/>
      <c r="B27" s="1974"/>
      <c r="C27" s="1974"/>
      <c r="D27" s="1974"/>
      <c r="E27" s="1974"/>
      <c r="F27" s="1060"/>
    </row>
    <row r="28" spans="1:13">
      <c r="A28" s="1974"/>
      <c r="B28" s="1974"/>
      <c r="C28" s="1974"/>
      <c r="D28" s="1974"/>
      <c r="E28" s="1974"/>
      <c r="F28" s="1060"/>
    </row>
  </sheetData>
  <mergeCells count="51">
    <mergeCell ref="A7:B7"/>
    <mergeCell ref="H7:I7"/>
    <mergeCell ref="A8:B8"/>
    <mergeCell ref="A1:L2"/>
    <mergeCell ref="A4:E4"/>
    <mergeCell ref="H4:L4"/>
    <mergeCell ref="A5:B6"/>
    <mergeCell ref="C5:C6"/>
    <mergeCell ref="D5:D6"/>
    <mergeCell ref="E5:E6"/>
    <mergeCell ref="H5:I6"/>
    <mergeCell ref="J5:J6"/>
    <mergeCell ref="K5:K6"/>
    <mergeCell ref="L5:L6"/>
    <mergeCell ref="H8:I8"/>
    <mergeCell ref="A10:B10"/>
    <mergeCell ref="H10:I10"/>
    <mergeCell ref="A11:B11"/>
    <mergeCell ref="H11:I11"/>
    <mergeCell ref="A9:B9"/>
    <mergeCell ref="H9:I9"/>
    <mergeCell ref="A12:B12"/>
    <mergeCell ref="H12:I12"/>
    <mergeCell ref="A13:B13"/>
    <mergeCell ref="H13:I13"/>
    <mergeCell ref="A14:B14"/>
    <mergeCell ref="H14:I14"/>
    <mergeCell ref="A15:B15"/>
    <mergeCell ref="H15:I15"/>
    <mergeCell ref="A16:B16"/>
    <mergeCell ref="H16:I16"/>
    <mergeCell ref="A17:B17"/>
    <mergeCell ref="H17:I17"/>
    <mergeCell ref="A18:B18"/>
    <mergeCell ref="H18:I18"/>
    <mergeCell ref="A19:B19"/>
    <mergeCell ref="H19:I19"/>
    <mergeCell ref="A20:B20"/>
    <mergeCell ref="H20:I20"/>
    <mergeCell ref="A21:B21"/>
    <mergeCell ref="H21:I21"/>
    <mergeCell ref="B25:F25"/>
    <mergeCell ref="I25:M25"/>
    <mergeCell ref="A27:E27"/>
    <mergeCell ref="A28:E28"/>
    <mergeCell ref="A22:B22"/>
    <mergeCell ref="H22:I22"/>
    <mergeCell ref="A23:B23"/>
    <mergeCell ref="H23:I23"/>
    <mergeCell ref="A24:B24"/>
    <mergeCell ref="H24:I24"/>
  </mergeCells>
  <phoneticPr fontId="3"/>
  <pageMargins left="0.70866141732283472" right="0.70866141732283472" top="0.74803149606299213" bottom="0.74803149606299213" header="0.31496062992125984" footer="0.31496062992125984"/>
  <pageSetup paperSize="9" scale="85" orientation="portrait" r:id="rId1"/>
  <headerFooter>
    <oddFooter>&amp;C-33-</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view="pageBreakPreview" zoomScaleNormal="100" zoomScaleSheetLayoutView="100" zoomScalePageLayoutView="85" workbookViewId="0">
      <selection activeCell="C9" sqref="C9"/>
    </sheetView>
  </sheetViews>
  <sheetFormatPr defaultRowHeight="14.25"/>
  <cols>
    <col min="1" max="2" width="3.5" style="2" customWidth="1"/>
    <col min="3" max="3" width="22.875" style="2" customWidth="1"/>
    <col min="4" max="7" width="13.125" style="2" customWidth="1"/>
    <col min="8" max="16384" width="9" style="2"/>
  </cols>
  <sheetData>
    <row r="1" spans="1:7" ht="15.75" thickBot="1">
      <c r="A1" s="70" t="s">
        <v>799</v>
      </c>
    </row>
    <row r="2" spans="1:7" ht="18" customHeight="1">
      <c r="A2" s="3"/>
      <c r="B2" s="4"/>
      <c r="C2" s="1061" t="s">
        <v>362</v>
      </c>
      <c r="D2" s="1408" t="s">
        <v>689</v>
      </c>
      <c r="E2" s="1705" t="s">
        <v>725</v>
      </c>
      <c r="F2" s="1441" t="s">
        <v>726</v>
      </c>
      <c r="G2" s="1062"/>
    </row>
    <row r="3" spans="1:7" ht="24" customHeight="1" thickBot="1">
      <c r="A3" s="1063" t="s">
        <v>727</v>
      </c>
      <c r="B3" s="6"/>
      <c r="C3" s="1064"/>
      <c r="D3" s="1411"/>
      <c r="E3" s="1997"/>
      <c r="F3" s="1997"/>
      <c r="G3" s="1336" t="s">
        <v>919</v>
      </c>
    </row>
    <row r="4" spans="1:7" ht="20.100000000000001" customHeight="1" thickBot="1">
      <c r="A4" s="843" t="s">
        <v>728</v>
      </c>
      <c r="B4" s="349"/>
      <c r="C4" s="349"/>
      <c r="D4" s="1065">
        <f>SUM(D5:D25)</f>
        <v>3453</v>
      </c>
      <c r="E4" s="1066">
        <f>SUM(E5:E25)</f>
        <v>8</v>
      </c>
      <c r="F4" s="1067">
        <f>SUM(F5:F25)</f>
        <v>3591</v>
      </c>
      <c r="G4" s="1068">
        <f>SUM(G5:G25)</f>
        <v>478</v>
      </c>
    </row>
    <row r="5" spans="1:7" ht="20.100000000000001" customHeight="1">
      <c r="A5" s="484"/>
      <c r="B5" s="605" t="s">
        <v>442</v>
      </c>
      <c r="C5" s="586"/>
      <c r="D5" s="1069">
        <v>46</v>
      </c>
      <c r="E5" s="1070">
        <v>0</v>
      </c>
      <c r="F5" s="1071">
        <v>47</v>
      </c>
      <c r="G5" s="1072">
        <v>8</v>
      </c>
    </row>
    <row r="6" spans="1:7" ht="20.100000000000001" customHeight="1">
      <c r="A6" s="475" t="s">
        <v>729</v>
      </c>
      <c r="B6" s="584" t="s">
        <v>443</v>
      </c>
      <c r="C6" s="608"/>
      <c r="D6" s="1073">
        <v>45</v>
      </c>
      <c r="E6" s="1074">
        <v>0</v>
      </c>
      <c r="F6" s="1075">
        <v>45</v>
      </c>
      <c r="G6" s="1076">
        <v>7</v>
      </c>
    </row>
    <row r="7" spans="1:7" ht="20.100000000000001" customHeight="1">
      <c r="A7" s="475"/>
      <c r="B7" s="1698" t="s">
        <v>444</v>
      </c>
      <c r="C7" s="584" t="s">
        <v>445</v>
      </c>
      <c r="D7" s="1073">
        <v>18</v>
      </c>
      <c r="E7" s="1074">
        <v>0</v>
      </c>
      <c r="F7" s="1075">
        <v>18</v>
      </c>
      <c r="G7" s="1076">
        <v>6</v>
      </c>
    </row>
    <row r="8" spans="1:7" ht="20.100000000000001" customHeight="1">
      <c r="A8" s="475" t="s">
        <v>731</v>
      </c>
      <c r="B8" s="1699"/>
      <c r="C8" s="584" t="s">
        <v>446</v>
      </c>
      <c r="D8" s="1073">
        <v>2</v>
      </c>
      <c r="E8" s="1074">
        <v>0</v>
      </c>
      <c r="F8" s="1075">
        <v>2</v>
      </c>
      <c r="G8" s="1076">
        <v>1</v>
      </c>
    </row>
    <row r="9" spans="1:7" ht="20.100000000000001" customHeight="1">
      <c r="A9" s="475"/>
      <c r="B9" s="1699"/>
      <c r="C9" s="584" t="s">
        <v>800</v>
      </c>
      <c r="D9" s="1073">
        <v>1</v>
      </c>
      <c r="E9" s="1074">
        <v>0</v>
      </c>
      <c r="F9" s="1075">
        <v>1</v>
      </c>
      <c r="G9" s="1076">
        <v>0</v>
      </c>
    </row>
    <row r="10" spans="1:7" ht="20.100000000000001" customHeight="1">
      <c r="A10" s="475" t="s">
        <v>500</v>
      </c>
      <c r="B10" s="1700"/>
      <c r="C10" s="584" t="s">
        <v>331</v>
      </c>
      <c r="D10" s="1073">
        <v>22</v>
      </c>
      <c r="E10" s="1074">
        <v>0</v>
      </c>
      <c r="F10" s="1075">
        <v>22</v>
      </c>
      <c r="G10" s="1076">
        <v>7</v>
      </c>
    </row>
    <row r="11" spans="1:7" ht="20.100000000000001" customHeight="1">
      <c r="A11" s="475"/>
      <c r="B11" s="584" t="s">
        <v>448</v>
      </c>
      <c r="C11" s="608"/>
      <c r="D11" s="1073">
        <v>1</v>
      </c>
      <c r="E11" s="1074">
        <v>0</v>
      </c>
      <c r="F11" s="1075">
        <v>1</v>
      </c>
      <c r="G11" s="1076">
        <v>0</v>
      </c>
    </row>
    <row r="12" spans="1:7" ht="20.100000000000001" customHeight="1">
      <c r="A12" s="475" t="s">
        <v>505</v>
      </c>
      <c r="B12" s="584" t="s">
        <v>449</v>
      </c>
      <c r="C12" s="608"/>
      <c r="D12" s="1073">
        <v>4</v>
      </c>
      <c r="E12" s="1074">
        <v>0</v>
      </c>
      <c r="F12" s="1075">
        <v>4</v>
      </c>
      <c r="G12" s="1076">
        <v>1</v>
      </c>
    </row>
    <row r="13" spans="1:7" ht="20.100000000000001" customHeight="1">
      <c r="A13" s="475"/>
      <c r="B13" s="584" t="s">
        <v>735</v>
      </c>
      <c r="C13" s="608"/>
      <c r="D13" s="1073">
        <v>9</v>
      </c>
      <c r="E13" s="1074">
        <v>0</v>
      </c>
      <c r="F13" s="1075">
        <v>9</v>
      </c>
      <c r="G13" s="1076">
        <v>2</v>
      </c>
    </row>
    <row r="14" spans="1:7" ht="20.100000000000001" customHeight="1" thickBot="1">
      <c r="A14" s="475"/>
      <c r="B14" s="613" t="s">
        <v>331</v>
      </c>
      <c r="C14" s="611"/>
      <c r="D14" s="1077">
        <v>40</v>
      </c>
      <c r="E14" s="1078">
        <v>0</v>
      </c>
      <c r="F14" s="1079">
        <v>40</v>
      </c>
      <c r="G14" s="1080">
        <v>11</v>
      </c>
    </row>
    <row r="15" spans="1:7" ht="20.100000000000001" customHeight="1">
      <c r="A15" s="484"/>
      <c r="B15" s="605" t="s">
        <v>452</v>
      </c>
      <c r="C15" s="586"/>
      <c r="D15" s="1069">
        <v>51</v>
      </c>
      <c r="E15" s="1070">
        <v>0</v>
      </c>
      <c r="F15" s="1071">
        <v>56</v>
      </c>
      <c r="G15" s="1072">
        <v>18</v>
      </c>
    </row>
    <row r="16" spans="1:7" ht="20.100000000000001" customHeight="1">
      <c r="A16" s="473" t="s">
        <v>500</v>
      </c>
      <c r="B16" s="1698" t="s">
        <v>453</v>
      </c>
      <c r="C16" s="584" t="s">
        <v>454</v>
      </c>
      <c r="D16" s="1073">
        <v>12</v>
      </c>
      <c r="E16" s="1074">
        <v>0</v>
      </c>
      <c r="F16" s="1075">
        <v>12</v>
      </c>
      <c r="G16" s="1076">
        <v>2</v>
      </c>
    </row>
    <row r="17" spans="1:7" ht="20.100000000000001" customHeight="1">
      <c r="A17" s="473" t="s">
        <v>490</v>
      </c>
      <c r="B17" s="1700"/>
      <c r="C17" s="584" t="s">
        <v>331</v>
      </c>
      <c r="D17" s="1073">
        <v>20</v>
      </c>
      <c r="E17" s="1074">
        <v>0</v>
      </c>
      <c r="F17" s="1075">
        <v>20</v>
      </c>
      <c r="G17" s="1076">
        <v>1</v>
      </c>
    </row>
    <row r="18" spans="1:7" ht="20.100000000000001" customHeight="1">
      <c r="A18" s="473" t="s">
        <v>505</v>
      </c>
      <c r="B18" s="584" t="s">
        <v>484</v>
      </c>
      <c r="C18" s="608"/>
      <c r="D18" s="1073">
        <v>1826</v>
      </c>
      <c r="E18" s="1074">
        <v>3</v>
      </c>
      <c r="F18" s="1075">
        <v>1904</v>
      </c>
      <c r="G18" s="1076">
        <v>267</v>
      </c>
    </row>
    <row r="19" spans="1:7" ht="20.100000000000001" customHeight="1">
      <c r="A19" s="473"/>
      <c r="B19" s="584" t="s">
        <v>801</v>
      </c>
      <c r="C19" s="608"/>
      <c r="D19" s="1073">
        <v>140</v>
      </c>
      <c r="E19" s="1074">
        <v>0</v>
      </c>
      <c r="F19" s="1075">
        <v>145</v>
      </c>
      <c r="G19" s="1076">
        <v>25</v>
      </c>
    </row>
    <row r="20" spans="1:7" ht="20.100000000000001" customHeight="1">
      <c r="A20" s="473" t="s">
        <v>802</v>
      </c>
      <c r="B20" s="584" t="s">
        <v>457</v>
      </c>
      <c r="C20" s="608"/>
      <c r="D20" s="1073">
        <v>63</v>
      </c>
      <c r="E20" s="1074">
        <v>0</v>
      </c>
      <c r="F20" s="1075">
        <v>72</v>
      </c>
      <c r="G20" s="1076">
        <v>8</v>
      </c>
    </row>
    <row r="21" spans="1:7" ht="20.100000000000001" customHeight="1">
      <c r="A21" s="473" t="s">
        <v>490</v>
      </c>
      <c r="B21" s="584" t="s">
        <v>458</v>
      </c>
      <c r="C21" s="608"/>
      <c r="D21" s="1073">
        <v>483</v>
      </c>
      <c r="E21" s="1074">
        <v>2</v>
      </c>
      <c r="F21" s="1075">
        <v>498</v>
      </c>
      <c r="G21" s="1076">
        <v>34</v>
      </c>
    </row>
    <row r="22" spans="1:7" ht="20.100000000000001" customHeight="1">
      <c r="A22" s="473" t="s">
        <v>803</v>
      </c>
      <c r="B22" s="584" t="s">
        <v>459</v>
      </c>
      <c r="C22" s="608"/>
      <c r="D22" s="1073">
        <v>326</v>
      </c>
      <c r="E22" s="1074">
        <v>0</v>
      </c>
      <c r="F22" s="1075">
        <v>337</v>
      </c>
      <c r="G22" s="1076">
        <v>45</v>
      </c>
    </row>
    <row r="23" spans="1:7" ht="20.100000000000001" customHeight="1" thickBot="1">
      <c r="A23" s="472"/>
      <c r="B23" s="585" t="s">
        <v>331</v>
      </c>
      <c r="C23" s="923"/>
      <c r="D23" s="1081">
        <v>337</v>
      </c>
      <c r="E23" s="1082">
        <v>1</v>
      </c>
      <c r="F23" s="1083">
        <v>353</v>
      </c>
      <c r="G23" s="1084">
        <v>33</v>
      </c>
    </row>
    <row r="24" spans="1:7" ht="20.100000000000001" customHeight="1" thickBot="1">
      <c r="A24" s="563" t="s">
        <v>425</v>
      </c>
      <c r="B24" s="492"/>
      <c r="C24" s="564"/>
      <c r="D24" s="1085">
        <v>7</v>
      </c>
      <c r="E24" s="1086">
        <v>2</v>
      </c>
      <c r="F24" s="1087">
        <v>5</v>
      </c>
      <c r="G24" s="1088">
        <v>2</v>
      </c>
    </row>
    <row r="25" spans="1:7" ht="20.100000000000001" customHeight="1" thickBot="1">
      <c r="A25" s="589" t="s">
        <v>426</v>
      </c>
      <c r="B25" s="590"/>
      <c r="C25" s="590"/>
      <c r="D25" s="1089">
        <v>0</v>
      </c>
      <c r="E25" s="1066">
        <v>0</v>
      </c>
      <c r="F25" s="1090">
        <v>0</v>
      </c>
      <c r="G25" s="1068">
        <v>0</v>
      </c>
    </row>
    <row r="26" spans="1:7" ht="19.5" customHeight="1">
      <c r="A26" s="1999" t="s">
        <v>804</v>
      </c>
      <c r="B26" s="1999"/>
      <c r="C26" s="2000"/>
      <c r="D26" s="2000"/>
      <c r="E26" s="2000"/>
      <c r="F26" s="2000"/>
    </row>
  </sheetData>
  <mergeCells count="6">
    <mergeCell ref="A26:F26"/>
    <mergeCell ref="D2:D3"/>
    <mergeCell ref="E2:E3"/>
    <mergeCell ref="F2:F3"/>
    <mergeCell ref="B7:B10"/>
    <mergeCell ref="B16:B17"/>
  </mergeCells>
  <phoneticPr fontId="3"/>
  <pageMargins left="1.5" right="0.78740157480314965" top="0.98425196850393704" bottom="0.98425196850393704" header="0.51181102362204722" footer="0.51181102362204722"/>
  <pageSetup paperSize="9" scale="94" orientation="portrait" r:id="rId1"/>
  <headerFooter alignWithMargins="0">
    <oddFooter>&amp;C－34－</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Normal="100" zoomScaleSheetLayoutView="100" workbookViewId="0">
      <selection activeCell="A33" sqref="A33:K34"/>
    </sheetView>
  </sheetViews>
  <sheetFormatPr defaultRowHeight="14.25"/>
  <cols>
    <col min="1" max="1" width="9.75" style="116" customWidth="1"/>
    <col min="2" max="2" width="6.625" style="116" customWidth="1"/>
    <col min="3" max="5" width="7.625" style="116" customWidth="1"/>
    <col min="6" max="6" width="6.625" style="116" customWidth="1"/>
    <col min="7" max="9" width="7.625" style="116" customWidth="1"/>
    <col min="10" max="10" width="6.625" style="116" customWidth="1"/>
    <col min="11" max="13" width="7.625" style="116" customWidth="1"/>
    <col min="14" max="14" width="6.625" style="116" customWidth="1"/>
    <col min="15" max="17" width="7.625" style="116" customWidth="1"/>
    <col min="18" max="16384" width="9" style="116"/>
  </cols>
  <sheetData>
    <row r="1" spans="1:17" s="621" customFormat="1" ht="15">
      <c r="A1" s="621" t="s">
        <v>805</v>
      </c>
    </row>
    <row r="2" spans="1:17" s="621" customFormat="1" ht="15.75" thickBot="1">
      <c r="A2" s="621" t="s">
        <v>806</v>
      </c>
    </row>
    <row r="3" spans="1:17" ht="15" customHeight="1" thickBot="1">
      <c r="A3" s="1352" t="s">
        <v>916</v>
      </c>
      <c r="B3" s="2005" t="s">
        <v>351</v>
      </c>
      <c r="C3" s="2006"/>
      <c r="D3" s="2006"/>
      <c r="E3" s="2007" t="s">
        <v>428</v>
      </c>
      <c r="F3" s="2005" t="s">
        <v>747</v>
      </c>
      <c r="G3" s="2006"/>
      <c r="H3" s="2006"/>
      <c r="I3" s="2007" t="s">
        <v>431</v>
      </c>
      <c r="J3" s="2005" t="s">
        <v>353</v>
      </c>
      <c r="K3" s="2006"/>
      <c r="L3" s="2006"/>
      <c r="M3" s="2008" t="s">
        <v>431</v>
      </c>
      <c r="N3" s="2001"/>
      <c r="O3" s="2002"/>
      <c r="P3" s="2002"/>
      <c r="Q3" s="1091"/>
    </row>
    <row r="4" spans="1:17">
      <c r="A4" s="1092"/>
      <c r="B4" s="1591"/>
      <c r="C4" s="1629"/>
      <c r="D4" s="1629"/>
      <c r="E4" s="1955"/>
      <c r="F4" s="1591"/>
      <c r="G4" s="1629"/>
      <c r="H4" s="1629"/>
      <c r="I4" s="1955"/>
      <c r="J4" s="1591"/>
      <c r="K4" s="1629"/>
      <c r="L4" s="1629"/>
      <c r="M4" s="1955"/>
      <c r="N4" s="2003" t="s">
        <v>920</v>
      </c>
      <c r="O4" s="1953"/>
      <c r="P4" s="1953"/>
      <c r="Q4" s="1344" t="s">
        <v>921</v>
      </c>
    </row>
    <row r="5" spans="1:17">
      <c r="A5" s="1093"/>
      <c r="B5" s="736" t="s">
        <v>599</v>
      </c>
      <c r="C5" s="611"/>
      <c r="D5" s="611"/>
      <c r="E5" s="611"/>
      <c r="F5" s="736" t="s">
        <v>599</v>
      </c>
      <c r="G5" s="611"/>
      <c r="H5" s="611"/>
      <c r="I5" s="611"/>
      <c r="J5" s="736" t="s">
        <v>599</v>
      </c>
      <c r="K5" s="611"/>
      <c r="L5" s="611"/>
      <c r="M5" s="936"/>
      <c r="N5" s="736" t="s">
        <v>599</v>
      </c>
      <c r="O5" s="611"/>
      <c r="P5" s="611"/>
      <c r="Q5" s="936"/>
    </row>
    <row r="6" spans="1:17" ht="15" thickBot="1">
      <c r="A6" s="1094" t="s">
        <v>749</v>
      </c>
      <c r="B6" s="524"/>
      <c r="C6" s="939" t="s">
        <v>807</v>
      </c>
      <c r="D6" s="940" t="s">
        <v>808</v>
      </c>
      <c r="E6" s="940" t="s">
        <v>377</v>
      </c>
      <c r="F6" s="1095"/>
      <c r="G6" s="939" t="s">
        <v>807</v>
      </c>
      <c r="H6" s="940" t="s">
        <v>808</v>
      </c>
      <c r="I6" s="940" t="s">
        <v>377</v>
      </c>
      <c r="J6" s="1095"/>
      <c r="K6" s="939" t="s">
        <v>807</v>
      </c>
      <c r="L6" s="940" t="s">
        <v>808</v>
      </c>
      <c r="M6" s="941" t="s">
        <v>377</v>
      </c>
      <c r="N6" s="1095"/>
      <c r="O6" s="939" t="s">
        <v>807</v>
      </c>
      <c r="P6" s="940" t="s">
        <v>808</v>
      </c>
      <c r="Q6" s="941" t="s">
        <v>377</v>
      </c>
    </row>
    <row r="7" spans="1:17" ht="24.95" customHeight="1">
      <c r="A7" s="1096" t="s">
        <v>185</v>
      </c>
      <c r="B7" s="714">
        <f t="shared" ref="B7:B30" si="0">SUM(C7:E7)</f>
        <v>307</v>
      </c>
      <c r="C7" s="74">
        <v>26</v>
      </c>
      <c r="D7" s="74">
        <v>281</v>
      </c>
      <c r="E7" s="694">
        <v>0</v>
      </c>
      <c r="F7" s="714">
        <f t="shared" ref="F7:F30" si="1">SUM(G7:I7)</f>
        <v>0</v>
      </c>
      <c r="G7" s="74">
        <v>0</v>
      </c>
      <c r="H7" s="74">
        <v>0</v>
      </c>
      <c r="I7" s="710">
        <v>0</v>
      </c>
      <c r="J7" s="883">
        <f t="shared" ref="J7:J30" si="2">SUM(K7:M7)</f>
        <v>320</v>
      </c>
      <c r="K7" s="74">
        <v>26</v>
      </c>
      <c r="L7" s="74">
        <v>294</v>
      </c>
      <c r="M7" s="710">
        <v>0</v>
      </c>
      <c r="N7" s="883">
        <f t="shared" ref="N7:N30" si="3">SUM(O7:Q7)</f>
        <v>28</v>
      </c>
      <c r="O7" s="74">
        <v>4</v>
      </c>
      <c r="P7" s="74">
        <v>24</v>
      </c>
      <c r="Q7" s="710">
        <v>0</v>
      </c>
    </row>
    <row r="8" spans="1:17" ht="24.95" customHeight="1">
      <c r="A8" s="1097" t="s">
        <v>187</v>
      </c>
      <c r="B8" s="942">
        <f t="shared" si="0"/>
        <v>125</v>
      </c>
      <c r="C8" s="86">
        <v>15</v>
      </c>
      <c r="D8" s="86">
        <v>110</v>
      </c>
      <c r="E8" s="109">
        <v>0</v>
      </c>
      <c r="F8" s="942">
        <f t="shared" si="1"/>
        <v>0</v>
      </c>
      <c r="G8" s="86">
        <v>0</v>
      </c>
      <c r="H8" s="86">
        <v>0</v>
      </c>
      <c r="I8" s="380">
        <v>0</v>
      </c>
      <c r="J8" s="943">
        <f t="shared" si="2"/>
        <v>134</v>
      </c>
      <c r="K8" s="86">
        <v>15</v>
      </c>
      <c r="L8" s="86">
        <v>119</v>
      </c>
      <c r="M8" s="380">
        <v>0</v>
      </c>
      <c r="N8" s="943">
        <f t="shared" si="3"/>
        <v>17</v>
      </c>
      <c r="O8" s="86">
        <v>1</v>
      </c>
      <c r="P8" s="86">
        <v>16</v>
      </c>
      <c r="Q8" s="380">
        <v>0</v>
      </c>
    </row>
    <row r="9" spans="1:17" ht="24.95" customHeight="1">
      <c r="A9" s="1097" t="s">
        <v>189</v>
      </c>
      <c r="B9" s="942">
        <f t="shared" si="0"/>
        <v>61</v>
      </c>
      <c r="C9" s="86">
        <v>2</v>
      </c>
      <c r="D9" s="86">
        <v>59</v>
      </c>
      <c r="E9" s="109">
        <v>0</v>
      </c>
      <c r="F9" s="942">
        <f t="shared" si="1"/>
        <v>0</v>
      </c>
      <c r="G9" s="86">
        <v>0</v>
      </c>
      <c r="H9" s="86">
        <v>0</v>
      </c>
      <c r="I9" s="380">
        <v>0</v>
      </c>
      <c r="J9" s="943">
        <f t="shared" si="2"/>
        <v>64</v>
      </c>
      <c r="K9" s="86">
        <v>2</v>
      </c>
      <c r="L9" s="86">
        <v>62</v>
      </c>
      <c r="M9" s="380">
        <v>0</v>
      </c>
      <c r="N9" s="943">
        <f t="shared" si="3"/>
        <v>14</v>
      </c>
      <c r="O9" s="86">
        <v>0</v>
      </c>
      <c r="P9" s="86">
        <v>14</v>
      </c>
      <c r="Q9" s="380">
        <v>0</v>
      </c>
    </row>
    <row r="10" spans="1:17" ht="24.95" customHeight="1">
      <c r="A10" s="1097" t="s">
        <v>190</v>
      </c>
      <c r="B10" s="942">
        <f t="shared" si="0"/>
        <v>39</v>
      </c>
      <c r="C10" s="86">
        <v>3</v>
      </c>
      <c r="D10" s="86">
        <v>36</v>
      </c>
      <c r="E10" s="109">
        <v>0</v>
      </c>
      <c r="F10" s="942">
        <f t="shared" si="1"/>
        <v>0</v>
      </c>
      <c r="G10" s="86">
        <v>0</v>
      </c>
      <c r="H10" s="86">
        <v>0</v>
      </c>
      <c r="I10" s="380">
        <v>0</v>
      </c>
      <c r="J10" s="943">
        <f t="shared" si="2"/>
        <v>40</v>
      </c>
      <c r="K10" s="86">
        <v>3</v>
      </c>
      <c r="L10" s="86">
        <v>37</v>
      </c>
      <c r="M10" s="380">
        <v>0</v>
      </c>
      <c r="N10" s="943">
        <f t="shared" si="3"/>
        <v>12</v>
      </c>
      <c r="O10" s="86">
        <v>3</v>
      </c>
      <c r="P10" s="86">
        <v>9</v>
      </c>
      <c r="Q10" s="380">
        <v>0</v>
      </c>
    </row>
    <row r="11" spans="1:17" ht="24.95" customHeight="1">
      <c r="A11" s="1097" t="s">
        <v>192</v>
      </c>
      <c r="B11" s="942">
        <f t="shared" si="0"/>
        <v>288</v>
      </c>
      <c r="C11" s="86">
        <v>22</v>
      </c>
      <c r="D11" s="86">
        <v>266</v>
      </c>
      <c r="E11" s="109">
        <v>0</v>
      </c>
      <c r="F11" s="942">
        <f t="shared" si="1"/>
        <v>0</v>
      </c>
      <c r="G11" s="86">
        <v>0</v>
      </c>
      <c r="H11" s="86">
        <v>0</v>
      </c>
      <c r="I11" s="380">
        <v>0</v>
      </c>
      <c r="J11" s="943">
        <f t="shared" si="2"/>
        <v>302</v>
      </c>
      <c r="K11" s="86">
        <v>22</v>
      </c>
      <c r="L11" s="86">
        <v>280</v>
      </c>
      <c r="M11" s="380">
        <v>0</v>
      </c>
      <c r="N11" s="943">
        <f t="shared" si="3"/>
        <v>38</v>
      </c>
      <c r="O11" s="86">
        <v>4</v>
      </c>
      <c r="P11" s="86">
        <v>34</v>
      </c>
      <c r="Q11" s="380">
        <v>0</v>
      </c>
    </row>
    <row r="12" spans="1:17" ht="24.95" customHeight="1">
      <c r="A12" s="1097" t="s">
        <v>193</v>
      </c>
      <c r="B12" s="942">
        <f t="shared" si="0"/>
        <v>136</v>
      </c>
      <c r="C12" s="86">
        <v>8</v>
      </c>
      <c r="D12" s="86">
        <v>127</v>
      </c>
      <c r="E12" s="109">
        <v>1</v>
      </c>
      <c r="F12" s="942">
        <f t="shared" si="1"/>
        <v>1</v>
      </c>
      <c r="G12" s="86">
        <v>0</v>
      </c>
      <c r="H12" s="86">
        <v>0</v>
      </c>
      <c r="I12" s="380">
        <v>1</v>
      </c>
      <c r="J12" s="943">
        <f t="shared" si="2"/>
        <v>139</v>
      </c>
      <c r="K12" s="86">
        <v>8</v>
      </c>
      <c r="L12" s="86">
        <v>131</v>
      </c>
      <c r="M12" s="380">
        <v>0</v>
      </c>
      <c r="N12" s="943">
        <f t="shared" si="3"/>
        <v>18</v>
      </c>
      <c r="O12" s="86">
        <v>1</v>
      </c>
      <c r="P12" s="86">
        <v>17</v>
      </c>
      <c r="Q12" s="380">
        <v>0</v>
      </c>
    </row>
    <row r="13" spans="1:17" ht="24.95" customHeight="1">
      <c r="A13" s="1097" t="s">
        <v>205</v>
      </c>
      <c r="B13" s="942">
        <f t="shared" si="0"/>
        <v>45</v>
      </c>
      <c r="C13" s="86">
        <v>1</v>
      </c>
      <c r="D13" s="86">
        <v>44</v>
      </c>
      <c r="E13" s="109">
        <v>0</v>
      </c>
      <c r="F13" s="942">
        <f t="shared" si="1"/>
        <v>0</v>
      </c>
      <c r="G13" s="86">
        <v>0</v>
      </c>
      <c r="H13" s="86">
        <v>0</v>
      </c>
      <c r="I13" s="380">
        <v>0</v>
      </c>
      <c r="J13" s="943">
        <f t="shared" si="2"/>
        <v>46</v>
      </c>
      <c r="K13" s="86">
        <v>1</v>
      </c>
      <c r="L13" s="86">
        <v>45</v>
      </c>
      <c r="M13" s="380">
        <v>0</v>
      </c>
      <c r="N13" s="943">
        <f t="shared" si="3"/>
        <v>8</v>
      </c>
      <c r="O13" s="86">
        <v>0</v>
      </c>
      <c r="P13" s="86">
        <v>8</v>
      </c>
      <c r="Q13" s="380">
        <v>0</v>
      </c>
    </row>
    <row r="14" spans="1:17" ht="24.95" customHeight="1">
      <c r="A14" s="1097" t="s">
        <v>595</v>
      </c>
      <c r="B14" s="942">
        <f t="shared" si="0"/>
        <v>44</v>
      </c>
      <c r="C14" s="86">
        <v>0</v>
      </c>
      <c r="D14" s="86">
        <v>43</v>
      </c>
      <c r="E14" s="109">
        <v>1</v>
      </c>
      <c r="F14" s="942">
        <f t="shared" si="1"/>
        <v>0</v>
      </c>
      <c r="G14" s="86">
        <v>0</v>
      </c>
      <c r="H14" s="86">
        <v>0</v>
      </c>
      <c r="I14" s="380">
        <v>0</v>
      </c>
      <c r="J14" s="943">
        <f t="shared" si="2"/>
        <v>44</v>
      </c>
      <c r="K14" s="86">
        <v>0</v>
      </c>
      <c r="L14" s="86">
        <v>43</v>
      </c>
      <c r="M14" s="380">
        <v>1</v>
      </c>
      <c r="N14" s="943">
        <f t="shared" si="3"/>
        <v>9</v>
      </c>
      <c r="O14" s="86">
        <v>0</v>
      </c>
      <c r="P14" s="86">
        <v>8</v>
      </c>
      <c r="Q14" s="380">
        <v>1</v>
      </c>
    </row>
    <row r="15" spans="1:17" ht="24.95" customHeight="1">
      <c r="A15" s="1097" t="s">
        <v>207</v>
      </c>
      <c r="B15" s="942">
        <f t="shared" si="0"/>
        <v>132</v>
      </c>
      <c r="C15" s="86">
        <v>13</v>
      </c>
      <c r="D15" s="86">
        <v>119</v>
      </c>
      <c r="E15" s="109">
        <v>0</v>
      </c>
      <c r="F15" s="942">
        <f t="shared" si="1"/>
        <v>0</v>
      </c>
      <c r="G15" s="86">
        <v>0</v>
      </c>
      <c r="H15" s="86">
        <v>0</v>
      </c>
      <c r="I15" s="380">
        <v>0</v>
      </c>
      <c r="J15" s="943">
        <f t="shared" si="2"/>
        <v>141</v>
      </c>
      <c r="K15" s="86">
        <v>13</v>
      </c>
      <c r="L15" s="86">
        <v>128</v>
      </c>
      <c r="M15" s="380">
        <v>0</v>
      </c>
      <c r="N15" s="943">
        <f t="shared" si="3"/>
        <v>19</v>
      </c>
      <c r="O15" s="86">
        <v>3</v>
      </c>
      <c r="P15" s="86">
        <v>16</v>
      </c>
      <c r="Q15" s="380">
        <v>0</v>
      </c>
    </row>
    <row r="16" spans="1:17" ht="24.95" customHeight="1">
      <c r="A16" s="1097" t="s">
        <v>208</v>
      </c>
      <c r="B16" s="942">
        <f t="shared" si="0"/>
        <v>134</v>
      </c>
      <c r="C16" s="86">
        <v>9</v>
      </c>
      <c r="D16" s="86">
        <v>125</v>
      </c>
      <c r="E16" s="109">
        <v>0</v>
      </c>
      <c r="F16" s="942">
        <f t="shared" si="1"/>
        <v>0</v>
      </c>
      <c r="G16" s="86">
        <v>0</v>
      </c>
      <c r="H16" s="86">
        <v>0</v>
      </c>
      <c r="I16" s="380">
        <v>0</v>
      </c>
      <c r="J16" s="943">
        <f t="shared" si="2"/>
        <v>139</v>
      </c>
      <c r="K16" s="86">
        <v>9</v>
      </c>
      <c r="L16" s="86">
        <v>130</v>
      </c>
      <c r="M16" s="380">
        <v>0</v>
      </c>
      <c r="N16" s="943">
        <f t="shared" si="3"/>
        <v>12</v>
      </c>
      <c r="O16" s="86">
        <v>1</v>
      </c>
      <c r="P16" s="86">
        <v>11</v>
      </c>
      <c r="Q16" s="380">
        <v>0</v>
      </c>
    </row>
    <row r="17" spans="1:17" ht="24.95" customHeight="1">
      <c r="A17" s="1097" t="s">
        <v>596</v>
      </c>
      <c r="B17" s="942">
        <f t="shared" si="0"/>
        <v>110</v>
      </c>
      <c r="C17" s="86">
        <v>1</v>
      </c>
      <c r="D17" s="86">
        <v>109</v>
      </c>
      <c r="E17" s="109">
        <v>0</v>
      </c>
      <c r="F17" s="942">
        <f t="shared" si="1"/>
        <v>0</v>
      </c>
      <c r="G17" s="86">
        <v>0</v>
      </c>
      <c r="H17" s="86">
        <v>0</v>
      </c>
      <c r="I17" s="380">
        <v>0</v>
      </c>
      <c r="J17" s="943">
        <f t="shared" si="2"/>
        <v>117</v>
      </c>
      <c r="K17" s="86">
        <v>1</v>
      </c>
      <c r="L17" s="86">
        <v>116</v>
      </c>
      <c r="M17" s="380">
        <v>0</v>
      </c>
      <c r="N17" s="943">
        <f t="shared" si="3"/>
        <v>15</v>
      </c>
      <c r="O17" s="86">
        <v>0</v>
      </c>
      <c r="P17" s="86">
        <v>15</v>
      </c>
      <c r="Q17" s="380">
        <v>0</v>
      </c>
    </row>
    <row r="18" spans="1:17" ht="24.95" customHeight="1">
      <c r="A18" s="1097" t="s">
        <v>210</v>
      </c>
      <c r="B18" s="942">
        <f t="shared" si="0"/>
        <v>219</v>
      </c>
      <c r="C18" s="86">
        <v>9</v>
      </c>
      <c r="D18" s="86">
        <v>209</v>
      </c>
      <c r="E18" s="109">
        <v>1</v>
      </c>
      <c r="F18" s="942">
        <f t="shared" si="1"/>
        <v>0</v>
      </c>
      <c r="G18" s="86">
        <v>0</v>
      </c>
      <c r="H18" s="86">
        <v>0</v>
      </c>
      <c r="I18" s="380">
        <v>0</v>
      </c>
      <c r="J18" s="943">
        <f t="shared" si="2"/>
        <v>226</v>
      </c>
      <c r="K18" s="86">
        <v>9</v>
      </c>
      <c r="L18" s="86">
        <v>216</v>
      </c>
      <c r="M18" s="380">
        <v>1</v>
      </c>
      <c r="N18" s="943">
        <f t="shared" si="3"/>
        <v>29</v>
      </c>
      <c r="O18" s="86">
        <v>1</v>
      </c>
      <c r="P18" s="86">
        <v>28</v>
      </c>
      <c r="Q18" s="380">
        <v>0</v>
      </c>
    </row>
    <row r="19" spans="1:17" ht="24.95" customHeight="1">
      <c r="A19" s="1097" t="s">
        <v>597</v>
      </c>
      <c r="B19" s="942">
        <f t="shared" si="0"/>
        <v>197</v>
      </c>
      <c r="C19" s="86">
        <v>16</v>
      </c>
      <c r="D19" s="86">
        <v>180</v>
      </c>
      <c r="E19" s="109">
        <v>1</v>
      </c>
      <c r="F19" s="942">
        <f t="shared" si="1"/>
        <v>1</v>
      </c>
      <c r="G19" s="86">
        <v>0</v>
      </c>
      <c r="H19" s="86">
        <v>1</v>
      </c>
      <c r="I19" s="380">
        <v>0</v>
      </c>
      <c r="J19" s="943">
        <f t="shared" si="2"/>
        <v>208</v>
      </c>
      <c r="K19" s="86">
        <v>17</v>
      </c>
      <c r="L19" s="86">
        <v>190</v>
      </c>
      <c r="M19" s="380">
        <v>1</v>
      </c>
      <c r="N19" s="943">
        <f t="shared" si="3"/>
        <v>37</v>
      </c>
      <c r="O19" s="86">
        <v>6</v>
      </c>
      <c r="P19" s="86">
        <v>30</v>
      </c>
      <c r="Q19" s="380">
        <v>1</v>
      </c>
    </row>
    <row r="20" spans="1:17" ht="24.95" customHeight="1">
      <c r="A20" s="1097" t="s">
        <v>213</v>
      </c>
      <c r="B20" s="942">
        <f t="shared" si="0"/>
        <v>124</v>
      </c>
      <c r="C20" s="86">
        <v>6</v>
      </c>
      <c r="D20" s="86">
        <v>118</v>
      </c>
      <c r="E20" s="109">
        <v>0</v>
      </c>
      <c r="F20" s="942">
        <f t="shared" si="1"/>
        <v>0</v>
      </c>
      <c r="G20" s="86">
        <v>0</v>
      </c>
      <c r="H20" s="86">
        <v>0</v>
      </c>
      <c r="I20" s="380">
        <v>0</v>
      </c>
      <c r="J20" s="943">
        <f t="shared" si="2"/>
        <v>128</v>
      </c>
      <c r="K20" s="86">
        <v>6</v>
      </c>
      <c r="L20" s="86">
        <v>122</v>
      </c>
      <c r="M20" s="380">
        <v>0</v>
      </c>
      <c r="N20" s="943">
        <f t="shared" si="3"/>
        <v>15</v>
      </c>
      <c r="O20" s="86">
        <v>3</v>
      </c>
      <c r="P20" s="86">
        <v>12</v>
      </c>
      <c r="Q20" s="380">
        <v>0</v>
      </c>
    </row>
    <row r="21" spans="1:17" ht="24.95" customHeight="1">
      <c r="A21" s="1097" t="s">
        <v>215</v>
      </c>
      <c r="B21" s="942">
        <f t="shared" si="0"/>
        <v>159</v>
      </c>
      <c r="C21" s="86">
        <v>1</v>
      </c>
      <c r="D21" s="86">
        <v>158</v>
      </c>
      <c r="E21" s="109">
        <v>0</v>
      </c>
      <c r="F21" s="942">
        <f t="shared" si="1"/>
        <v>1</v>
      </c>
      <c r="G21" s="86">
        <v>0</v>
      </c>
      <c r="H21" s="86">
        <v>1</v>
      </c>
      <c r="I21" s="380">
        <v>0</v>
      </c>
      <c r="J21" s="943">
        <f t="shared" si="2"/>
        <v>166</v>
      </c>
      <c r="K21" s="86">
        <v>1</v>
      </c>
      <c r="L21" s="86">
        <v>165</v>
      </c>
      <c r="M21" s="380">
        <v>0</v>
      </c>
      <c r="N21" s="943">
        <f t="shared" si="3"/>
        <v>28</v>
      </c>
      <c r="O21" s="86">
        <v>0</v>
      </c>
      <c r="P21" s="86">
        <v>28</v>
      </c>
      <c r="Q21" s="380">
        <v>0</v>
      </c>
    </row>
    <row r="22" spans="1:17" ht="24.95" customHeight="1">
      <c r="A22" s="1097" t="s">
        <v>216</v>
      </c>
      <c r="B22" s="942">
        <f t="shared" si="0"/>
        <v>73</v>
      </c>
      <c r="C22" s="86">
        <v>3</v>
      </c>
      <c r="D22" s="86">
        <v>70</v>
      </c>
      <c r="E22" s="109">
        <v>0</v>
      </c>
      <c r="F22" s="942">
        <f t="shared" si="1"/>
        <v>0</v>
      </c>
      <c r="G22" s="86">
        <v>0</v>
      </c>
      <c r="H22" s="86">
        <v>0</v>
      </c>
      <c r="I22" s="380">
        <v>0</v>
      </c>
      <c r="J22" s="943">
        <f t="shared" si="2"/>
        <v>76</v>
      </c>
      <c r="K22" s="86">
        <v>3</v>
      </c>
      <c r="L22" s="86">
        <v>73</v>
      </c>
      <c r="M22" s="380">
        <v>0</v>
      </c>
      <c r="N22" s="943">
        <f t="shared" si="3"/>
        <v>14</v>
      </c>
      <c r="O22" s="86">
        <v>0</v>
      </c>
      <c r="P22" s="86">
        <v>14</v>
      </c>
      <c r="Q22" s="380">
        <v>0</v>
      </c>
    </row>
    <row r="23" spans="1:17" ht="24.95" customHeight="1">
      <c r="A23" s="1097" t="s">
        <v>217</v>
      </c>
      <c r="B23" s="942">
        <f t="shared" si="0"/>
        <v>196</v>
      </c>
      <c r="C23" s="86">
        <v>13</v>
      </c>
      <c r="D23" s="86">
        <v>182</v>
      </c>
      <c r="E23" s="109">
        <v>1</v>
      </c>
      <c r="F23" s="942">
        <f t="shared" si="1"/>
        <v>0</v>
      </c>
      <c r="G23" s="86">
        <v>0</v>
      </c>
      <c r="H23" s="86">
        <v>0</v>
      </c>
      <c r="I23" s="380">
        <v>0</v>
      </c>
      <c r="J23" s="943">
        <f t="shared" si="2"/>
        <v>201</v>
      </c>
      <c r="K23" s="86">
        <v>13</v>
      </c>
      <c r="L23" s="86">
        <v>187</v>
      </c>
      <c r="M23" s="380">
        <v>1</v>
      </c>
      <c r="N23" s="943">
        <f t="shared" si="3"/>
        <v>27</v>
      </c>
      <c r="O23" s="86">
        <v>1</v>
      </c>
      <c r="P23" s="86">
        <v>26</v>
      </c>
      <c r="Q23" s="380">
        <v>0</v>
      </c>
    </row>
    <row r="24" spans="1:17" ht="24.95" customHeight="1">
      <c r="A24" s="1097" t="s">
        <v>218</v>
      </c>
      <c r="B24" s="942">
        <f t="shared" si="0"/>
        <v>110</v>
      </c>
      <c r="C24" s="86">
        <v>2</v>
      </c>
      <c r="D24" s="86">
        <v>108</v>
      </c>
      <c r="E24" s="109">
        <v>0</v>
      </c>
      <c r="F24" s="942">
        <f t="shared" si="1"/>
        <v>0</v>
      </c>
      <c r="G24" s="86">
        <v>0</v>
      </c>
      <c r="H24" s="86">
        <v>0</v>
      </c>
      <c r="I24" s="380">
        <v>0</v>
      </c>
      <c r="J24" s="943">
        <f t="shared" si="2"/>
        <v>116</v>
      </c>
      <c r="K24" s="86">
        <v>2</v>
      </c>
      <c r="L24" s="86">
        <v>114</v>
      </c>
      <c r="M24" s="380">
        <v>0</v>
      </c>
      <c r="N24" s="943">
        <f t="shared" si="3"/>
        <v>13</v>
      </c>
      <c r="O24" s="86">
        <v>0</v>
      </c>
      <c r="P24" s="86">
        <v>13</v>
      </c>
      <c r="Q24" s="380">
        <v>0</v>
      </c>
    </row>
    <row r="25" spans="1:17" ht="24.95" customHeight="1">
      <c r="A25" s="1097" t="s">
        <v>219</v>
      </c>
      <c r="B25" s="942">
        <f t="shared" si="0"/>
        <v>90</v>
      </c>
      <c r="C25" s="86">
        <v>5</v>
      </c>
      <c r="D25" s="86">
        <v>85</v>
      </c>
      <c r="E25" s="109">
        <v>0</v>
      </c>
      <c r="F25" s="942">
        <f t="shared" si="1"/>
        <v>0</v>
      </c>
      <c r="G25" s="86">
        <v>0</v>
      </c>
      <c r="H25" s="86">
        <v>0</v>
      </c>
      <c r="I25" s="380">
        <v>0</v>
      </c>
      <c r="J25" s="943">
        <f t="shared" si="2"/>
        <v>91</v>
      </c>
      <c r="K25" s="86">
        <v>5</v>
      </c>
      <c r="L25" s="86">
        <v>86</v>
      </c>
      <c r="M25" s="380">
        <v>0</v>
      </c>
      <c r="N25" s="943">
        <f t="shared" si="3"/>
        <v>13</v>
      </c>
      <c r="O25" s="86">
        <v>3</v>
      </c>
      <c r="P25" s="86">
        <v>10</v>
      </c>
      <c r="Q25" s="380">
        <v>0</v>
      </c>
    </row>
    <row r="26" spans="1:17" ht="24.95" customHeight="1">
      <c r="A26" s="1097" t="s">
        <v>220</v>
      </c>
      <c r="B26" s="942">
        <f t="shared" si="0"/>
        <v>118</v>
      </c>
      <c r="C26" s="86">
        <v>3</v>
      </c>
      <c r="D26" s="86">
        <v>115</v>
      </c>
      <c r="E26" s="109">
        <v>0</v>
      </c>
      <c r="F26" s="942">
        <f t="shared" si="1"/>
        <v>2</v>
      </c>
      <c r="G26" s="86">
        <v>0</v>
      </c>
      <c r="H26" s="86">
        <v>2</v>
      </c>
      <c r="I26" s="380">
        <v>0</v>
      </c>
      <c r="J26" s="943">
        <f t="shared" si="2"/>
        <v>119</v>
      </c>
      <c r="K26" s="86">
        <v>3</v>
      </c>
      <c r="L26" s="86">
        <v>116</v>
      </c>
      <c r="M26" s="380">
        <v>0</v>
      </c>
      <c r="N26" s="943">
        <f t="shared" si="3"/>
        <v>15</v>
      </c>
      <c r="O26" s="86">
        <v>3</v>
      </c>
      <c r="P26" s="86">
        <v>12</v>
      </c>
      <c r="Q26" s="380">
        <v>0</v>
      </c>
    </row>
    <row r="27" spans="1:17" ht="24.95" customHeight="1">
      <c r="A27" s="1097" t="s">
        <v>221</v>
      </c>
      <c r="B27" s="942">
        <f t="shared" si="0"/>
        <v>205</v>
      </c>
      <c r="C27" s="86">
        <v>14</v>
      </c>
      <c r="D27" s="86">
        <v>191</v>
      </c>
      <c r="E27" s="109">
        <v>0</v>
      </c>
      <c r="F27" s="942">
        <f t="shared" si="1"/>
        <v>0</v>
      </c>
      <c r="G27" s="86">
        <v>0</v>
      </c>
      <c r="H27" s="86">
        <v>0</v>
      </c>
      <c r="I27" s="380">
        <v>0</v>
      </c>
      <c r="J27" s="943">
        <f t="shared" si="2"/>
        <v>212</v>
      </c>
      <c r="K27" s="86">
        <v>14</v>
      </c>
      <c r="L27" s="86">
        <v>198</v>
      </c>
      <c r="M27" s="380">
        <v>0</v>
      </c>
      <c r="N27" s="943">
        <f t="shared" si="3"/>
        <v>28</v>
      </c>
      <c r="O27" s="86">
        <v>4</v>
      </c>
      <c r="P27" s="86">
        <v>24</v>
      </c>
      <c r="Q27" s="380">
        <v>0</v>
      </c>
    </row>
    <row r="28" spans="1:17" ht="24.95" customHeight="1">
      <c r="A28" s="1097" t="s">
        <v>598</v>
      </c>
      <c r="B28" s="942">
        <f t="shared" si="0"/>
        <v>127</v>
      </c>
      <c r="C28" s="86">
        <v>3</v>
      </c>
      <c r="D28" s="86">
        <v>124</v>
      </c>
      <c r="E28" s="109">
        <v>0</v>
      </c>
      <c r="F28" s="942">
        <f t="shared" si="1"/>
        <v>0</v>
      </c>
      <c r="G28" s="86">
        <v>0</v>
      </c>
      <c r="H28" s="86">
        <v>0</v>
      </c>
      <c r="I28" s="380">
        <v>0</v>
      </c>
      <c r="J28" s="943">
        <f t="shared" si="2"/>
        <v>137</v>
      </c>
      <c r="K28" s="86">
        <v>3</v>
      </c>
      <c r="L28" s="86">
        <v>134</v>
      </c>
      <c r="M28" s="380">
        <v>0</v>
      </c>
      <c r="N28" s="943">
        <f t="shared" si="3"/>
        <v>23</v>
      </c>
      <c r="O28" s="86">
        <v>1</v>
      </c>
      <c r="P28" s="86">
        <v>22</v>
      </c>
      <c r="Q28" s="380">
        <v>0</v>
      </c>
    </row>
    <row r="29" spans="1:17" ht="24.95" customHeight="1">
      <c r="A29" s="1097" t="s">
        <v>223</v>
      </c>
      <c r="B29" s="942">
        <f t="shared" si="0"/>
        <v>292</v>
      </c>
      <c r="C29" s="86">
        <v>7</v>
      </c>
      <c r="D29" s="86">
        <v>284</v>
      </c>
      <c r="E29" s="109">
        <v>1</v>
      </c>
      <c r="F29" s="942">
        <f t="shared" si="1"/>
        <v>1</v>
      </c>
      <c r="G29" s="86">
        <v>0</v>
      </c>
      <c r="H29" s="86">
        <v>0</v>
      </c>
      <c r="I29" s="380">
        <v>1</v>
      </c>
      <c r="J29" s="943">
        <f t="shared" si="2"/>
        <v>300</v>
      </c>
      <c r="K29" s="86">
        <v>7</v>
      </c>
      <c r="L29" s="86">
        <v>293</v>
      </c>
      <c r="M29" s="380">
        <v>0</v>
      </c>
      <c r="N29" s="943">
        <f t="shared" si="3"/>
        <v>32</v>
      </c>
      <c r="O29" s="86">
        <v>3</v>
      </c>
      <c r="P29" s="86">
        <v>29</v>
      </c>
      <c r="Q29" s="380">
        <v>0</v>
      </c>
    </row>
    <row r="30" spans="1:17" ht="24.95" customHeight="1" thickBot="1">
      <c r="A30" s="1098" t="s">
        <v>224</v>
      </c>
      <c r="B30" s="717">
        <f t="shared" si="0"/>
        <v>122</v>
      </c>
      <c r="C30" s="80">
        <v>6</v>
      </c>
      <c r="D30" s="80">
        <v>115</v>
      </c>
      <c r="E30" s="113">
        <v>1</v>
      </c>
      <c r="F30" s="717">
        <f t="shared" si="1"/>
        <v>2</v>
      </c>
      <c r="G30" s="80">
        <v>0</v>
      </c>
      <c r="H30" s="80">
        <v>2</v>
      </c>
      <c r="I30" s="382">
        <v>0</v>
      </c>
      <c r="J30" s="885">
        <f t="shared" si="2"/>
        <v>125</v>
      </c>
      <c r="K30" s="80">
        <v>6</v>
      </c>
      <c r="L30" s="80">
        <v>118</v>
      </c>
      <c r="M30" s="382">
        <v>1</v>
      </c>
      <c r="N30" s="885">
        <f t="shared" si="3"/>
        <v>14</v>
      </c>
      <c r="O30" s="80">
        <v>1</v>
      </c>
      <c r="P30" s="80">
        <v>13</v>
      </c>
      <c r="Q30" s="382">
        <v>0</v>
      </c>
    </row>
    <row r="31" spans="1:17" ht="24.95" customHeight="1" thickBot="1">
      <c r="A31" s="1099" t="s">
        <v>1000</v>
      </c>
      <c r="B31" s="951">
        <f t="shared" ref="B31:Q31" si="4">SUM(B7:B30)</f>
        <v>3453</v>
      </c>
      <c r="C31" s="1100">
        <f t="shared" si="4"/>
        <v>188</v>
      </c>
      <c r="D31" s="1100">
        <f t="shared" si="4"/>
        <v>3258</v>
      </c>
      <c r="E31" s="1101">
        <f t="shared" si="4"/>
        <v>7</v>
      </c>
      <c r="F31" s="951">
        <f t="shared" si="4"/>
        <v>8</v>
      </c>
      <c r="G31" s="1100">
        <f t="shared" si="4"/>
        <v>0</v>
      </c>
      <c r="H31" s="1100">
        <f t="shared" si="4"/>
        <v>6</v>
      </c>
      <c r="I31" s="1102">
        <f t="shared" si="4"/>
        <v>2</v>
      </c>
      <c r="J31" s="952">
        <f t="shared" si="4"/>
        <v>3591</v>
      </c>
      <c r="K31" s="1100">
        <f t="shared" si="4"/>
        <v>189</v>
      </c>
      <c r="L31" s="1100">
        <f t="shared" si="4"/>
        <v>3397</v>
      </c>
      <c r="M31" s="1102">
        <f t="shared" si="4"/>
        <v>5</v>
      </c>
      <c r="N31" s="952">
        <f t="shared" si="4"/>
        <v>478</v>
      </c>
      <c r="O31" s="1100">
        <f t="shared" si="4"/>
        <v>43</v>
      </c>
      <c r="P31" s="1100">
        <f t="shared" si="4"/>
        <v>433</v>
      </c>
      <c r="Q31" s="1102">
        <f t="shared" si="4"/>
        <v>2</v>
      </c>
    </row>
    <row r="32" spans="1:17" ht="24.95" customHeight="1">
      <c r="A32" s="9" t="s">
        <v>809</v>
      </c>
      <c r="B32" s="9"/>
      <c r="C32" s="2"/>
      <c r="D32" s="2"/>
      <c r="E32" s="2"/>
      <c r="F32" s="2"/>
      <c r="G32" s="2"/>
      <c r="H32" s="2"/>
      <c r="I32" s="2"/>
      <c r="J32" s="2"/>
      <c r="K32" s="2"/>
      <c r="L32" s="2"/>
      <c r="M32" s="2"/>
    </row>
    <row r="33" spans="1:12" ht="13.5" customHeight="1">
      <c r="A33" s="2004"/>
      <c r="B33" s="2004"/>
      <c r="C33" s="2004"/>
      <c r="D33" s="2004"/>
      <c r="E33" s="2004"/>
      <c r="F33" s="2004"/>
      <c r="G33" s="2004"/>
      <c r="H33" s="2004"/>
      <c r="I33" s="2004"/>
      <c r="J33" s="2004"/>
      <c r="K33" s="2004"/>
      <c r="L33" s="1056"/>
    </row>
    <row r="34" spans="1:12">
      <c r="A34" s="2004"/>
      <c r="B34" s="2004"/>
      <c r="C34" s="2004"/>
      <c r="D34" s="2004"/>
      <c r="E34" s="2004"/>
      <c r="F34" s="2004"/>
      <c r="G34" s="2004"/>
      <c r="H34" s="2004"/>
      <c r="I34" s="2004"/>
      <c r="J34" s="2004"/>
      <c r="K34" s="2004"/>
      <c r="L34" s="1056"/>
    </row>
  </sheetData>
  <mergeCells count="9">
    <mergeCell ref="N3:P3"/>
    <mergeCell ref="N4:P4"/>
    <mergeCell ref="A33:K34"/>
    <mergeCell ref="B3:D4"/>
    <mergeCell ref="E3:E4"/>
    <mergeCell ref="F3:H4"/>
    <mergeCell ref="I3:I4"/>
    <mergeCell ref="J3:L4"/>
    <mergeCell ref="M3:M4"/>
  </mergeCells>
  <phoneticPr fontId="3"/>
  <printOptions horizontalCentered="1"/>
  <pageMargins left="0.59055118110236227" right="0.55118110236220474" top="0.98425196850393704" bottom="0.98425196850393704" header="0.51181102362204722" footer="0.51181102362204722"/>
  <pageSetup paperSize="9" scale="68" orientation="portrait" r:id="rId1"/>
  <headerFooter alignWithMargins="0">
    <oddFooter>&amp;C－35－</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view="pageBreakPreview" zoomScaleNormal="100" zoomScaleSheetLayoutView="100" workbookViewId="0">
      <selection activeCell="A33" sqref="A33:B33"/>
    </sheetView>
  </sheetViews>
  <sheetFormatPr defaultRowHeight="14.25"/>
  <cols>
    <col min="1" max="1" width="3" style="2" customWidth="1"/>
    <col min="2" max="2" width="3.875" style="2" customWidth="1"/>
    <col min="3" max="3" width="7.125" style="2" customWidth="1"/>
    <col min="4" max="6" width="7.625" style="2" customWidth="1"/>
    <col min="7" max="7" width="7.125" style="2" customWidth="1"/>
    <col min="8" max="10" width="7.625" style="2" customWidth="1"/>
    <col min="11" max="11" width="7.125" style="2" customWidth="1"/>
    <col min="12" max="14" width="7.625" style="2" customWidth="1"/>
    <col min="15" max="15" width="7.125" style="2" customWidth="1"/>
    <col min="16" max="18" width="7.625" style="2" customWidth="1"/>
    <col min="19" max="16384" width="9" style="2"/>
  </cols>
  <sheetData>
    <row r="1" spans="1:18" s="70" customFormat="1" ht="15">
      <c r="A1" s="70" t="s">
        <v>810</v>
      </c>
    </row>
    <row r="2" spans="1:18" s="70" customFormat="1" ht="15.75" thickBot="1">
      <c r="A2" s="70" t="s">
        <v>811</v>
      </c>
    </row>
    <row r="3" spans="1:18" ht="7.5" customHeight="1" thickBot="1">
      <c r="A3" s="1103"/>
      <c r="B3" s="2014" t="s">
        <v>812</v>
      </c>
      <c r="C3" s="2015" t="s">
        <v>813</v>
      </c>
      <c r="D3" s="1453"/>
      <c r="E3" s="1453"/>
      <c r="F3" s="1954" t="s">
        <v>428</v>
      </c>
      <c r="G3" s="2015" t="s">
        <v>814</v>
      </c>
      <c r="H3" s="1453"/>
      <c r="I3" s="1453"/>
      <c r="J3" s="1954" t="s">
        <v>431</v>
      </c>
      <c r="K3" s="2015" t="s">
        <v>815</v>
      </c>
      <c r="L3" s="1453"/>
      <c r="M3" s="1453"/>
      <c r="N3" s="1957" t="s">
        <v>431</v>
      </c>
      <c r="O3" s="2009"/>
      <c r="P3" s="1396"/>
      <c r="Q3" s="1396"/>
      <c r="R3" s="496"/>
    </row>
    <row r="4" spans="1:18">
      <c r="A4" s="1104"/>
      <c r="B4" s="1686"/>
      <c r="C4" s="1591"/>
      <c r="D4" s="1629"/>
      <c r="E4" s="1629"/>
      <c r="F4" s="1955"/>
      <c r="G4" s="1591"/>
      <c r="H4" s="1629"/>
      <c r="I4" s="1629"/>
      <c r="J4" s="1955"/>
      <c r="K4" s="1591"/>
      <c r="L4" s="1629"/>
      <c r="M4" s="1629"/>
      <c r="N4" s="1955"/>
      <c r="O4" s="2010" t="s">
        <v>922</v>
      </c>
      <c r="P4" s="1953"/>
      <c r="Q4" s="1953"/>
      <c r="R4" s="309" t="s">
        <v>431</v>
      </c>
    </row>
    <row r="5" spans="1:18">
      <c r="A5" s="1104"/>
      <c r="B5" s="1105"/>
      <c r="C5" s="1106" t="s">
        <v>816</v>
      </c>
      <c r="D5" s="1107"/>
      <c r="E5" s="1107"/>
      <c r="F5" s="1107"/>
      <c r="G5" s="1106" t="s">
        <v>816</v>
      </c>
      <c r="H5" s="1107"/>
      <c r="I5" s="1107"/>
      <c r="J5" s="1107"/>
      <c r="K5" s="1106" t="s">
        <v>816</v>
      </c>
      <c r="L5" s="1107"/>
      <c r="M5" s="1107"/>
      <c r="N5" s="1108"/>
      <c r="O5" s="1106" t="s">
        <v>816</v>
      </c>
      <c r="P5" s="1107"/>
      <c r="Q5" s="1107"/>
      <c r="R5" s="1108"/>
    </row>
    <row r="6" spans="1:18" ht="15" thickBot="1">
      <c r="A6" s="1109" t="s">
        <v>817</v>
      </c>
      <c r="B6" s="1105"/>
      <c r="C6" s="1110"/>
      <c r="D6" s="956" t="s">
        <v>807</v>
      </c>
      <c r="E6" s="957" t="s">
        <v>808</v>
      </c>
      <c r="F6" s="957" t="s">
        <v>377</v>
      </c>
      <c r="G6" s="1110"/>
      <c r="H6" s="956" t="s">
        <v>807</v>
      </c>
      <c r="I6" s="957" t="s">
        <v>808</v>
      </c>
      <c r="J6" s="957" t="s">
        <v>377</v>
      </c>
      <c r="K6" s="1110"/>
      <c r="L6" s="956" t="s">
        <v>807</v>
      </c>
      <c r="M6" s="957" t="s">
        <v>808</v>
      </c>
      <c r="N6" s="958" t="s">
        <v>377</v>
      </c>
      <c r="O6" s="1110"/>
      <c r="P6" s="956" t="s">
        <v>807</v>
      </c>
      <c r="Q6" s="957" t="s">
        <v>808</v>
      </c>
      <c r="R6" s="958" t="s">
        <v>377</v>
      </c>
    </row>
    <row r="7" spans="1:18" ht="24.95" customHeight="1">
      <c r="A7" s="1111"/>
      <c r="B7" s="1112">
        <v>0</v>
      </c>
      <c r="C7" s="1113">
        <f t="shared" ref="C7:C30" si="0">SUM(D7:F7)</f>
        <v>36</v>
      </c>
      <c r="D7" s="1114">
        <v>2</v>
      </c>
      <c r="E7" s="1115">
        <v>34</v>
      </c>
      <c r="F7" s="1115">
        <v>0</v>
      </c>
      <c r="G7" s="1113">
        <f t="shared" ref="G7:G30" si="1">SUM(H7:J7)</f>
        <v>1</v>
      </c>
      <c r="H7" s="1114">
        <v>0</v>
      </c>
      <c r="I7" s="1115">
        <v>1</v>
      </c>
      <c r="J7" s="1116">
        <v>0</v>
      </c>
      <c r="K7" s="1117">
        <f t="shared" ref="K7:K30" si="2">SUM(L7:N7)</f>
        <v>37</v>
      </c>
      <c r="L7" s="1114">
        <v>2</v>
      </c>
      <c r="M7" s="1115">
        <v>35</v>
      </c>
      <c r="N7" s="1116">
        <v>0</v>
      </c>
      <c r="O7" s="1117">
        <f t="shared" ref="O7:O30" si="3">SUM(P7:R7)</f>
        <v>4</v>
      </c>
      <c r="P7" s="1114">
        <v>0</v>
      </c>
      <c r="Q7" s="1115">
        <v>4</v>
      </c>
      <c r="R7" s="1116">
        <v>0</v>
      </c>
    </row>
    <row r="8" spans="1:18" ht="24.95" customHeight="1">
      <c r="A8" s="1111" t="s">
        <v>818</v>
      </c>
      <c r="B8" s="1118">
        <v>1</v>
      </c>
      <c r="C8" s="1113">
        <f t="shared" si="0"/>
        <v>25</v>
      </c>
      <c r="D8" s="1119">
        <v>1</v>
      </c>
      <c r="E8" s="1120">
        <v>24</v>
      </c>
      <c r="F8" s="1120">
        <v>0</v>
      </c>
      <c r="G8" s="1113">
        <f t="shared" si="1"/>
        <v>0</v>
      </c>
      <c r="H8" s="1119">
        <v>0</v>
      </c>
      <c r="I8" s="1120">
        <v>0</v>
      </c>
      <c r="J8" s="1121">
        <v>0</v>
      </c>
      <c r="K8" s="1117">
        <f t="shared" si="2"/>
        <v>26</v>
      </c>
      <c r="L8" s="1119">
        <v>1</v>
      </c>
      <c r="M8" s="1120">
        <v>25</v>
      </c>
      <c r="N8" s="1121">
        <v>0</v>
      </c>
      <c r="O8" s="1117">
        <f t="shared" si="3"/>
        <v>8</v>
      </c>
      <c r="P8" s="1119">
        <v>0</v>
      </c>
      <c r="Q8" s="1120">
        <v>8</v>
      </c>
      <c r="R8" s="1121">
        <v>0</v>
      </c>
    </row>
    <row r="9" spans="1:18" ht="24.95" customHeight="1">
      <c r="A9" s="1111"/>
      <c r="B9" s="1118">
        <v>2</v>
      </c>
      <c r="C9" s="1113">
        <f t="shared" si="0"/>
        <v>14</v>
      </c>
      <c r="D9" s="1119">
        <v>2</v>
      </c>
      <c r="E9" s="1120">
        <v>12</v>
      </c>
      <c r="F9" s="1120">
        <v>0</v>
      </c>
      <c r="G9" s="1113">
        <f t="shared" si="1"/>
        <v>0</v>
      </c>
      <c r="H9" s="1119">
        <v>0</v>
      </c>
      <c r="I9" s="1120">
        <v>0</v>
      </c>
      <c r="J9" s="1121">
        <v>0</v>
      </c>
      <c r="K9" s="1117">
        <f t="shared" si="2"/>
        <v>15</v>
      </c>
      <c r="L9" s="1119">
        <v>2</v>
      </c>
      <c r="M9" s="1120">
        <v>13</v>
      </c>
      <c r="N9" s="1121">
        <v>0</v>
      </c>
      <c r="O9" s="1117">
        <f t="shared" si="3"/>
        <v>0</v>
      </c>
      <c r="P9" s="1119">
        <v>0</v>
      </c>
      <c r="Q9" s="1120">
        <v>0</v>
      </c>
      <c r="R9" s="1121">
        <v>0</v>
      </c>
    </row>
    <row r="10" spans="1:18" ht="24.95" customHeight="1">
      <c r="A10" s="1111" t="s">
        <v>819</v>
      </c>
      <c r="B10" s="1118">
        <v>3</v>
      </c>
      <c r="C10" s="1113">
        <f t="shared" si="0"/>
        <v>19</v>
      </c>
      <c r="D10" s="1119">
        <v>2</v>
      </c>
      <c r="E10" s="1120">
        <v>16</v>
      </c>
      <c r="F10" s="1120">
        <v>1</v>
      </c>
      <c r="G10" s="1113">
        <f t="shared" si="1"/>
        <v>0</v>
      </c>
      <c r="H10" s="1119">
        <v>0</v>
      </c>
      <c r="I10" s="1120">
        <v>0</v>
      </c>
      <c r="J10" s="1121">
        <v>0</v>
      </c>
      <c r="K10" s="1117">
        <f t="shared" si="2"/>
        <v>20</v>
      </c>
      <c r="L10" s="1119">
        <v>2</v>
      </c>
      <c r="M10" s="1120">
        <v>17</v>
      </c>
      <c r="N10" s="1121">
        <v>1</v>
      </c>
      <c r="O10" s="1117">
        <f t="shared" si="3"/>
        <v>5</v>
      </c>
      <c r="P10" s="1119">
        <v>0</v>
      </c>
      <c r="Q10" s="1120">
        <v>4</v>
      </c>
      <c r="R10" s="1121">
        <v>1</v>
      </c>
    </row>
    <row r="11" spans="1:18" ht="24.95" customHeight="1">
      <c r="A11" s="1111"/>
      <c r="B11" s="1118">
        <v>4</v>
      </c>
      <c r="C11" s="1113">
        <f t="shared" si="0"/>
        <v>7</v>
      </c>
      <c r="D11" s="1119">
        <v>0</v>
      </c>
      <c r="E11" s="1120">
        <v>7</v>
      </c>
      <c r="F11" s="1120">
        <v>0</v>
      </c>
      <c r="G11" s="1113">
        <f t="shared" si="1"/>
        <v>0</v>
      </c>
      <c r="H11" s="1119">
        <v>0</v>
      </c>
      <c r="I11" s="1120">
        <v>0</v>
      </c>
      <c r="J11" s="1121">
        <v>0</v>
      </c>
      <c r="K11" s="1117">
        <f t="shared" si="2"/>
        <v>8</v>
      </c>
      <c r="L11" s="1119">
        <v>0</v>
      </c>
      <c r="M11" s="1120">
        <v>8</v>
      </c>
      <c r="N11" s="1121">
        <v>0</v>
      </c>
      <c r="O11" s="1117">
        <f t="shared" si="3"/>
        <v>1</v>
      </c>
      <c r="P11" s="1119">
        <v>0</v>
      </c>
      <c r="Q11" s="1120">
        <v>1</v>
      </c>
      <c r="R11" s="1121">
        <v>0</v>
      </c>
    </row>
    <row r="12" spans="1:18" ht="24.95" customHeight="1">
      <c r="A12" s="1122"/>
      <c r="B12" s="1118">
        <v>5</v>
      </c>
      <c r="C12" s="1113">
        <f t="shared" si="0"/>
        <v>21</v>
      </c>
      <c r="D12" s="1119">
        <v>0</v>
      </c>
      <c r="E12" s="1120">
        <v>21</v>
      </c>
      <c r="F12" s="1120">
        <v>0</v>
      </c>
      <c r="G12" s="1113">
        <f t="shared" si="1"/>
        <v>1</v>
      </c>
      <c r="H12" s="1119">
        <v>0</v>
      </c>
      <c r="I12" s="1120">
        <v>1</v>
      </c>
      <c r="J12" s="1121">
        <v>0</v>
      </c>
      <c r="K12" s="1117">
        <f t="shared" si="2"/>
        <v>20</v>
      </c>
      <c r="L12" s="1119">
        <v>0</v>
      </c>
      <c r="M12" s="1120">
        <v>20</v>
      </c>
      <c r="N12" s="1121">
        <v>0</v>
      </c>
      <c r="O12" s="1117">
        <f t="shared" si="3"/>
        <v>4</v>
      </c>
      <c r="P12" s="1119">
        <v>0</v>
      </c>
      <c r="Q12" s="1120">
        <v>4</v>
      </c>
      <c r="R12" s="1121">
        <v>0</v>
      </c>
    </row>
    <row r="13" spans="1:18" ht="24.95" customHeight="1">
      <c r="A13" s="1123"/>
      <c r="B13" s="1124">
        <v>6</v>
      </c>
      <c r="C13" s="1113">
        <f t="shared" si="0"/>
        <v>55</v>
      </c>
      <c r="D13" s="1119">
        <v>0</v>
      </c>
      <c r="E13" s="1120">
        <v>55</v>
      </c>
      <c r="F13" s="1120">
        <v>0</v>
      </c>
      <c r="G13" s="1113">
        <f t="shared" si="1"/>
        <v>0</v>
      </c>
      <c r="H13" s="1119">
        <v>0</v>
      </c>
      <c r="I13" s="1120">
        <v>0</v>
      </c>
      <c r="J13" s="1121">
        <v>0</v>
      </c>
      <c r="K13" s="1117">
        <f t="shared" si="2"/>
        <v>56</v>
      </c>
      <c r="L13" s="1119">
        <v>0</v>
      </c>
      <c r="M13" s="1120">
        <v>56</v>
      </c>
      <c r="N13" s="1121">
        <v>0</v>
      </c>
      <c r="O13" s="1117">
        <f t="shared" si="3"/>
        <v>12</v>
      </c>
      <c r="P13" s="1119">
        <v>0</v>
      </c>
      <c r="Q13" s="1120">
        <v>12</v>
      </c>
      <c r="R13" s="1121">
        <v>0</v>
      </c>
    </row>
    <row r="14" spans="1:18" ht="24.95" customHeight="1">
      <c r="A14" s="1123"/>
      <c r="B14" s="1124">
        <v>7</v>
      </c>
      <c r="C14" s="1113">
        <f t="shared" si="0"/>
        <v>171</v>
      </c>
      <c r="D14" s="1119">
        <v>13</v>
      </c>
      <c r="E14" s="1120">
        <v>158</v>
      </c>
      <c r="F14" s="1120">
        <v>0</v>
      </c>
      <c r="G14" s="1113">
        <f t="shared" si="1"/>
        <v>1</v>
      </c>
      <c r="H14" s="1119">
        <v>0</v>
      </c>
      <c r="I14" s="1120">
        <v>1</v>
      </c>
      <c r="J14" s="1121">
        <v>0</v>
      </c>
      <c r="K14" s="1117">
        <f t="shared" si="2"/>
        <v>178</v>
      </c>
      <c r="L14" s="1119">
        <v>13</v>
      </c>
      <c r="M14" s="1120">
        <v>165</v>
      </c>
      <c r="N14" s="1121">
        <v>0</v>
      </c>
      <c r="O14" s="1117">
        <f t="shared" si="3"/>
        <v>30</v>
      </c>
      <c r="P14" s="1119">
        <v>4</v>
      </c>
      <c r="Q14" s="1120">
        <v>26</v>
      </c>
      <c r="R14" s="1121">
        <v>0</v>
      </c>
    </row>
    <row r="15" spans="1:18" ht="24.95" customHeight="1">
      <c r="A15" s="1123"/>
      <c r="B15" s="1124">
        <v>8</v>
      </c>
      <c r="C15" s="1113">
        <f t="shared" si="0"/>
        <v>335</v>
      </c>
      <c r="D15" s="1119">
        <v>26</v>
      </c>
      <c r="E15" s="1120">
        <v>309</v>
      </c>
      <c r="F15" s="1120">
        <v>0</v>
      </c>
      <c r="G15" s="1113">
        <f t="shared" si="1"/>
        <v>0</v>
      </c>
      <c r="H15" s="1119">
        <v>0</v>
      </c>
      <c r="I15" s="1120">
        <v>0</v>
      </c>
      <c r="J15" s="1121">
        <v>0</v>
      </c>
      <c r="K15" s="1117">
        <f t="shared" si="2"/>
        <v>357</v>
      </c>
      <c r="L15" s="1119">
        <v>26</v>
      </c>
      <c r="M15" s="1120">
        <v>331</v>
      </c>
      <c r="N15" s="1121">
        <v>0</v>
      </c>
      <c r="O15" s="1117">
        <f t="shared" si="3"/>
        <v>32</v>
      </c>
      <c r="P15" s="1119">
        <v>5</v>
      </c>
      <c r="Q15" s="1120">
        <v>27</v>
      </c>
      <c r="R15" s="1121">
        <v>0</v>
      </c>
    </row>
    <row r="16" spans="1:18" ht="24.95" customHeight="1">
      <c r="A16" s="1123"/>
      <c r="B16" s="1124">
        <v>9</v>
      </c>
      <c r="C16" s="1113">
        <f t="shared" si="0"/>
        <v>304</v>
      </c>
      <c r="D16" s="1119">
        <v>10</v>
      </c>
      <c r="E16" s="1120">
        <v>294</v>
      </c>
      <c r="F16" s="1120">
        <v>0</v>
      </c>
      <c r="G16" s="1113">
        <f t="shared" si="1"/>
        <v>0</v>
      </c>
      <c r="H16" s="1119">
        <v>0</v>
      </c>
      <c r="I16" s="1120">
        <v>0</v>
      </c>
      <c r="J16" s="1121">
        <v>0</v>
      </c>
      <c r="K16" s="1117">
        <f t="shared" si="2"/>
        <v>320</v>
      </c>
      <c r="L16" s="1119">
        <v>10</v>
      </c>
      <c r="M16" s="1120">
        <v>310</v>
      </c>
      <c r="N16" s="1121">
        <v>0</v>
      </c>
      <c r="O16" s="1117">
        <f t="shared" si="3"/>
        <v>29</v>
      </c>
      <c r="P16" s="1119">
        <v>0</v>
      </c>
      <c r="Q16" s="1120">
        <v>29</v>
      </c>
      <c r="R16" s="1121">
        <v>0</v>
      </c>
    </row>
    <row r="17" spans="1:18" ht="24.95" customHeight="1">
      <c r="A17" s="1123"/>
      <c r="B17" s="1124">
        <v>10</v>
      </c>
      <c r="C17" s="1113">
        <f t="shared" si="0"/>
        <v>243</v>
      </c>
      <c r="D17" s="1119">
        <v>7</v>
      </c>
      <c r="E17" s="1120">
        <v>234</v>
      </c>
      <c r="F17" s="1120">
        <v>2</v>
      </c>
      <c r="G17" s="1113">
        <f t="shared" si="1"/>
        <v>0</v>
      </c>
      <c r="H17" s="1119">
        <v>0</v>
      </c>
      <c r="I17" s="1120">
        <v>0</v>
      </c>
      <c r="J17" s="1121">
        <v>0</v>
      </c>
      <c r="K17" s="1117">
        <f t="shared" si="2"/>
        <v>251</v>
      </c>
      <c r="L17" s="1119">
        <v>7</v>
      </c>
      <c r="M17" s="1120">
        <v>242</v>
      </c>
      <c r="N17" s="1121">
        <v>2</v>
      </c>
      <c r="O17" s="1117">
        <f t="shared" si="3"/>
        <v>42</v>
      </c>
      <c r="P17" s="1119">
        <v>4</v>
      </c>
      <c r="Q17" s="1120">
        <v>37</v>
      </c>
      <c r="R17" s="1121">
        <v>1</v>
      </c>
    </row>
    <row r="18" spans="1:18" ht="24.95" customHeight="1">
      <c r="A18" s="1123"/>
      <c r="B18" s="1124">
        <v>11</v>
      </c>
      <c r="C18" s="1113">
        <f t="shared" si="0"/>
        <v>251</v>
      </c>
      <c r="D18" s="1119">
        <v>25</v>
      </c>
      <c r="E18" s="1120">
        <v>226</v>
      </c>
      <c r="F18" s="1120">
        <v>0</v>
      </c>
      <c r="G18" s="1113">
        <f t="shared" si="1"/>
        <v>1</v>
      </c>
      <c r="H18" s="1119">
        <v>0</v>
      </c>
      <c r="I18" s="1120">
        <v>1</v>
      </c>
      <c r="J18" s="1121">
        <v>0</v>
      </c>
      <c r="K18" s="1117">
        <f t="shared" si="2"/>
        <v>255</v>
      </c>
      <c r="L18" s="1119">
        <v>25</v>
      </c>
      <c r="M18" s="1120">
        <v>230</v>
      </c>
      <c r="N18" s="1121">
        <v>0</v>
      </c>
      <c r="O18" s="1117">
        <f t="shared" si="3"/>
        <v>46</v>
      </c>
      <c r="P18" s="1119">
        <v>4</v>
      </c>
      <c r="Q18" s="1120">
        <v>42</v>
      </c>
      <c r="R18" s="1121">
        <v>0</v>
      </c>
    </row>
    <row r="19" spans="1:18" ht="24.95" customHeight="1">
      <c r="A19" s="1123"/>
      <c r="B19" s="1124">
        <v>12</v>
      </c>
      <c r="C19" s="1113">
        <f t="shared" si="0"/>
        <v>211</v>
      </c>
      <c r="D19" s="1119">
        <v>7</v>
      </c>
      <c r="E19" s="1120">
        <v>204</v>
      </c>
      <c r="F19" s="1120">
        <v>0</v>
      </c>
      <c r="G19" s="1113">
        <f t="shared" si="1"/>
        <v>0</v>
      </c>
      <c r="H19" s="1119">
        <v>0</v>
      </c>
      <c r="I19" s="1120">
        <v>0</v>
      </c>
      <c r="J19" s="1121">
        <v>0</v>
      </c>
      <c r="K19" s="1117">
        <f t="shared" si="2"/>
        <v>216</v>
      </c>
      <c r="L19" s="1119">
        <v>7</v>
      </c>
      <c r="M19" s="1120">
        <v>209</v>
      </c>
      <c r="N19" s="1121">
        <v>0</v>
      </c>
      <c r="O19" s="1117">
        <f t="shared" si="3"/>
        <v>37</v>
      </c>
      <c r="P19" s="1119">
        <v>1</v>
      </c>
      <c r="Q19" s="1120">
        <v>36</v>
      </c>
      <c r="R19" s="1121">
        <v>0</v>
      </c>
    </row>
    <row r="20" spans="1:18" ht="24.95" customHeight="1">
      <c r="A20" s="1123"/>
      <c r="B20" s="1124">
        <v>13</v>
      </c>
      <c r="C20" s="1113">
        <f t="shared" si="0"/>
        <v>203</v>
      </c>
      <c r="D20" s="1119">
        <v>9</v>
      </c>
      <c r="E20" s="1120">
        <v>194</v>
      </c>
      <c r="F20" s="1120">
        <v>0</v>
      </c>
      <c r="G20" s="1113">
        <f t="shared" si="1"/>
        <v>1</v>
      </c>
      <c r="H20" s="1119">
        <v>0</v>
      </c>
      <c r="I20" s="1120">
        <v>1</v>
      </c>
      <c r="J20" s="1121">
        <v>0</v>
      </c>
      <c r="K20" s="1117">
        <f t="shared" si="2"/>
        <v>209</v>
      </c>
      <c r="L20" s="1119">
        <v>9</v>
      </c>
      <c r="M20" s="1120">
        <v>200</v>
      </c>
      <c r="N20" s="1121">
        <v>0</v>
      </c>
      <c r="O20" s="1117">
        <f t="shared" si="3"/>
        <v>34</v>
      </c>
      <c r="P20" s="1119">
        <v>3</v>
      </c>
      <c r="Q20" s="1120">
        <v>31</v>
      </c>
      <c r="R20" s="1121">
        <v>0</v>
      </c>
    </row>
    <row r="21" spans="1:18" ht="24.95" customHeight="1">
      <c r="A21" s="1123"/>
      <c r="B21" s="1124">
        <v>14</v>
      </c>
      <c r="C21" s="1113">
        <f t="shared" si="0"/>
        <v>191</v>
      </c>
      <c r="D21" s="1119">
        <v>12</v>
      </c>
      <c r="E21" s="1120">
        <v>178</v>
      </c>
      <c r="F21" s="1120">
        <v>1</v>
      </c>
      <c r="G21" s="1113">
        <f t="shared" si="1"/>
        <v>1</v>
      </c>
      <c r="H21" s="1119">
        <v>0</v>
      </c>
      <c r="I21" s="1120">
        <v>0</v>
      </c>
      <c r="J21" s="1121">
        <v>1</v>
      </c>
      <c r="K21" s="1117">
        <f t="shared" si="2"/>
        <v>199</v>
      </c>
      <c r="L21" s="1119">
        <v>12</v>
      </c>
      <c r="M21" s="1120">
        <v>187</v>
      </c>
      <c r="N21" s="1121">
        <v>0</v>
      </c>
      <c r="O21" s="1117">
        <f t="shared" si="3"/>
        <v>22</v>
      </c>
      <c r="P21" s="1119">
        <v>2</v>
      </c>
      <c r="Q21" s="1120">
        <v>20</v>
      </c>
      <c r="R21" s="1121">
        <v>0</v>
      </c>
    </row>
    <row r="22" spans="1:18" ht="24.95" customHeight="1">
      <c r="A22" s="1123"/>
      <c r="B22" s="1124">
        <v>15</v>
      </c>
      <c r="C22" s="1113">
        <f t="shared" si="0"/>
        <v>209</v>
      </c>
      <c r="D22" s="1119">
        <v>10</v>
      </c>
      <c r="E22" s="1120">
        <v>199</v>
      </c>
      <c r="F22" s="1120">
        <v>0</v>
      </c>
      <c r="G22" s="1113">
        <f t="shared" si="1"/>
        <v>0</v>
      </c>
      <c r="H22" s="1119">
        <v>0</v>
      </c>
      <c r="I22" s="1120">
        <v>0</v>
      </c>
      <c r="J22" s="1121">
        <v>0</v>
      </c>
      <c r="K22" s="1117">
        <f t="shared" si="2"/>
        <v>219</v>
      </c>
      <c r="L22" s="1119">
        <v>10</v>
      </c>
      <c r="M22" s="1120">
        <v>209</v>
      </c>
      <c r="N22" s="1121">
        <v>0</v>
      </c>
      <c r="O22" s="1117">
        <f t="shared" si="3"/>
        <v>22</v>
      </c>
      <c r="P22" s="1119">
        <v>4</v>
      </c>
      <c r="Q22" s="1120">
        <v>18</v>
      </c>
      <c r="R22" s="1121">
        <v>0</v>
      </c>
    </row>
    <row r="23" spans="1:18" ht="24.95" customHeight="1">
      <c r="A23" s="1123"/>
      <c r="B23" s="1124">
        <v>16</v>
      </c>
      <c r="C23" s="1113">
        <f t="shared" si="0"/>
        <v>218</v>
      </c>
      <c r="D23" s="1119">
        <v>10</v>
      </c>
      <c r="E23" s="1120">
        <v>208</v>
      </c>
      <c r="F23" s="1120">
        <v>0</v>
      </c>
      <c r="G23" s="1113">
        <f t="shared" si="1"/>
        <v>0</v>
      </c>
      <c r="H23" s="1119">
        <v>0</v>
      </c>
      <c r="I23" s="1120">
        <v>0</v>
      </c>
      <c r="J23" s="1121">
        <v>0</v>
      </c>
      <c r="K23" s="1117">
        <f t="shared" si="2"/>
        <v>224</v>
      </c>
      <c r="L23" s="1119">
        <v>10</v>
      </c>
      <c r="M23" s="1120">
        <v>214</v>
      </c>
      <c r="N23" s="1121">
        <v>0</v>
      </c>
      <c r="O23" s="1117">
        <f t="shared" si="3"/>
        <v>26</v>
      </c>
      <c r="P23" s="1119">
        <v>3</v>
      </c>
      <c r="Q23" s="1120">
        <v>23</v>
      </c>
      <c r="R23" s="1121">
        <v>0</v>
      </c>
    </row>
    <row r="24" spans="1:18" ht="24.95" customHeight="1">
      <c r="A24" s="1123"/>
      <c r="B24" s="1124">
        <v>17</v>
      </c>
      <c r="C24" s="1113">
        <f t="shared" si="0"/>
        <v>263</v>
      </c>
      <c r="D24" s="1119">
        <v>14</v>
      </c>
      <c r="E24" s="1120">
        <v>249</v>
      </c>
      <c r="F24" s="1120">
        <v>0</v>
      </c>
      <c r="G24" s="1113">
        <f t="shared" si="1"/>
        <v>0</v>
      </c>
      <c r="H24" s="1119">
        <v>0</v>
      </c>
      <c r="I24" s="1120">
        <v>0</v>
      </c>
      <c r="J24" s="1121">
        <v>0</v>
      </c>
      <c r="K24" s="1117">
        <f t="shared" si="2"/>
        <v>279</v>
      </c>
      <c r="L24" s="1119">
        <v>14</v>
      </c>
      <c r="M24" s="1120">
        <v>265</v>
      </c>
      <c r="N24" s="1121">
        <v>0</v>
      </c>
      <c r="O24" s="1117">
        <f t="shared" si="3"/>
        <v>40</v>
      </c>
      <c r="P24" s="1119">
        <v>5</v>
      </c>
      <c r="Q24" s="1120">
        <v>35</v>
      </c>
      <c r="R24" s="1121">
        <v>0</v>
      </c>
    </row>
    <row r="25" spans="1:18" ht="24.95" customHeight="1">
      <c r="A25" s="1125"/>
      <c r="B25" s="1118">
        <v>18</v>
      </c>
      <c r="C25" s="1113">
        <f t="shared" si="0"/>
        <v>239</v>
      </c>
      <c r="D25" s="1119">
        <v>12</v>
      </c>
      <c r="E25" s="1120">
        <v>227</v>
      </c>
      <c r="F25" s="1120">
        <v>0</v>
      </c>
      <c r="G25" s="1113">
        <f t="shared" si="1"/>
        <v>0</v>
      </c>
      <c r="H25" s="1119">
        <v>0</v>
      </c>
      <c r="I25" s="1120">
        <v>0</v>
      </c>
      <c r="J25" s="1121">
        <v>0</v>
      </c>
      <c r="K25" s="1117">
        <f t="shared" si="2"/>
        <v>242</v>
      </c>
      <c r="L25" s="1119">
        <v>12</v>
      </c>
      <c r="M25" s="1120">
        <v>230</v>
      </c>
      <c r="N25" s="1121">
        <v>0</v>
      </c>
      <c r="O25" s="1117">
        <f t="shared" si="3"/>
        <v>23</v>
      </c>
      <c r="P25" s="1119">
        <v>2</v>
      </c>
      <c r="Q25" s="1120">
        <v>21</v>
      </c>
      <c r="R25" s="1121">
        <v>0</v>
      </c>
    </row>
    <row r="26" spans="1:18" ht="24.95" customHeight="1">
      <c r="A26" s="1111" t="s">
        <v>818</v>
      </c>
      <c r="B26" s="1118">
        <v>19</v>
      </c>
      <c r="C26" s="1113">
        <f t="shared" si="0"/>
        <v>155</v>
      </c>
      <c r="D26" s="1119">
        <v>6</v>
      </c>
      <c r="E26" s="1120">
        <v>148</v>
      </c>
      <c r="F26" s="1120">
        <v>1</v>
      </c>
      <c r="G26" s="1113">
        <f t="shared" si="1"/>
        <v>1</v>
      </c>
      <c r="H26" s="1119">
        <v>0</v>
      </c>
      <c r="I26" s="1120">
        <v>1</v>
      </c>
      <c r="J26" s="1121">
        <v>0</v>
      </c>
      <c r="K26" s="1117">
        <f t="shared" si="2"/>
        <v>157</v>
      </c>
      <c r="L26" s="1119">
        <v>6</v>
      </c>
      <c r="M26" s="1120">
        <v>150</v>
      </c>
      <c r="N26" s="1121">
        <v>1</v>
      </c>
      <c r="O26" s="1117">
        <f t="shared" si="3"/>
        <v>21</v>
      </c>
      <c r="P26" s="1119">
        <v>2</v>
      </c>
      <c r="Q26" s="1120">
        <v>19</v>
      </c>
      <c r="R26" s="1121">
        <v>0</v>
      </c>
    </row>
    <row r="27" spans="1:18" ht="24.95" customHeight="1">
      <c r="A27" s="1111"/>
      <c r="B27" s="1118">
        <v>20</v>
      </c>
      <c r="C27" s="1113">
        <f t="shared" si="0"/>
        <v>103</v>
      </c>
      <c r="D27" s="1119">
        <v>8</v>
      </c>
      <c r="E27" s="1120">
        <v>95</v>
      </c>
      <c r="F27" s="1120">
        <v>0</v>
      </c>
      <c r="G27" s="1113">
        <f t="shared" si="1"/>
        <v>0</v>
      </c>
      <c r="H27" s="1119">
        <v>0</v>
      </c>
      <c r="I27" s="1120">
        <v>0</v>
      </c>
      <c r="J27" s="1121">
        <v>0</v>
      </c>
      <c r="K27" s="1117">
        <f t="shared" si="2"/>
        <v>109</v>
      </c>
      <c r="L27" s="1119">
        <v>9</v>
      </c>
      <c r="M27" s="1120">
        <v>100</v>
      </c>
      <c r="N27" s="1121">
        <v>0</v>
      </c>
      <c r="O27" s="1117">
        <f t="shared" si="3"/>
        <v>16</v>
      </c>
      <c r="P27" s="1119">
        <v>3</v>
      </c>
      <c r="Q27" s="1120">
        <v>13</v>
      </c>
      <c r="R27" s="1121">
        <v>0</v>
      </c>
    </row>
    <row r="28" spans="1:18" ht="24.95" customHeight="1">
      <c r="A28" s="1111" t="s">
        <v>819</v>
      </c>
      <c r="B28" s="1118">
        <v>21</v>
      </c>
      <c r="C28" s="1113">
        <f t="shared" si="0"/>
        <v>76</v>
      </c>
      <c r="D28" s="1119">
        <v>3</v>
      </c>
      <c r="E28" s="1120">
        <v>72</v>
      </c>
      <c r="F28" s="1120">
        <v>1</v>
      </c>
      <c r="G28" s="1113">
        <f t="shared" si="1"/>
        <v>1</v>
      </c>
      <c r="H28" s="1119">
        <v>0</v>
      </c>
      <c r="I28" s="1120">
        <v>0</v>
      </c>
      <c r="J28" s="1121">
        <v>1</v>
      </c>
      <c r="K28" s="1117">
        <f t="shared" si="2"/>
        <v>81</v>
      </c>
      <c r="L28" s="1119">
        <v>3</v>
      </c>
      <c r="M28" s="1120">
        <v>78</v>
      </c>
      <c r="N28" s="1121">
        <v>0</v>
      </c>
      <c r="O28" s="1117">
        <f t="shared" si="3"/>
        <v>11</v>
      </c>
      <c r="P28" s="1119">
        <v>0</v>
      </c>
      <c r="Q28" s="1120">
        <v>11</v>
      </c>
      <c r="R28" s="1121">
        <v>0</v>
      </c>
    </row>
    <row r="29" spans="1:18" ht="24.95" customHeight="1">
      <c r="A29" s="1111"/>
      <c r="B29" s="1118">
        <v>22</v>
      </c>
      <c r="C29" s="1113">
        <f t="shared" si="0"/>
        <v>61</v>
      </c>
      <c r="D29" s="1119">
        <v>6</v>
      </c>
      <c r="E29" s="1120">
        <v>54</v>
      </c>
      <c r="F29" s="1120">
        <v>1</v>
      </c>
      <c r="G29" s="1113">
        <f t="shared" si="1"/>
        <v>0</v>
      </c>
      <c r="H29" s="1119">
        <v>0</v>
      </c>
      <c r="I29" s="1120">
        <v>0</v>
      </c>
      <c r="J29" s="1121">
        <v>0</v>
      </c>
      <c r="K29" s="1117">
        <f t="shared" si="2"/>
        <v>69</v>
      </c>
      <c r="L29" s="1119">
        <v>6</v>
      </c>
      <c r="M29" s="1120">
        <v>62</v>
      </c>
      <c r="N29" s="1121">
        <v>1</v>
      </c>
      <c r="O29" s="1117">
        <f t="shared" si="3"/>
        <v>7</v>
      </c>
      <c r="P29" s="1119">
        <v>0</v>
      </c>
      <c r="Q29" s="1120">
        <v>7</v>
      </c>
      <c r="R29" s="1121">
        <v>0</v>
      </c>
    </row>
    <row r="30" spans="1:18" ht="24.95" customHeight="1" thickBot="1">
      <c r="A30" s="1111"/>
      <c r="B30" s="1126">
        <v>23</v>
      </c>
      <c r="C30" s="1127">
        <f t="shared" si="0"/>
        <v>43</v>
      </c>
      <c r="D30" s="718">
        <v>3</v>
      </c>
      <c r="E30" s="811">
        <v>40</v>
      </c>
      <c r="F30" s="811">
        <v>0</v>
      </c>
      <c r="G30" s="1127">
        <f t="shared" si="1"/>
        <v>0</v>
      </c>
      <c r="H30" s="718">
        <v>0</v>
      </c>
      <c r="I30" s="811">
        <v>0</v>
      </c>
      <c r="J30" s="1121">
        <v>0</v>
      </c>
      <c r="K30" s="1128">
        <f t="shared" si="2"/>
        <v>44</v>
      </c>
      <c r="L30" s="718">
        <v>3</v>
      </c>
      <c r="M30" s="811">
        <v>41</v>
      </c>
      <c r="N30" s="719">
        <v>0</v>
      </c>
      <c r="O30" s="1128">
        <f t="shared" si="3"/>
        <v>6</v>
      </c>
      <c r="P30" s="718">
        <v>1</v>
      </c>
      <c r="Q30" s="811">
        <v>5</v>
      </c>
      <c r="R30" s="719">
        <v>0</v>
      </c>
    </row>
    <row r="31" spans="1:18" ht="24.95" customHeight="1">
      <c r="A31" s="2011" t="s">
        <v>820</v>
      </c>
      <c r="B31" s="1540"/>
      <c r="C31" s="1129">
        <f t="shared" ref="C31:R31" si="4">SUM(C13:C24)</f>
        <v>2654</v>
      </c>
      <c r="D31" s="1130">
        <f t="shared" si="4"/>
        <v>143</v>
      </c>
      <c r="E31" s="1130">
        <f t="shared" si="4"/>
        <v>2508</v>
      </c>
      <c r="F31" s="1131">
        <f t="shared" si="4"/>
        <v>3</v>
      </c>
      <c r="G31" s="1129">
        <f t="shared" si="4"/>
        <v>4</v>
      </c>
      <c r="H31" s="1130">
        <f t="shared" si="4"/>
        <v>0</v>
      </c>
      <c r="I31" s="1130">
        <f t="shared" si="4"/>
        <v>3</v>
      </c>
      <c r="J31" s="996">
        <f t="shared" si="4"/>
        <v>1</v>
      </c>
      <c r="K31" s="1132">
        <f t="shared" si="4"/>
        <v>2763</v>
      </c>
      <c r="L31" s="1130">
        <f t="shared" si="4"/>
        <v>143</v>
      </c>
      <c r="M31" s="1130">
        <f t="shared" si="4"/>
        <v>2618</v>
      </c>
      <c r="N31" s="996">
        <f t="shared" si="4"/>
        <v>2</v>
      </c>
      <c r="O31" s="1132">
        <f t="shared" si="4"/>
        <v>372</v>
      </c>
      <c r="P31" s="1130">
        <f t="shared" si="4"/>
        <v>35</v>
      </c>
      <c r="Q31" s="1130">
        <f t="shared" si="4"/>
        <v>336</v>
      </c>
      <c r="R31" s="996">
        <f t="shared" si="4"/>
        <v>1</v>
      </c>
    </row>
    <row r="32" spans="1:18" ht="24.95" customHeight="1">
      <c r="A32" s="2012" t="s">
        <v>821</v>
      </c>
      <c r="B32" s="1846"/>
      <c r="C32" s="1133">
        <f t="shared" ref="C32:R32" si="5">C33-C31</f>
        <v>799</v>
      </c>
      <c r="D32" s="1134">
        <f t="shared" si="5"/>
        <v>45</v>
      </c>
      <c r="E32" s="1134">
        <f t="shared" si="5"/>
        <v>750</v>
      </c>
      <c r="F32" s="1135">
        <f t="shared" si="5"/>
        <v>4</v>
      </c>
      <c r="G32" s="1133">
        <f t="shared" si="5"/>
        <v>4</v>
      </c>
      <c r="H32" s="1134">
        <f t="shared" si="5"/>
        <v>0</v>
      </c>
      <c r="I32" s="1134">
        <f t="shared" si="5"/>
        <v>3</v>
      </c>
      <c r="J32" s="926">
        <f t="shared" si="5"/>
        <v>1</v>
      </c>
      <c r="K32" s="1136">
        <f t="shared" si="5"/>
        <v>828</v>
      </c>
      <c r="L32" s="1134">
        <f t="shared" si="5"/>
        <v>46</v>
      </c>
      <c r="M32" s="1134">
        <f t="shared" si="5"/>
        <v>779</v>
      </c>
      <c r="N32" s="926">
        <f t="shared" si="5"/>
        <v>3</v>
      </c>
      <c r="O32" s="1136">
        <f t="shared" si="5"/>
        <v>106</v>
      </c>
      <c r="P32" s="1134">
        <f t="shared" si="5"/>
        <v>8</v>
      </c>
      <c r="Q32" s="1134">
        <f t="shared" si="5"/>
        <v>97</v>
      </c>
      <c r="R32" s="926">
        <f t="shared" si="5"/>
        <v>1</v>
      </c>
    </row>
    <row r="33" spans="1:18" ht="24.95" customHeight="1" thickBot="1">
      <c r="A33" s="2013" t="s">
        <v>822</v>
      </c>
      <c r="B33" s="1956"/>
      <c r="C33" s="1137">
        <f t="shared" ref="C33:R33" si="6">SUM(C7:C30)</f>
        <v>3453</v>
      </c>
      <c r="D33" s="1138">
        <f t="shared" si="6"/>
        <v>188</v>
      </c>
      <c r="E33" s="1138">
        <f t="shared" si="6"/>
        <v>3258</v>
      </c>
      <c r="F33" s="1139">
        <f t="shared" si="6"/>
        <v>7</v>
      </c>
      <c r="G33" s="1137">
        <f t="shared" si="6"/>
        <v>8</v>
      </c>
      <c r="H33" s="1138">
        <f t="shared" si="6"/>
        <v>0</v>
      </c>
      <c r="I33" s="1138">
        <f t="shared" si="6"/>
        <v>6</v>
      </c>
      <c r="J33" s="929">
        <f t="shared" si="6"/>
        <v>2</v>
      </c>
      <c r="K33" s="1140">
        <f t="shared" si="6"/>
        <v>3591</v>
      </c>
      <c r="L33" s="1138">
        <f t="shared" si="6"/>
        <v>189</v>
      </c>
      <c r="M33" s="1138">
        <f t="shared" si="6"/>
        <v>3397</v>
      </c>
      <c r="N33" s="929">
        <f t="shared" si="6"/>
        <v>5</v>
      </c>
      <c r="O33" s="1140">
        <f t="shared" si="6"/>
        <v>478</v>
      </c>
      <c r="P33" s="1138">
        <f t="shared" si="6"/>
        <v>43</v>
      </c>
      <c r="Q33" s="1138">
        <f t="shared" si="6"/>
        <v>433</v>
      </c>
      <c r="R33" s="929">
        <f t="shared" si="6"/>
        <v>2</v>
      </c>
    </row>
    <row r="34" spans="1:18" ht="24.95" customHeight="1">
      <c r="A34" s="1778" t="s">
        <v>809</v>
      </c>
      <c r="B34" s="1778"/>
      <c r="C34" s="1737"/>
      <c r="D34" s="1737"/>
      <c r="E34" s="1737"/>
      <c r="F34" s="1737"/>
      <c r="G34" s="1737"/>
      <c r="H34" s="1737"/>
      <c r="I34" s="1737"/>
      <c r="J34" s="1737"/>
      <c r="K34" s="1737"/>
      <c r="L34" s="1862"/>
      <c r="M34" s="1862"/>
      <c r="N34" s="1862"/>
    </row>
    <row r="35" spans="1:18">
      <c r="A35" s="1614"/>
      <c r="B35" s="1614"/>
      <c r="C35" s="1614"/>
      <c r="D35" s="1614"/>
      <c r="E35" s="1614"/>
      <c r="F35" s="1614"/>
      <c r="G35" s="1614"/>
      <c r="H35" s="1614"/>
      <c r="I35" s="1614"/>
      <c r="J35" s="1614"/>
      <c r="K35" s="1614"/>
      <c r="L35" s="1527"/>
      <c r="M35" s="1527"/>
      <c r="N35" s="1527"/>
    </row>
  </sheetData>
  <mergeCells count="13">
    <mergeCell ref="A34:N35"/>
    <mergeCell ref="N3:N4"/>
    <mergeCell ref="O3:Q3"/>
    <mergeCell ref="O4:Q4"/>
    <mergeCell ref="A31:B31"/>
    <mergeCell ref="A32:B32"/>
    <mergeCell ref="A33:B33"/>
    <mergeCell ref="B3:B4"/>
    <mergeCell ref="C3:E4"/>
    <mergeCell ref="F3:F4"/>
    <mergeCell ref="G3:I4"/>
    <mergeCell ref="J3:J4"/>
    <mergeCell ref="K3:M4"/>
  </mergeCells>
  <phoneticPr fontId="3"/>
  <pageMargins left="0.78740157480314965" right="0.59055118110236227" top="0.98425196850393704" bottom="0.98425196850393704" header="0.51181102362204722" footer="0.51181102362204722"/>
  <pageSetup paperSize="9" scale="69" orientation="portrait" r:id="rId1"/>
  <headerFooter alignWithMargins="0">
    <oddFooter>&amp;C－36－</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view="pageBreakPreview" zoomScaleNormal="100" zoomScaleSheetLayoutView="100" workbookViewId="0">
      <selection activeCell="P19" sqref="P19"/>
    </sheetView>
  </sheetViews>
  <sheetFormatPr defaultRowHeight="14.25"/>
  <cols>
    <col min="1" max="1" width="1.625" style="2" customWidth="1"/>
    <col min="2" max="2" width="12.625" style="2" customWidth="1"/>
    <col min="3" max="4" width="6.25" style="2" customWidth="1"/>
    <col min="5" max="14" width="6.125" style="2" customWidth="1"/>
    <col min="15" max="15" width="6.625" style="2" customWidth="1"/>
    <col min="16" max="16384" width="9" style="2"/>
  </cols>
  <sheetData>
    <row r="1" spans="1:15" s="70" customFormat="1" ht="15">
      <c r="A1" s="70" t="s">
        <v>783</v>
      </c>
    </row>
    <row r="2" spans="1:15" s="70" customFormat="1" ht="15">
      <c r="A2" s="70" t="s">
        <v>784</v>
      </c>
    </row>
    <row r="3" spans="1:15">
      <c r="A3" s="902"/>
      <c r="B3" s="902"/>
      <c r="C3" s="902"/>
      <c r="D3" s="902"/>
      <c r="E3" s="902"/>
      <c r="F3" s="902"/>
      <c r="G3" s="902"/>
      <c r="H3" s="902"/>
      <c r="I3" s="690"/>
      <c r="J3" s="690"/>
      <c r="K3" s="690"/>
    </row>
    <row r="4" spans="1:15" ht="15" thickBot="1">
      <c r="A4" s="2" t="s">
        <v>785</v>
      </c>
      <c r="C4" s="690"/>
      <c r="D4" s="690"/>
      <c r="E4" s="690"/>
      <c r="F4" s="690"/>
      <c r="G4" s="690"/>
      <c r="H4" s="690"/>
      <c r="I4" s="690"/>
      <c r="J4" s="690"/>
      <c r="K4" s="690"/>
    </row>
    <row r="5" spans="1:15">
      <c r="A5" s="1000"/>
      <c r="B5" s="932" t="s">
        <v>786</v>
      </c>
      <c r="C5" s="1791" t="s">
        <v>787</v>
      </c>
      <c r="D5" s="1708" t="s">
        <v>718</v>
      </c>
      <c r="E5" s="1708" t="s">
        <v>551</v>
      </c>
      <c r="F5" s="1708" t="s">
        <v>552</v>
      </c>
      <c r="G5" s="1708" t="s">
        <v>553</v>
      </c>
      <c r="H5" s="1708" t="s">
        <v>554</v>
      </c>
      <c r="I5" s="1708" t="s">
        <v>555</v>
      </c>
      <c r="J5" s="1708" t="s">
        <v>556</v>
      </c>
      <c r="K5" s="1708" t="s">
        <v>557</v>
      </c>
      <c r="L5" s="1708" t="s">
        <v>687</v>
      </c>
      <c r="M5" s="1708" t="s">
        <v>721</v>
      </c>
      <c r="N5" s="1708" t="s">
        <v>688</v>
      </c>
      <c r="O5" s="2017" t="s">
        <v>925</v>
      </c>
    </row>
    <row r="6" spans="1:15" ht="15" thickBot="1">
      <c r="A6" s="566" t="s">
        <v>362</v>
      </c>
      <c r="B6" s="567"/>
      <c r="C6" s="1792"/>
      <c r="D6" s="1783"/>
      <c r="E6" s="1783"/>
      <c r="F6" s="1783"/>
      <c r="G6" s="1783"/>
      <c r="H6" s="1783"/>
      <c r="I6" s="1783"/>
      <c r="J6" s="1783"/>
      <c r="K6" s="1783"/>
      <c r="L6" s="1783"/>
      <c r="M6" s="1783"/>
      <c r="N6" s="1783"/>
      <c r="O6" s="2018"/>
    </row>
    <row r="7" spans="1:15" ht="27" customHeight="1">
      <c r="A7" s="1646" t="s">
        <v>689</v>
      </c>
      <c r="B7" s="1417"/>
      <c r="C7" s="1001">
        <v>1745</v>
      </c>
      <c r="D7" s="1002">
        <v>1603</v>
      </c>
      <c r="E7" s="1003">
        <v>1519</v>
      </c>
      <c r="F7" s="1004">
        <v>1468</v>
      </c>
      <c r="G7" s="1002">
        <v>1343</v>
      </c>
      <c r="H7" s="1005">
        <v>1257</v>
      </c>
      <c r="I7" s="1005">
        <v>1291</v>
      </c>
      <c r="J7" s="1005">
        <v>1243</v>
      </c>
      <c r="K7" s="1006">
        <v>1158</v>
      </c>
      <c r="L7" s="1006">
        <v>1090</v>
      </c>
      <c r="M7" s="1006">
        <v>991</v>
      </c>
      <c r="N7" s="1006">
        <v>1057</v>
      </c>
      <c r="O7" s="892">
        <v>938</v>
      </c>
    </row>
    <row r="8" spans="1:15" ht="25.5" customHeight="1">
      <c r="A8" s="1630" t="s">
        <v>561</v>
      </c>
      <c r="B8" s="1433"/>
      <c r="C8" s="1007">
        <v>30</v>
      </c>
      <c r="D8" s="1008">
        <v>12</v>
      </c>
      <c r="E8" s="1009">
        <v>14</v>
      </c>
      <c r="F8" s="1008">
        <v>9</v>
      </c>
      <c r="G8" s="1010">
        <v>7</v>
      </c>
      <c r="H8" s="1011">
        <v>11</v>
      </c>
      <c r="I8" s="1011">
        <v>12</v>
      </c>
      <c r="J8" s="1011">
        <v>8</v>
      </c>
      <c r="K8" s="1012">
        <v>12</v>
      </c>
      <c r="L8" s="1012">
        <v>4</v>
      </c>
      <c r="M8" s="1012">
        <v>6</v>
      </c>
      <c r="N8" s="1012">
        <v>16</v>
      </c>
      <c r="O8" s="380">
        <v>10</v>
      </c>
    </row>
    <row r="9" spans="1:15" ht="26.25" customHeight="1">
      <c r="A9" s="1788" t="s">
        <v>923</v>
      </c>
      <c r="B9" s="1632"/>
      <c r="C9" s="1013">
        <v>1960</v>
      </c>
      <c r="D9" s="1014">
        <v>1756</v>
      </c>
      <c r="E9" s="1015">
        <v>1655</v>
      </c>
      <c r="F9" s="1014">
        <v>1635</v>
      </c>
      <c r="G9" s="1015">
        <v>1451</v>
      </c>
      <c r="H9" s="1011">
        <v>1354</v>
      </c>
      <c r="I9" s="1011">
        <v>1403</v>
      </c>
      <c r="J9" s="1011">
        <v>1379</v>
      </c>
      <c r="K9" s="1012">
        <v>1267</v>
      </c>
      <c r="L9" s="1012">
        <v>1186</v>
      </c>
      <c r="M9" s="1012">
        <v>1081</v>
      </c>
      <c r="N9" s="1012">
        <v>1155</v>
      </c>
      <c r="O9" s="380">
        <v>1008</v>
      </c>
    </row>
    <row r="10" spans="1:15" ht="26.25" customHeight="1">
      <c r="A10" s="1016"/>
      <c r="B10" s="1345" t="s">
        <v>924</v>
      </c>
      <c r="C10" s="1017" t="s">
        <v>15</v>
      </c>
      <c r="D10" s="1018" t="s">
        <v>634</v>
      </c>
      <c r="E10" s="1018" t="s">
        <v>634</v>
      </c>
      <c r="F10" s="1018" t="s">
        <v>634</v>
      </c>
      <c r="G10" s="1018" t="s">
        <v>634</v>
      </c>
      <c r="H10" s="1018" t="s">
        <v>634</v>
      </c>
      <c r="I10" s="1018" t="s">
        <v>634</v>
      </c>
      <c r="J10" s="1018" t="s">
        <v>634</v>
      </c>
      <c r="K10" s="1019">
        <v>240</v>
      </c>
      <c r="L10" s="1019">
        <v>198</v>
      </c>
      <c r="M10" s="1019">
        <v>198</v>
      </c>
      <c r="N10" s="1019">
        <v>231</v>
      </c>
      <c r="O10" s="380">
        <v>169</v>
      </c>
    </row>
    <row r="11" spans="1:15" ht="26.25" customHeight="1">
      <c r="A11" s="1630" t="s">
        <v>565</v>
      </c>
      <c r="B11" s="1433"/>
      <c r="C11" s="1020">
        <v>222</v>
      </c>
      <c r="D11" s="1019">
        <v>65</v>
      </c>
      <c r="E11" s="1021">
        <v>51</v>
      </c>
      <c r="F11" s="1019">
        <v>49</v>
      </c>
      <c r="G11" s="1022">
        <v>51</v>
      </c>
      <c r="H11" s="1012">
        <v>51</v>
      </c>
      <c r="I11" s="1012">
        <v>49</v>
      </c>
      <c r="J11" s="1012">
        <v>44</v>
      </c>
      <c r="K11" s="1012">
        <v>44</v>
      </c>
      <c r="L11" s="1012">
        <v>34</v>
      </c>
      <c r="M11" s="1012">
        <v>37</v>
      </c>
      <c r="N11" s="1012">
        <v>43</v>
      </c>
      <c r="O11" s="380">
        <v>40</v>
      </c>
    </row>
    <row r="12" spans="1:15" ht="15" thickBot="1">
      <c r="A12" s="1775" t="s">
        <v>566</v>
      </c>
      <c r="B12" s="1823"/>
      <c r="C12" s="1023">
        <f t="shared" ref="C12:O12" si="0">C8/C11*100</f>
        <v>13.513513513513514</v>
      </c>
      <c r="D12" s="1024">
        <f t="shared" si="0"/>
        <v>18.461538461538463</v>
      </c>
      <c r="E12" s="1024">
        <f t="shared" si="0"/>
        <v>27.450980392156865</v>
      </c>
      <c r="F12" s="1024">
        <f t="shared" si="0"/>
        <v>18.367346938775512</v>
      </c>
      <c r="G12" s="1024">
        <f t="shared" si="0"/>
        <v>13.725490196078432</v>
      </c>
      <c r="H12" s="1024">
        <f t="shared" si="0"/>
        <v>21.568627450980394</v>
      </c>
      <c r="I12" s="1024">
        <f t="shared" si="0"/>
        <v>24.489795918367346</v>
      </c>
      <c r="J12" s="1025">
        <f t="shared" si="0"/>
        <v>18.181818181818183</v>
      </c>
      <c r="K12" s="1025">
        <f t="shared" si="0"/>
        <v>27.27272727272727</v>
      </c>
      <c r="L12" s="1025">
        <f t="shared" si="0"/>
        <v>11.76470588235294</v>
      </c>
      <c r="M12" s="1025">
        <f t="shared" si="0"/>
        <v>16.216216216216218</v>
      </c>
      <c r="N12" s="1025">
        <f t="shared" si="0"/>
        <v>37.209302325581397</v>
      </c>
      <c r="O12" s="1026">
        <f t="shared" si="0"/>
        <v>25</v>
      </c>
    </row>
    <row r="13" spans="1:15">
      <c r="A13" s="9" t="s">
        <v>788</v>
      </c>
      <c r="B13" s="9"/>
    </row>
    <row r="14" spans="1:15">
      <c r="A14" s="9" t="s">
        <v>789</v>
      </c>
      <c r="B14" s="9"/>
    </row>
    <row r="15" spans="1:15" ht="20.25" customHeight="1">
      <c r="A15" s="9"/>
      <c r="B15" s="9"/>
    </row>
    <row r="16" spans="1:15" ht="15" thickBot="1">
      <c r="A16" s="2" t="s">
        <v>790</v>
      </c>
    </row>
    <row r="17" spans="1:15" ht="22.5" customHeight="1" thickBot="1">
      <c r="A17" s="1960" t="s">
        <v>777</v>
      </c>
      <c r="B17" s="2016"/>
      <c r="C17" s="993">
        <v>1</v>
      </c>
      <c r="D17" s="994">
        <v>2</v>
      </c>
      <c r="E17" s="994">
        <v>3</v>
      </c>
      <c r="F17" s="994">
        <v>4</v>
      </c>
      <c r="G17" s="994">
        <v>5</v>
      </c>
      <c r="H17" s="994">
        <v>6</v>
      </c>
      <c r="I17" s="994">
        <v>7</v>
      </c>
      <c r="J17" s="994">
        <v>8</v>
      </c>
      <c r="K17" s="994">
        <v>9</v>
      </c>
      <c r="L17" s="994">
        <v>10</v>
      </c>
      <c r="M17" s="994">
        <v>11</v>
      </c>
      <c r="N17" s="994">
        <v>12</v>
      </c>
      <c r="O17" s="1027" t="s">
        <v>997</v>
      </c>
    </row>
    <row r="18" spans="1:15" ht="22.5" customHeight="1">
      <c r="A18" s="1967" t="s">
        <v>778</v>
      </c>
      <c r="B18" s="1417"/>
      <c r="C18" s="576">
        <v>78</v>
      </c>
      <c r="D18" s="463">
        <v>70</v>
      </c>
      <c r="E18" s="463">
        <v>90</v>
      </c>
      <c r="F18" s="463">
        <v>58</v>
      </c>
      <c r="G18" s="463">
        <v>88</v>
      </c>
      <c r="H18" s="463">
        <v>62</v>
      </c>
      <c r="I18" s="463">
        <v>72</v>
      </c>
      <c r="J18" s="463">
        <v>66</v>
      </c>
      <c r="K18" s="463">
        <v>66</v>
      </c>
      <c r="L18" s="463">
        <v>84</v>
      </c>
      <c r="M18" s="463">
        <v>103</v>
      </c>
      <c r="N18" s="463">
        <v>101</v>
      </c>
      <c r="O18" s="1028">
        <f>SUM(C18:N18)</f>
        <v>938</v>
      </c>
    </row>
    <row r="19" spans="1:15" ht="22.5" customHeight="1">
      <c r="A19" s="1968" t="s">
        <v>779</v>
      </c>
      <c r="B19" s="1433"/>
      <c r="C19" s="1029">
        <v>0</v>
      </c>
      <c r="D19" s="465">
        <v>0</v>
      </c>
      <c r="E19" s="465">
        <v>2</v>
      </c>
      <c r="F19" s="465">
        <v>1</v>
      </c>
      <c r="G19" s="465">
        <v>0</v>
      </c>
      <c r="H19" s="465">
        <v>2</v>
      </c>
      <c r="I19" s="465">
        <v>1</v>
      </c>
      <c r="J19" s="465">
        <v>1</v>
      </c>
      <c r="K19" s="465">
        <v>0</v>
      </c>
      <c r="L19" s="465">
        <v>1</v>
      </c>
      <c r="M19" s="465">
        <v>2</v>
      </c>
      <c r="N19" s="465">
        <v>0</v>
      </c>
      <c r="O19" s="1030">
        <f>SUM(C19:N19)</f>
        <v>10</v>
      </c>
    </row>
    <row r="20" spans="1:15" ht="22.5" customHeight="1">
      <c r="A20" s="1969" t="s">
        <v>791</v>
      </c>
      <c r="B20" s="1433"/>
      <c r="C20" s="1031">
        <v>86</v>
      </c>
      <c r="D20" s="1032">
        <v>77</v>
      </c>
      <c r="E20" s="1032">
        <v>95</v>
      </c>
      <c r="F20" s="1032">
        <v>61</v>
      </c>
      <c r="G20" s="1032">
        <v>94</v>
      </c>
      <c r="H20" s="1032">
        <v>65</v>
      </c>
      <c r="I20" s="1032">
        <v>74</v>
      </c>
      <c r="J20" s="1032">
        <v>70</v>
      </c>
      <c r="K20" s="1032">
        <v>75</v>
      </c>
      <c r="L20" s="1032">
        <v>91</v>
      </c>
      <c r="M20" s="1032">
        <v>109</v>
      </c>
      <c r="N20" s="1032">
        <v>111</v>
      </c>
      <c r="O20" s="1033">
        <f>SUM(C20:N20)</f>
        <v>1008</v>
      </c>
    </row>
    <row r="21" spans="1:15" ht="22.5" customHeight="1" thickBot="1">
      <c r="A21" s="1034"/>
      <c r="B21" s="1351" t="s">
        <v>946</v>
      </c>
      <c r="C21" s="1035">
        <v>12</v>
      </c>
      <c r="D21" s="467">
        <v>13</v>
      </c>
      <c r="E21" s="467">
        <v>17</v>
      </c>
      <c r="F21" s="467">
        <v>13</v>
      </c>
      <c r="G21" s="467">
        <v>14</v>
      </c>
      <c r="H21" s="467">
        <v>12</v>
      </c>
      <c r="I21" s="467">
        <v>7</v>
      </c>
      <c r="J21" s="467">
        <v>9</v>
      </c>
      <c r="K21" s="467">
        <v>16</v>
      </c>
      <c r="L21" s="467">
        <v>12</v>
      </c>
      <c r="M21" s="467">
        <v>23</v>
      </c>
      <c r="N21" s="467">
        <v>21</v>
      </c>
      <c r="O21" s="1036">
        <f>SUM(C21:N21)</f>
        <v>169</v>
      </c>
    </row>
    <row r="22" spans="1:15">
      <c r="A22" s="9" t="s">
        <v>788</v>
      </c>
      <c r="B22" s="9"/>
    </row>
    <row r="23" spans="1:15" ht="24.75" customHeight="1"/>
    <row r="49" ht="51.75" customHeight="1"/>
  </sheetData>
  <mergeCells count="22">
    <mergeCell ref="H5:H6"/>
    <mergeCell ref="C5:C6"/>
    <mergeCell ref="D5:D6"/>
    <mergeCell ref="E5:E6"/>
    <mergeCell ref="F5:F6"/>
    <mergeCell ref="G5:G6"/>
    <mergeCell ref="A17:B17"/>
    <mergeCell ref="A18:B18"/>
    <mergeCell ref="A19:B19"/>
    <mergeCell ref="A20:B20"/>
    <mergeCell ref="O5:O6"/>
    <mergeCell ref="A7:B7"/>
    <mergeCell ref="A8:B8"/>
    <mergeCell ref="A9:B9"/>
    <mergeCell ref="A11:B11"/>
    <mergeCell ref="A12:B12"/>
    <mergeCell ref="I5:I6"/>
    <mergeCell ref="J5:J6"/>
    <mergeCell ref="K5:K6"/>
    <mergeCell ref="L5:L6"/>
    <mergeCell ref="M5:M6"/>
    <mergeCell ref="N5:N6"/>
  </mergeCells>
  <phoneticPr fontId="3"/>
  <pageMargins left="0.72" right="0.39370078740157483" top="0.98425196850393704" bottom="0.98425196850393704" header="0.51181102362204722" footer="0.51181102362204722"/>
  <pageSetup paperSize="9" scale="88" orientation="portrait" r:id="rId1"/>
  <headerFooter alignWithMargins="0">
    <oddFooter xml:space="preserve">&amp;C－37－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8"/>
  <sheetViews>
    <sheetView view="pageBreakPreview" zoomScaleNormal="100" zoomScaleSheetLayoutView="100" workbookViewId="0">
      <selection activeCell="A6" sqref="A6"/>
    </sheetView>
  </sheetViews>
  <sheetFormatPr defaultRowHeight="14.25"/>
  <cols>
    <col min="1" max="2" width="9" style="2"/>
    <col min="3" max="3" width="16.375" style="2" customWidth="1"/>
    <col min="4" max="7" width="13.125" style="2" customWidth="1"/>
    <col min="8" max="16384" width="9" style="2"/>
  </cols>
  <sheetData>
    <row r="2" spans="1:13" ht="15.75" thickBot="1">
      <c r="A2" s="70" t="s">
        <v>823</v>
      </c>
    </row>
    <row r="3" spans="1:13" ht="6" customHeight="1">
      <c r="A3" s="1141"/>
      <c r="B3" s="755"/>
      <c r="C3" s="1682" t="s">
        <v>362</v>
      </c>
      <c r="D3" s="1542" t="s">
        <v>603</v>
      </c>
      <c r="E3" s="1544" t="s">
        <v>824</v>
      </c>
      <c r="F3" s="1633" t="s">
        <v>825</v>
      </c>
      <c r="G3" s="1142"/>
    </row>
    <row r="4" spans="1:13">
      <c r="A4" s="1143"/>
      <c r="B4" s="492"/>
      <c r="C4" s="1686"/>
      <c r="D4" s="1448"/>
      <c r="E4" s="1699"/>
      <c r="F4" s="1634"/>
      <c r="G4" s="2021" t="s">
        <v>926</v>
      </c>
    </row>
    <row r="5" spans="1:13" ht="15" thickBot="1">
      <c r="A5" s="566" t="s">
        <v>826</v>
      </c>
      <c r="B5" s="571"/>
      <c r="C5" s="1144"/>
      <c r="D5" s="1899"/>
      <c r="E5" s="1900"/>
      <c r="F5" s="2020"/>
      <c r="G5" s="2022"/>
    </row>
    <row r="6" spans="1:13" ht="15" thickBot="1">
      <c r="A6" s="589" t="s">
        <v>728</v>
      </c>
      <c r="B6" s="590"/>
      <c r="C6" s="590"/>
      <c r="D6" s="1145">
        <f>SUM(D7:D27)</f>
        <v>938</v>
      </c>
      <c r="E6" s="234">
        <f>SUM(E7:E27)</f>
        <v>10</v>
      </c>
      <c r="F6" s="236">
        <f>SUM(F7:F27)</f>
        <v>1008</v>
      </c>
      <c r="G6" s="1146">
        <f>SUM(G7:G27)</f>
        <v>169</v>
      </c>
    </row>
    <row r="7" spans="1:13">
      <c r="A7" s="484"/>
      <c r="B7" s="605" t="s">
        <v>442</v>
      </c>
      <c r="C7" s="586"/>
      <c r="D7" s="709">
        <v>1</v>
      </c>
      <c r="E7" s="74">
        <v>0</v>
      </c>
      <c r="F7" s="694">
        <v>1</v>
      </c>
      <c r="G7" s="710">
        <v>0</v>
      </c>
    </row>
    <row r="8" spans="1:13">
      <c r="A8" s="475" t="s">
        <v>729</v>
      </c>
      <c r="B8" s="1147" t="s">
        <v>443</v>
      </c>
      <c r="C8" s="1148"/>
      <c r="D8" s="1020">
        <v>4</v>
      </c>
      <c r="E8" s="1019">
        <v>0</v>
      </c>
      <c r="F8" s="1012">
        <v>4</v>
      </c>
      <c r="G8" s="1149">
        <v>0</v>
      </c>
      <c r="H8" s="1150"/>
      <c r="I8" s="1150"/>
      <c r="J8" s="1150"/>
      <c r="K8" s="1150"/>
      <c r="L8" s="1150"/>
      <c r="M8" s="1150"/>
    </row>
    <row r="9" spans="1:13">
      <c r="A9" s="475"/>
      <c r="B9" s="2023" t="s">
        <v>444</v>
      </c>
      <c r="C9" s="1147" t="s">
        <v>445</v>
      </c>
      <c r="D9" s="1020">
        <v>9</v>
      </c>
      <c r="E9" s="1019">
        <v>1</v>
      </c>
      <c r="F9" s="1012">
        <v>8</v>
      </c>
      <c r="G9" s="1149">
        <v>4</v>
      </c>
      <c r="H9" s="1150"/>
      <c r="I9" s="1150"/>
      <c r="J9" s="1150"/>
      <c r="K9" s="1150"/>
      <c r="L9" s="1150"/>
      <c r="M9" s="1150"/>
    </row>
    <row r="10" spans="1:13">
      <c r="A10" s="475" t="s">
        <v>731</v>
      </c>
      <c r="B10" s="2024"/>
      <c r="C10" s="1147" t="s">
        <v>446</v>
      </c>
      <c r="D10" s="1020">
        <v>0</v>
      </c>
      <c r="E10" s="1019">
        <v>0</v>
      </c>
      <c r="F10" s="1012">
        <v>0</v>
      </c>
      <c r="G10" s="1149">
        <v>0</v>
      </c>
      <c r="H10" s="1150"/>
      <c r="I10" s="1150"/>
      <c r="J10" s="1150"/>
      <c r="K10" s="1150"/>
      <c r="L10" s="1150"/>
      <c r="M10" s="1150"/>
    </row>
    <row r="11" spans="1:13">
      <c r="A11" s="475"/>
      <c r="B11" s="2024"/>
      <c r="C11" s="1147" t="s">
        <v>734</v>
      </c>
      <c r="D11" s="1151">
        <v>0</v>
      </c>
      <c r="E11" s="1019">
        <v>0</v>
      </c>
      <c r="F11" s="1012">
        <v>0</v>
      </c>
      <c r="G11" s="1149">
        <v>0</v>
      </c>
      <c r="H11" s="1150"/>
      <c r="I11" s="1150"/>
      <c r="J11" s="1150"/>
      <c r="K11" s="1150"/>
      <c r="L11" s="1150"/>
      <c r="M11" s="1150"/>
    </row>
    <row r="12" spans="1:13">
      <c r="A12" s="475" t="s">
        <v>500</v>
      </c>
      <c r="B12" s="2025"/>
      <c r="C12" s="1147" t="s">
        <v>331</v>
      </c>
      <c r="D12" s="1151">
        <v>6</v>
      </c>
      <c r="E12" s="1019">
        <v>0</v>
      </c>
      <c r="F12" s="1012">
        <v>6</v>
      </c>
      <c r="G12" s="1149">
        <v>1</v>
      </c>
      <c r="H12" s="1150"/>
      <c r="I12" s="1150"/>
      <c r="J12" s="1150"/>
      <c r="K12" s="1150"/>
      <c r="L12" s="1150"/>
      <c r="M12" s="1150"/>
    </row>
    <row r="13" spans="1:13">
      <c r="A13" s="475"/>
      <c r="B13" s="584" t="s">
        <v>448</v>
      </c>
      <c r="C13" s="608"/>
      <c r="D13" s="1152">
        <v>0</v>
      </c>
      <c r="E13" s="86">
        <v>0</v>
      </c>
      <c r="F13" s="109">
        <v>0</v>
      </c>
      <c r="G13" s="380">
        <v>0</v>
      </c>
    </row>
    <row r="14" spans="1:13">
      <c r="A14" s="475" t="s">
        <v>505</v>
      </c>
      <c r="B14" s="584" t="s">
        <v>449</v>
      </c>
      <c r="C14" s="608"/>
      <c r="D14" s="108">
        <v>0</v>
      </c>
      <c r="E14" s="86">
        <v>0</v>
      </c>
      <c r="F14" s="109">
        <v>0</v>
      </c>
      <c r="G14" s="380">
        <v>0</v>
      </c>
    </row>
    <row r="15" spans="1:13">
      <c r="A15" s="475"/>
      <c r="B15" s="584" t="s">
        <v>735</v>
      </c>
      <c r="C15" s="608"/>
      <c r="D15" s="108">
        <v>0</v>
      </c>
      <c r="E15" s="86">
        <v>0</v>
      </c>
      <c r="F15" s="109">
        <v>0</v>
      </c>
      <c r="G15" s="380">
        <v>0</v>
      </c>
    </row>
    <row r="16" spans="1:13" ht="15" thickBot="1">
      <c r="A16" s="475"/>
      <c r="B16" s="613" t="s">
        <v>331</v>
      </c>
      <c r="C16" s="611"/>
      <c r="D16" s="112">
        <v>1</v>
      </c>
      <c r="E16" s="80">
        <v>0</v>
      </c>
      <c r="F16" s="113">
        <v>1</v>
      </c>
      <c r="G16" s="382">
        <v>0</v>
      </c>
    </row>
    <row r="17" spans="1:7">
      <c r="A17" s="484"/>
      <c r="B17" s="605" t="s">
        <v>452</v>
      </c>
      <c r="C17" s="586"/>
      <c r="D17" s="709">
        <v>5</v>
      </c>
      <c r="E17" s="74">
        <v>0</v>
      </c>
      <c r="F17" s="694">
        <v>5</v>
      </c>
      <c r="G17" s="710">
        <v>3</v>
      </c>
    </row>
    <row r="18" spans="1:7">
      <c r="A18" s="473" t="s">
        <v>500</v>
      </c>
      <c r="B18" s="1698" t="s">
        <v>453</v>
      </c>
      <c r="C18" s="584" t="s">
        <v>454</v>
      </c>
      <c r="D18" s="108">
        <v>24</v>
      </c>
      <c r="E18" s="86">
        <v>1</v>
      </c>
      <c r="F18" s="109">
        <v>26</v>
      </c>
      <c r="G18" s="380">
        <v>1</v>
      </c>
    </row>
    <row r="19" spans="1:7">
      <c r="A19" s="473" t="s">
        <v>490</v>
      </c>
      <c r="B19" s="1700"/>
      <c r="C19" s="584" t="s">
        <v>331</v>
      </c>
      <c r="D19" s="108">
        <v>179</v>
      </c>
      <c r="E19" s="86">
        <v>0</v>
      </c>
      <c r="F19" s="109">
        <v>201</v>
      </c>
      <c r="G19" s="380">
        <v>6</v>
      </c>
    </row>
    <row r="20" spans="1:7">
      <c r="A20" s="473" t="s">
        <v>505</v>
      </c>
      <c r="B20" s="584" t="s">
        <v>484</v>
      </c>
      <c r="C20" s="608"/>
      <c r="D20" s="105">
        <v>176</v>
      </c>
      <c r="E20" s="86">
        <v>2</v>
      </c>
      <c r="F20" s="88">
        <v>188</v>
      </c>
      <c r="G20" s="371">
        <v>43</v>
      </c>
    </row>
    <row r="21" spans="1:7">
      <c r="A21" s="473"/>
      <c r="B21" s="584" t="s">
        <v>801</v>
      </c>
      <c r="C21" s="608"/>
      <c r="D21" s="108">
        <v>90</v>
      </c>
      <c r="E21" s="86">
        <v>1</v>
      </c>
      <c r="F21" s="109">
        <v>97</v>
      </c>
      <c r="G21" s="380">
        <v>15</v>
      </c>
    </row>
    <row r="22" spans="1:7">
      <c r="A22" s="473" t="s">
        <v>802</v>
      </c>
      <c r="B22" s="584" t="s">
        <v>457</v>
      </c>
      <c r="C22" s="608"/>
      <c r="D22" s="108">
        <v>4</v>
      </c>
      <c r="E22" s="86">
        <v>0</v>
      </c>
      <c r="F22" s="109">
        <v>5</v>
      </c>
      <c r="G22" s="380">
        <v>1</v>
      </c>
    </row>
    <row r="23" spans="1:7">
      <c r="A23" s="473" t="s">
        <v>490</v>
      </c>
      <c r="B23" s="584" t="s">
        <v>458</v>
      </c>
      <c r="C23" s="608"/>
      <c r="D23" s="108">
        <v>66</v>
      </c>
      <c r="E23" s="86">
        <v>0</v>
      </c>
      <c r="F23" s="109">
        <v>68</v>
      </c>
      <c r="G23" s="380">
        <v>7</v>
      </c>
    </row>
    <row r="24" spans="1:7">
      <c r="A24" s="473" t="s">
        <v>803</v>
      </c>
      <c r="B24" s="584" t="s">
        <v>459</v>
      </c>
      <c r="C24" s="608"/>
      <c r="D24" s="108">
        <v>206</v>
      </c>
      <c r="E24" s="86">
        <v>2</v>
      </c>
      <c r="F24" s="109">
        <v>223</v>
      </c>
      <c r="G24" s="380">
        <v>61</v>
      </c>
    </row>
    <row r="25" spans="1:7" ht="15" thickBot="1">
      <c r="A25" s="472"/>
      <c r="B25" s="585" t="s">
        <v>331</v>
      </c>
      <c r="C25" s="923"/>
      <c r="D25" s="1153">
        <v>157</v>
      </c>
      <c r="E25" s="375">
        <v>0</v>
      </c>
      <c r="F25" s="1154">
        <v>162</v>
      </c>
      <c r="G25" s="374">
        <v>19</v>
      </c>
    </row>
    <row r="26" spans="1:7" ht="15" thickBot="1">
      <c r="A26" s="563" t="s">
        <v>425</v>
      </c>
      <c r="B26" s="492"/>
      <c r="C26" s="564"/>
      <c r="D26" s="110">
        <v>10</v>
      </c>
      <c r="E26" s="92">
        <v>3</v>
      </c>
      <c r="F26" s="111">
        <v>13</v>
      </c>
      <c r="G26" s="381">
        <v>8</v>
      </c>
    </row>
    <row r="27" spans="1:7" ht="15" thickBot="1">
      <c r="A27" s="589" t="s">
        <v>426</v>
      </c>
      <c r="B27" s="590"/>
      <c r="C27" s="590"/>
      <c r="D27" s="1155">
        <v>0</v>
      </c>
      <c r="E27" s="1156">
        <v>0</v>
      </c>
      <c r="F27" s="1157">
        <v>0</v>
      </c>
      <c r="G27" s="1158">
        <v>0</v>
      </c>
    </row>
    <row r="28" spans="1:7">
      <c r="A28" s="2019" t="s">
        <v>827</v>
      </c>
      <c r="B28" s="1527"/>
      <c r="C28" s="1527"/>
      <c r="D28" s="1527"/>
      <c r="E28" s="1527"/>
      <c r="F28" s="1527"/>
      <c r="G28" s="1527"/>
    </row>
  </sheetData>
  <mergeCells count="8">
    <mergeCell ref="B18:B19"/>
    <mergeCell ref="A28:G28"/>
    <mergeCell ref="C3:C4"/>
    <mergeCell ref="D3:D5"/>
    <mergeCell ref="E3:E5"/>
    <mergeCell ref="F3:F5"/>
    <mergeCell ref="G4:G5"/>
    <mergeCell ref="B9:B12"/>
  </mergeCells>
  <phoneticPr fontId="3"/>
  <pageMargins left="1.1200000000000001" right="0.51181102362204722" top="0.98425196850393704" bottom="0.98425196850393704" header="0.51181102362204722" footer="0.51181102362204722"/>
  <pageSetup paperSize="9" scale="98" orientation="portrait" r:id="rId1"/>
  <headerFooter alignWithMargins="0">
    <oddFooter>&amp;C－38－</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Normal="100" zoomScaleSheetLayoutView="100" workbookViewId="0">
      <selection activeCell="A31" sqref="A31"/>
    </sheetView>
  </sheetViews>
  <sheetFormatPr defaultRowHeight="14.25"/>
  <cols>
    <col min="1" max="1" width="8.25" style="2" customWidth="1"/>
    <col min="2" max="2" width="7.125" style="2" customWidth="1"/>
    <col min="3" max="5" width="7.625" style="2" customWidth="1"/>
    <col min="6" max="6" width="7.125" style="2" customWidth="1"/>
    <col min="7" max="9" width="7.625" style="2" customWidth="1"/>
    <col min="10" max="10" width="7.125" style="2" customWidth="1"/>
    <col min="11" max="13" width="7.625" style="2" customWidth="1"/>
    <col min="14" max="14" width="7.875" style="2" customWidth="1"/>
    <col min="15" max="15" width="7.75" style="2" customWidth="1"/>
    <col min="16" max="17" width="7.625" style="2" customWidth="1"/>
    <col min="18" max="16384" width="9" style="2"/>
  </cols>
  <sheetData>
    <row r="1" spans="1:17" ht="15">
      <c r="A1" s="1958" t="s">
        <v>828</v>
      </c>
      <c r="B1" s="1958"/>
      <c r="C1" s="1958"/>
      <c r="D1" s="1958"/>
      <c r="E1" s="1958"/>
      <c r="F1" s="1958"/>
      <c r="G1" s="1958"/>
      <c r="H1" s="1958"/>
      <c r="I1" s="1958"/>
      <c r="J1" s="1958"/>
      <c r="K1" s="1958"/>
      <c r="L1" s="1958"/>
      <c r="M1" s="1958"/>
    </row>
    <row r="2" spans="1:17" ht="15.75" thickBot="1">
      <c r="A2" s="2027" t="s">
        <v>806</v>
      </c>
      <c r="B2" s="2027"/>
      <c r="C2" s="2027"/>
      <c r="D2" s="2027"/>
      <c r="E2" s="2027"/>
      <c r="F2" s="2027"/>
      <c r="G2" s="2027"/>
      <c r="H2" s="2027"/>
      <c r="I2" s="2027"/>
      <c r="J2" s="2027"/>
      <c r="K2" s="2027"/>
      <c r="L2" s="2027"/>
      <c r="M2" s="2027"/>
    </row>
    <row r="3" spans="1:17" ht="6" customHeight="1" thickBot="1">
      <c r="A3" s="2028" t="s">
        <v>812</v>
      </c>
      <c r="B3" s="2015" t="s">
        <v>813</v>
      </c>
      <c r="C3" s="1453"/>
      <c r="D3" s="1453"/>
      <c r="E3" s="1954" t="s">
        <v>428</v>
      </c>
      <c r="F3" s="2015" t="s">
        <v>814</v>
      </c>
      <c r="G3" s="1453"/>
      <c r="H3" s="1453"/>
      <c r="I3" s="1954" t="s">
        <v>431</v>
      </c>
      <c r="J3" s="2015" t="s">
        <v>815</v>
      </c>
      <c r="K3" s="1453"/>
      <c r="L3" s="1453"/>
      <c r="M3" s="1957" t="s">
        <v>431</v>
      </c>
      <c r="N3" s="2009"/>
      <c r="O3" s="1396"/>
      <c r="P3" s="1396"/>
      <c r="Q3" s="496"/>
    </row>
    <row r="4" spans="1:17">
      <c r="A4" s="2029"/>
      <c r="B4" s="1591"/>
      <c r="C4" s="1629"/>
      <c r="D4" s="1629"/>
      <c r="E4" s="1955"/>
      <c r="F4" s="1591"/>
      <c r="G4" s="1629"/>
      <c r="H4" s="1629"/>
      <c r="I4" s="1955"/>
      <c r="J4" s="1591"/>
      <c r="K4" s="1629"/>
      <c r="L4" s="1629"/>
      <c r="M4" s="1955"/>
      <c r="N4" s="2026" t="s">
        <v>927</v>
      </c>
      <c r="O4" s="1681"/>
      <c r="P4" s="1681"/>
      <c r="Q4" s="309" t="s">
        <v>431</v>
      </c>
    </row>
    <row r="5" spans="1:17">
      <c r="A5" s="1159"/>
      <c r="B5" s="1106" t="s">
        <v>816</v>
      </c>
      <c r="C5" s="1107"/>
      <c r="D5" s="1107"/>
      <c r="E5" s="1107"/>
      <c r="F5" s="1106" t="s">
        <v>816</v>
      </c>
      <c r="G5" s="1107"/>
      <c r="H5" s="1107"/>
      <c r="I5" s="1107"/>
      <c r="J5" s="1106" t="s">
        <v>816</v>
      </c>
      <c r="K5" s="1107"/>
      <c r="L5" s="1107"/>
      <c r="M5" s="1108"/>
      <c r="N5" s="1106" t="s">
        <v>816</v>
      </c>
      <c r="O5" s="1107"/>
      <c r="P5" s="1107"/>
      <c r="Q5" s="1108"/>
    </row>
    <row r="6" spans="1:17" ht="15" thickBot="1">
      <c r="A6" s="955" t="s">
        <v>829</v>
      </c>
      <c r="B6" s="938"/>
      <c r="C6" s="939" t="s">
        <v>807</v>
      </c>
      <c r="D6" s="940" t="s">
        <v>808</v>
      </c>
      <c r="E6" s="940" t="s">
        <v>377</v>
      </c>
      <c r="F6" s="938"/>
      <c r="G6" s="939" t="s">
        <v>807</v>
      </c>
      <c r="H6" s="940" t="s">
        <v>808</v>
      </c>
      <c r="I6" s="940" t="s">
        <v>377</v>
      </c>
      <c r="J6" s="938"/>
      <c r="K6" s="939" t="s">
        <v>807</v>
      </c>
      <c r="L6" s="940" t="s">
        <v>808</v>
      </c>
      <c r="M6" s="941" t="s">
        <v>377</v>
      </c>
      <c r="N6" s="938"/>
      <c r="O6" s="939" t="s">
        <v>807</v>
      </c>
      <c r="P6" s="940" t="s">
        <v>808</v>
      </c>
      <c r="Q6" s="941" t="s">
        <v>377</v>
      </c>
    </row>
    <row r="7" spans="1:17" ht="24.95" customHeight="1">
      <c r="A7" s="493" t="s">
        <v>185</v>
      </c>
      <c r="B7" s="714">
        <f t="shared" ref="B7:B30" si="0">SUM(C7:E7)</f>
        <v>93</v>
      </c>
      <c r="C7" s="74">
        <v>1</v>
      </c>
      <c r="D7" s="74">
        <v>89</v>
      </c>
      <c r="E7" s="694">
        <v>3</v>
      </c>
      <c r="F7" s="714">
        <f t="shared" ref="F7:F30" si="1">SUM(G7:I7)</f>
        <v>0</v>
      </c>
      <c r="G7" s="74">
        <v>0</v>
      </c>
      <c r="H7" s="74">
        <v>0</v>
      </c>
      <c r="I7" s="710">
        <v>0</v>
      </c>
      <c r="J7" s="883">
        <f t="shared" ref="J7:J30" si="2">SUM(K7:M7)</f>
        <v>98</v>
      </c>
      <c r="K7" s="74">
        <v>1</v>
      </c>
      <c r="L7" s="74">
        <v>93</v>
      </c>
      <c r="M7" s="710">
        <v>4</v>
      </c>
      <c r="N7" s="883">
        <f t="shared" ref="N7:N30" si="3">SUM(O7:Q7)</f>
        <v>19</v>
      </c>
      <c r="O7" s="74">
        <v>0</v>
      </c>
      <c r="P7" s="74">
        <v>15</v>
      </c>
      <c r="Q7" s="710">
        <v>4</v>
      </c>
    </row>
    <row r="8" spans="1:17" ht="24.95" customHeight="1">
      <c r="A8" s="494" t="s">
        <v>187</v>
      </c>
      <c r="B8" s="1160">
        <f t="shared" si="0"/>
        <v>18</v>
      </c>
      <c r="C8" s="1019">
        <v>0</v>
      </c>
      <c r="D8" s="1019">
        <v>18</v>
      </c>
      <c r="E8" s="1012">
        <v>0</v>
      </c>
      <c r="F8" s="1160">
        <f t="shared" si="1"/>
        <v>1</v>
      </c>
      <c r="G8" s="1019">
        <v>0</v>
      </c>
      <c r="H8" s="1019">
        <v>1</v>
      </c>
      <c r="I8" s="1149">
        <v>0</v>
      </c>
      <c r="J8" s="1161">
        <f t="shared" si="2"/>
        <v>17</v>
      </c>
      <c r="K8" s="1019">
        <v>0</v>
      </c>
      <c r="L8" s="1019">
        <v>17</v>
      </c>
      <c r="M8" s="1149">
        <v>0</v>
      </c>
      <c r="N8" s="1161">
        <f t="shared" si="3"/>
        <v>3</v>
      </c>
      <c r="O8" s="1019">
        <v>0</v>
      </c>
      <c r="P8" s="1019">
        <v>3</v>
      </c>
      <c r="Q8" s="1149">
        <v>0</v>
      </c>
    </row>
    <row r="9" spans="1:17" ht="24.95" customHeight="1">
      <c r="A9" s="494" t="s">
        <v>189</v>
      </c>
      <c r="B9" s="1160">
        <f t="shared" si="0"/>
        <v>12</v>
      </c>
      <c r="C9" s="1019">
        <v>0</v>
      </c>
      <c r="D9" s="1019">
        <v>12</v>
      </c>
      <c r="E9" s="1012">
        <v>0</v>
      </c>
      <c r="F9" s="1160">
        <f t="shared" si="1"/>
        <v>0</v>
      </c>
      <c r="G9" s="1019">
        <v>0</v>
      </c>
      <c r="H9" s="1019">
        <v>0</v>
      </c>
      <c r="I9" s="1149">
        <v>0</v>
      </c>
      <c r="J9" s="1161">
        <f t="shared" si="2"/>
        <v>13</v>
      </c>
      <c r="K9" s="1019">
        <v>0</v>
      </c>
      <c r="L9" s="1019">
        <v>13</v>
      </c>
      <c r="M9" s="1149">
        <v>0</v>
      </c>
      <c r="N9" s="1161">
        <f t="shared" si="3"/>
        <v>3</v>
      </c>
      <c r="O9" s="1019">
        <v>0</v>
      </c>
      <c r="P9" s="1019">
        <v>3</v>
      </c>
      <c r="Q9" s="1149">
        <v>0</v>
      </c>
    </row>
    <row r="10" spans="1:17" ht="24.95" customHeight="1">
      <c r="A10" s="494" t="s">
        <v>190</v>
      </c>
      <c r="B10" s="1160">
        <f t="shared" si="0"/>
        <v>19</v>
      </c>
      <c r="C10" s="1019">
        <v>0</v>
      </c>
      <c r="D10" s="1019">
        <v>19</v>
      </c>
      <c r="E10" s="1012">
        <v>0</v>
      </c>
      <c r="F10" s="1160">
        <f t="shared" si="1"/>
        <v>0</v>
      </c>
      <c r="G10" s="1019">
        <v>0</v>
      </c>
      <c r="H10" s="1019">
        <v>0</v>
      </c>
      <c r="I10" s="1149">
        <v>0</v>
      </c>
      <c r="J10" s="1161">
        <f t="shared" si="2"/>
        <v>22</v>
      </c>
      <c r="K10" s="1019">
        <v>0</v>
      </c>
      <c r="L10" s="1019">
        <v>22</v>
      </c>
      <c r="M10" s="1149">
        <v>0</v>
      </c>
      <c r="N10" s="1161">
        <f t="shared" si="3"/>
        <v>5</v>
      </c>
      <c r="O10" s="1019">
        <v>0</v>
      </c>
      <c r="P10" s="1019">
        <v>5</v>
      </c>
      <c r="Q10" s="1149">
        <v>0</v>
      </c>
    </row>
    <row r="11" spans="1:17" ht="24.95" customHeight="1">
      <c r="A11" s="494" t="s">
        <v>192</v>
      </c>
      <c r="B11" s="1160">
        <f t="shared" si="0"/>
        <v>79</v>
      </c>
      <c r="C11" s="1019">
        <v>3</v>
      </c>
      <c r="D11" s="1019">
        <v>76</v>
      </c>
      <c r="E11" s="1012">
        <v>0</v>
      </c>
      <c r="F11" s="1160">
        <f t="shared" si="1"/>
        <v>0</v>
      </c>
      <c r="G11" s="1019">
        <v>0</v>
      </c>
      <c r="H11" s="1019">
        <v>0</v>
      </c>
      <c r="I11" s="1149">
        <v>0</v>
      </c>
      <c r="J11" s="1161">
        <f t="shared" si="2"/>
        <v>88</v>
      </c>
      <c r="K11" s="1019">
        <v>3</v>
      </c>
      <c r="L11" s="1019">
        <v>85</v>
      </c>
      <c r="M11" s="1149">
        <v>0</v>
      </c>
      <c r="N11" s="1161">
        <f t="shared" si="3"/>
        <v>14</v>
      </c>
      <c r="O11" s="1019">
        <v>0</v>
      </c>
      <c r="P11" s="1019">
        <v>14</v>
      </c>
      <c r="Q11" s="1149">
        <v>0</v>
      </c>
    </row>
    <row r="12" spans="1:17" ht="24.95" customHeight="1">
      <c r="A12" s="494" t="s">
        <v>193</v>
      </c>
      <c r="B12" s="1160">
        <f t="shared" si="0"/>
        <v>33</v>
      </c>
      <c r="C12" s="1019">
        <v>3</v>
      </c>
      <c r="D12" s="1019">
        <v>30</v>
      </c>
      <c r="E12" s="1012">
        <v>0</v>
      </c>
      <c r="F12" s="1160">
        <f t="shared" si="1"/>
        <v>2</v>
      </c>
      <c r="G12" s="1019">
        <v>1</v>
      </c>
      <c r="H12" s="1019">
        <v>1</v>
      </c>
      <c r="I12" s="1149">
        <v>0</v>
      </c>
      <c r="J12" s="1161">
        <f t="shared" si="2"/>
        <v>35</v>
      </c>
      <c r="K12" s="1019">
        <v>2</v>
      </c>
      <c r="L12" s="1019">
        <v>33</v>
      </c>
      <c r="M12" s="1149">
        <v>0</v>
      </c>
      <c r="N12" s="1161">
        <f t="shared" si="3"/>
        <v>7</v>
      </c>
      <c r="O12" s="1019">
        <v>1</v>
      </c>
      <c r="P12" s="1019">
        <v>6</v>
      </c>
      <c r="Q12" s="1149">
        <v>0</v>
      </c>
    </row>
    <row r="13" spans="1:17" ht="24.95" customHeight="1">
      <c r="A13" s="494" t="s">
        <v>205</v>
      </c>
      <c r="B13" s="942">
        <f t="shared" si="0"/>
        <v>20</v>
      </c>
      <c r="C13" s="86">
        <v>0</v>
      </c>
      <c r="D13" s="86">
        <v>20</v>
      </c>
      <c r="E13" s="109">
        <v>0</v>
      </c>
      <c r="F13" s="942">
        <f t="shared" si="1"/>
        <v>0</v>
      </c>
      <c r="G13" s="86">
        <v>0</v>
      </c>
      <c r="H13" s="86">
        <v>0</v>
      </c>
      <c r="I13" s="380">
        <v>0</v>
      </c>
      <c r="J13" s="943">
        <f t="shared" si="2"/>
        <v>20</v>
      </c>
      <c r="K13" s="86">
        <v>0</v>
      </c>
      <c r="L13" s="86">
        <v>20</v>
      </c>
      <c r="M13" s="380">
        <v>0</v>
      </c>
      <c r="N13" s="943">
        <f t="shared" si="3"/>
        <v>5</v>
      </c>
      <c r="O13" s="86">
        <v>0</v>
      </c>
      <c r="P13" s="86">
        <v>5</v>
      </c>
      <c r="Q13" s="380">
        <v>0</v>
      </c>
    </row>
    <row r="14" spans="1:17" ht="24.95" customHeight="1">
      <c r="A14" s="494" t="s">
        <v>595</v>
      </c>
      <c r="B14" s="942">
        <f t="shared" si="0"/>
        <v>14</v>
      </c>
      <c r="C14" s="86">
        <v>0</v>
      </c>
      <c r="D14" s="86">
        <v>14</v>
      </c>
      <c r="E14" s="109">
        <v>0</v>
      </c>
      <c r="F14" s="942">
        <f t="shared" si="1"/>
        <v>2</v>
      </c>
      <c r="G14" s="86">
        <v>0</v>
      </c>
      <c r="H14" s="86">
        <v>2</v>
      </c>
      <c r="I14" s="380">
        <v>0</v>
      </c>
      <c r="J14" s="943">
        <f t="shared" si="2"/>
        <v>13</v>
      </c>
      <c r="K14" s="86">
        <v>0</v>
      </c>
      <c r="L14" s="86">
        <v>13</v>
      </c>
      <c r="M14" s="380">
        <v>0</v>
      </c>
      <c r="N14" s="943">
        <f t="shared" si="3"/>
        <v>1</v>
      </c>
      <c r="O14" s="86">
        <v>0</v>
      </c>
      <c r="P14" s="86">
        <v>1</v>
      </c>
      <c r="Q14" s="380">
        <v>0</v>
      </c>
    </row>
    <row r="15" spans="1:17" ht="24.95" customHeight="1">
      <c r="A15" s="494" t="s">
        <v>207</v>
      </c>
      <c r="B15" s="942">
        <f t="shared" si="0"/>
        <v>38</v>
      </c>
      <c r="C15" s="86">
        <v>2</v>
      </c>
      <c r="D15" s="86">
        <v>36</v>
      </c>
      <c r="E15" s="109">
        <v>0</v>
      </c>
      <c r="F15" s="942">
        <f t="shared" si="1"/>
        <v>0</v>
      </c>
      <c r="G15" s="86">
        <v>0</v>
      </c>
      <c r="H15" s="86">
        <v>0</v>
      </c>
      <c r="I15" s="380">
        <v>0</v>
      </c>
      <c r="J15" s="943">
        <f t="shared" si="2"/>
        <v>40</v>
      </c>
      <c r="K15" s="86">
        <v>2</v>
      </c>
      <c r="L15" s="86">
        <v>38</v>
      </c>
      <c r="M15" s="380">
        <v>0</v>
      </c>
      <c r="N15" s="943">
        <f t="shared" si="3"/>
        <v>8</v>
      </c>
      <c r="O15" s="86">
        <v>0</v>
      </c>
      <c r="P15" s="86">
        <v>8</v>
      </c>
      <c r="Q15" s="380">
        <v>0</v>
      </c>
    </row>
    <row r="16" spans="1:17" ht="24.95" customHeight="1">
      <c r="A16" s="494" t="s">
        <v>208</v>
      </c>
      <c r="B16" s="942">
        <f t="shared" si="0"/>
        <v>49</v>
      </c>
      <c r="C16" s="86">
        <v>1</v>
      </c>
      <c r="D16" s="86">
        <v>46</v>
      </c>
      <c r="E16" s="109">
        <v>2</v>
      </c>
      <c r="F16" s="942">
        <f t="shared" si="1"/>
        <v>0</v>
      </c>
      <c r="G16" s="86">
        <v>0</v>
      </c>
      <c r="H16" s="86">
        <v>0</v>
      </c>
      <c r="I16" s="380">
        <v>0</v>
      </c>
      <c r="J16" s="943">
        <f t="shared" si="2"/>
        <v>59</v>
      </c>
      <c r="K16" s="86">
        <v>1</v>
      </c>
      <c r="L16" s="86">
        <v>52</v>
      </c>
      <c r="M16" s="380">
        <v>6</v>
      </c>
      <c r="N16" s="943">
        <f t="shared" si="3"/>
        <v>4</v>
      </c>
      <c r="O16" s="86">
        <v>0</v>
      </c>
      <c r="P16" s="86">
        <v>3</v>
      </c>
      <c r="Q16" s="380">
        <v>1</v>
      </c>
    </row>
    <row r="17" spans="1:17" ht="24.95" customHeight="1">
      <c r="A17" s="494" t="s">
        <v>596</v>
      </c>
      <c r="B17" s="942">
        <f t="shared" si="0"/>
        <v>31</v>
      </c>
      <c r="C17" s="86">
        <v>1</v>
      </c>
      <c r="D17" s="86">
        <v>29</v>
      </c>
      <c r="E17" s="109">
        <v>1</v>
      </c>
      <c r="F17" s="942">
        <f t="shared" si="1"/>
        <v>1</v>
      </c>
      <c r="G17" s="86">
        <v>0</v>
      </c>
      <c r="H17" s="86">
        <v>1</v>
      </c>
      <c r="I17" s="380">
        <v>0</v>
      </c>
      <c r="J17" s="943">
        <f t="shared" si="2"/>
        <v>37</v>
      </c>
      <c r="K17" s="86">
        <v>1</v>
      </c>
      <c r="L17" s="86">
        <v>34</v>
      </c>
      <c r="M17" s="380">
        <v>2</v>
      </c>
      <c r="N17" s="943">
        <f t="shared" si="3"/>
        <v>10</v>
      </c>
      <c r="O17" s="86">
        <v>1</v>
      </c>
      <c r="P17" s="86">
        <v>7</v>
      </c>
      <c r="Q17" s="380">
        <v>2</v>
      </c>
    </row>
    <row r="18" spans="1:17" ht="24.95" customHeight="1">
      <c r="A18" s="494" t="s">
        <v>210</v>
      </c>
      <c r="B18" s="942">
        <f t="shared" si="0"/>
        <v>79</v>
      </c>
      <c r="C18" s="86">
        <v>0</v>
      </c>
      <c r="D18" s="86">
        <v>79</v>
      </c>
      <c r="E18" s="109">
        <v>0</v>
      </c>
      <c r="F18" s="942">
        <f t="shared" si="1"/>
        <v>0</v>
      </c>
      <c r="G18" s="86">
        <v>0</v>
      </c>
      <c r="H18" s="86">
        <v>0</v>
      </c>
      <c r="I18" s="380">
        <v>0</v>
      </c>
      <c r="J18" s="943">
        <f t="shared" si="2"/>
        <v>84</v>
      </c>
      <c r="K18" s="86">
        <v>0</v>
      </c>
      <c r="L18" s="86">
        <v>84</v>
      </c>
      <c r="M18" s="380">
        <v>0</v>
      </c>
      <c r="N18" s="943">
        <f t="shared" si="3"/>
        <v>9</v>
      </c>
      <c r="O18" s="86">
        <v>0</v>
      </c>
      <c r="P18" s="86">
        <v>9</v>
      </c>
      <c r="Q18" s="380">
        <v>0</v>
      </c>
    </row>
    <row r="19" spans="1:17" ht="24.95" customHeight="1">
      <c r="A19" s="494" t="s">
        <v>597</v>
      </c>
      <c r="B19" s="942">
        <f t="shared" si="0"/>
        <v>65</v>
      </c>
      <c r="C19" s="86">
        <v>1</v>
      </c>
      <c r="D19" s="86">
        <v>63</v>
      </c>
      <c r="E19" s="109">
        <v>1</v>
      </c>
      <c r="F19" s="942">
        <f t="shared" si="1"/>
        <v>0</v>
      </c>
      <c r="G19" s="86">
        <v>0</v>
      </c>
      <c r="H19" s="86">
        <v>0</v>
      </c>
      <c r="I19" s="380">
        <v>0</v>
      </c>
      <c r="J19" s="943">
        <f t="shared" si="2"/>
        <v>69</v>
      </c>
      <c r="K19" s="86">
        <v>1</v>
      </c>
      <c r="L19" s="86">
        <v>67</v>
      </c>
      <c r="M19" s="380">
        <v>1</v>
      </c>
      <c r="N19" s="943">
        <f t="shared" si="3"/>
        <v>13</v>
      </c>
      <c r="O19" s="86">
        <v>1</v>
      </c>
      <c r="P19" s="86">
        <v>11</v>
      </c>
      <c r="Q19" s="380">
        <v>1</v>
      </c>
    </row>
    <row r="20" spans="1:17" ht="24.95" customHeight="1">
      <c r="A20" s="494" t="s">
        <v>213</v>
      </c>
      <c r="B20" s="942">
        <f t="shared" si="0"/>
        <v>40</v>
      </c>
      <c r="C20" s="86">
        <v>0</v>
      </c>
      <c r="D20" s="86">
        <v>40</v>
      </c>
      <c r="E20" s="109">
        <v>0</v>
      </c>
      <c r="F20" s="942">
        <f t="shared" si="1"/>
        <v>0</v>
      </c>
      <c r="G20" s="86">
        <v>0</v>
      </c>
      <c r="H20" s="86">
        <v>0</v>
      </c>
      <c r="I20" s="380">
        <v>0</v>
      </c>
      <c r="J20" s="943">
        <f t="shared" si="2"/>
        <v>43</v>
      </c>
      <c r="K20" s="86">
        <v>0</v>
      </c>
      <c r="L20" s="86">
        <v>43</v>
      </c>
      <c r="M20" s="380">
        <v>0</v>
      </c>
      <c r="N20" s="943">
        <f t="shared" si="3"/>
        <v>6</v>
      </c>
      <c r="O20" s="86">
        <v>0</v>
      </c>
      <c r="P20" s="86">
        <v>6</v>
      </c>
      <c r="Q20" s="380">
        <v>0</v>
      </c>
    </row>
    <row r="21" spans="1:17" ht="24.95" customHeight="1">
      <c r="A21" s="494" t="s">
        <v>215</v>
      </c>
      <c r="B21" s="942">
        <f t="shared" si="0"/>
        <v>31</v>
      </c>
      <c r="C21" s="86">
        <v>1</v>
      </c>
      <c r="D21" s="86">
        <v>30</v>
      </c>
      <c r="E21" s="109">
        <v>0</v>
      </c>
      <c r="F21" s="942">
        <f t="shared" si="1"/>
        <v>1</v>
      </c>
      <c r="G21" s="86">
        <v>0</v>
      </c>
      <c r="H21" s="86">
        <v>1</v>
      </c>
      <c r="I21" s="380">
        <v>0</v>
      </c>
      <c r="J21" s="943">
        <f t="shared" si="2"/>
        <v>31</v>
      </c>
      <c r="K21" s="86">
        <v>1</v>
      </c>
      <c r="L21" s="86">
        <v>30</v>
      </c>
      <c r="M21" s="380">
        <v>0</v>
      </c>
      <c r="N21" s="943">
        <f t="shared" si="3"/>
        <v>5</v>
      </c>
      <c r="O21" s="86">
        <v>0</v>
      </c>
      <c r="P21" s="86">
        <v>5</v>
      </c>
      <c r="Q21" s="380">
        <v>0</v>
      </c>
    </row>
    <row r="22" spans="1:17" ht="24.95" customHeight="1">
      <c r="A22" s="494" t="s">
        <v>216</v>
      </c>
      <c r="B22" s="942">
        <f t="shared" si="0"/>
        <v>13</v>
      </c>
      <c r="C22" s="86">
        <v>1</v>
      </c>
      <c r="D22" s="86">
        <v>12</v>
      </c>
      <c r="E22" s="109">
        <v>0</v>
      </c>
      <c r="F22" s="942">
        <f t="shared" si="1"/>
        <v>0</v>
      </c>
      <c r="G22" s="86">
        <v>0</v>
      </c>
      <c r="H22" s="86">
        <v>0</v>
      </c>
      <c r="I22" s="380">
        <v>0</v>
      </c>
      <c r="J22" s="943">
        <f t="shared" si="2"/>
        <v>15</v>
      </c>
      <c r="K22" s="86">
        <v>1</v>
      </c>
      <c r="L22" s="86">
        <v>14</v>
      </c>
      <c r="M22" s="380">
        <v>0</v>
      </c>
      <c r="N22" s="943">
        <f t="shared" si="3"/>
        <v>0</v>
      </c>
      <c r="O22" s="86">
        <v>0</v>
      </c>
      <c r="P22" s="86">
        <v>0</v>
      </c>
      <c r="Q22" s="380">
        <v>0</v>
      </c>
    </row>
    <row r="23" spans="1:17" ht="24.95" customHeight="1">
      <c r="A23" s="494" t="s">
        <v>217</v>
      </c>
      <c r="B23" s="942">
        <f t="shared" si="0"/>
        <v>60</v>
      </c>
      <c r="C23" s="86">
        <v>2</v>
      </c>
      <c r="D23" s="86">
        <v>57</v>
      </c>
      <c r="E23" s="109">
        <v>1</v>
      </c>
      <c r="F23" s="942">
        <f t="shared" si="1"/>
        <v>1</v>
      </c>
      <c r="G23" s="86">
        <v>0</v>
      </c>
      <c r="H23" s="86">
        <v>0</v>
      </c>
      <c r="I23" s="380">
        <v>1</v>
      </c>
      <c r="J23" s="943">
        <f t="shared" si="2"/>
        <v>64</v>
      </c>
      <c r="K23" s="86">
        <v>2</v>
      </c>
      <c r="L23" s="86">
        <v>62</v>
      </c>
      <c r="M23" s="380">
        <v>0</v>
      </c>
      <c r="N23" s="943">
        <f t="shared" si="3"/>
        <v>7</v>
      </c>
      <c r="O23" s="86">
        <v>0</v>
      </c>
      <c r="P23" s="86">
        <v>7</v>
      </c>
      <c r="Q23" s="380">
        <v>0</v>
      </c>
    </row>
    <row r="24" spans="1:17" ht="24.95" customHeight="1">
      <c r="A24" s="494" t="s">
        <v>218</v>
      </c>
      <c r="B24" s="942">
        <f t="shared" si="0"/>
        <v>33</v>
      </c>
      <c r="C24" s="86">
        <v>1</v>
      </c>
      <c r="D24" s="86">
        <v>32</v>
      </c>
      <c r="E24" s="109">
        <v>0</v>
      </c>
      <c r="F24" s="942">
        <f t="shared" si="1"/>
        <v>0</v>
      </c>
      <c r="G24" s="86">
        <v>0</v>
      </c>
      <c r="H24" s="86">
        <v>0</v>
      </c>
      <c r="I24" s="380">
        <v>0</v>
      </c>
      <c r="J24" s="943">
        <f t="shared" si="2"/>
        <v>35</v>
      </c>
      <c r="K24" s="86">
        <v>1</v>
      </c>
      <c r="L24" s="86">
        <v>34</v>
      </c>
      <c r="M24" s="380">
        <v>0</v>
      </c>
      <c r="N24" s="943">
        <f t="shared" si="3"/>
        <v>4</v>
      </c>
      <c r="O24" s="86">
        <v>0</v>
      </c>
      <c r="P24" s="86">
        <v>4</v>
      </c>
      <c r="Q24" s="380">
        <v>0</v>
      </c>
    </row>
    <row r="25" spans="1:17" ht="24.95" customHeight="1">
      <c r="A25" s="494" t="s">
        <v>219</v>
      </c>
      <c r="B25" s="942">
        <f t="shared" si="0"/>
        <v>22</v>
      </c>
      <c r="C25" s="86">
        <v>0</v>
      </c>
      <c r="D25" s="86">
        <v>22</v>
      </c>
      <c r="E25" s="109">
        <v>0</v>
      </c>
      <c r="F25" s="942">
        <f t="shared" si="1"/>
        <v>0</v>
      </c>
      <c r="G25" s="86">
        <v>0</v>
      </c>
      <c r="H25" s="86">
        <v>0</v>
      </c>
      <c r="I25" s="380">
        <v>0</v>
      </c>
      <c r="J25" s="943">
        <f t="shared" si="2"/>
        <v>25</v>
      </c>
      <c r="K25" s="86">
        <v>0</v>
      </c>
      <c r="L25" s="86">
        <v>25</v>
      </c>
      <c r="M25" s="380">
        <v>0</v>
      </c>
      <c r="N25" s="943">
        <f t="shared" si="3"/>
        <v>4</v>
      </c>
      <c r="O25" s="86">
        <v>0</v>
      </c>
      <c r="P25" s="86">
        <v>4</v>
      </c>
      <c r="Q25" s="380">
        <v>0</v>
      </c>
    </row>
    <row r="26" spans="1:17" ht="24.95" customHeight="1">
      <c r="A26" s="494" t="s">
        <v>220</v>
      </c>
      <c r="B26" s="942">
        <f t="shared" si="0"/>
        <v>43</v>
      </c>
      <c r="C26" s="86">
        <v>2</v>
      </c>
      <c r="D26" s="86">
        <v>41</v>
      </c>
      <c r="E26" s="109">
        <v>0</v>
      </c>
      <c r="F26" s="942">
        <f t="shared" si="1"/>
        <v>0</v>
      </c>
      <c r="G26" s="86">
        <v>0</v>
      </c>
      <c r="H26" s="86">
        <v>0</v>
      </c>
      <c r="I26" s="380">
        <v>0</v>
      </c>
      <c r="J26" s="943">
        <f t="shared" si="2"/>
        <v>44</v>
      </c>
      <c r="K26" s="86">
        <v>2</v>
      </c>
      <c r="L26" s="86">
        <v>42</v>
      </c>
      <c r="M26" s="380">
        <v>0</v>
      </c>
      <c r="N26" s="943">
        <f t="shared" si="3"/>
        <v>12</v>
      </c>
      <c r="O26" s="86">
        <v>1</v>
      </c>
      <c r="P26" s="86">
        <v>11</v>
      </c>
      <c r="Q26" s="380">
        <v>0</v>
      </c>
    </row>
    <row r="27" spans="1:17" ht="24.95" customHeight="1">
      <c r="A27" s="494" t="s">
        <v>221</v>
      </c>
      <c r="B27" s="942">
        <f t="shared" si="0"/>
        <v>24</v>
      </c>
      <c r="C27" s="86">
        <v>0</v>
      </c>
      <c r="D27" s="86">
        <v>24</v>
      </c>
      <c r="E27" s="109">
        <v>0</v>
      </c>
      <c r="F27" s="942">
        <f t="shared" si="1"/>
        <v>0</v>
      </c>
      <c r="G27" s="86">
        <v>0</v>
      </c>
      <c r="H27" s="86">
        <v>0</v>
      </c>
      <c r="I27" s="380">
        <v>0</v>
      </c>
      <c r="J27" s="943">
        <f t="shared" si="2"/>
        <v>25</v>
      </c>
      <c r="K27" s="86">
        <v>0</v>
      </c>
      <c r="L27" s="86">
        <v>25</v>
      </c>
      <c r="M27" s="380">
        <v>0</v>
      </c>
      <c r="N27" s="943">
        <f t="shared" si="3"/>
        <v>4</v>
      </c>
      <c r="O27" s="86">
        <v>0</v>
      </c>
      <c r="P27" s="86">
        <v>4</v>
      </c>
      <c r="Q27" s="380">
        <v>0</v>
      </c>
    </row>
    <row r="28" spans="1:17" ht="24.95" customHeight="1">
      <c r="A28" s="494" t="s">
        <v>598</v>
      </c>
      <c r="B28" s="942">
        <f t="shared" si="0"/>
        <v>25</v>
      </c>
      <c r="C28" s="86">
        <v>1</v>
      </c>
      <c r="D28" s="86">
        <v>23</v>
      </c>
      <c r="E28" s="109">
        <v>1</v>
      </c>
      <c r="F28" s="942">
        <f t="shared" si="1"/>
        <v>1</v>
      </c>
      <c r="G28" s="86">
        <v>0</v>
      </c>
      <c r="H28" s="86">
        <v>0</v>
      </c>
      <c r="I28" s="380">
        <v>1</v>
      </c>
      <c r="J28" s="943">
        <f t="shared" si="2"/>
        <v>27</v>
      </c>
      <c r="K28" s="86">
        <v>1</v>
      </c>
      <c r="L28" s="86">
        <v>26</v>
      </c>
      <c r="M28" s="380">
        <v>0</v>
      </c>
      <c r="N28" s="943">
        <f t="shared" si="3"/>
        <v>9</v>
      </c>
      <c r="O28" s="86">
        <v>1</v>
      </c>
      <c r="P28" s="86">
        <v>8</v>
      </c>
      <c r="Q28" s="380">
        <v>0</v>
      </c>
    </row>
    <row r="29" spans="1:17" ht="24.95" customHeight="1">
      <c r="A29" s="494" t="s">
        <v>223</v>
      </c>
      <c r="B29" s="942">
        <f t="shared" si="0"/>
        <v>66</v>
      </c>
      <c r="C29" s="86">
        <v>1</v>
      </c>
      <c r="D29" s="86">
        <v>65</v>
      </c>
      <c r="E29" s="109">
        <v>0</v>
      </c>
      <c r="F29" s="942">
        <f t="shared" si="1"/>
        <v>0</v>
      </c>
      <c r="G29" s="86">
        <v>0</v>
      </c>
      <c r="H29" s="86">
        <v>0</v>
      </c>
      <c r="I29" s="380">
        <v>0</v>
      </c>
      <c r="J29" s="943">
        <f t="shared" si="2"/>
        <v>71</v>
      </c>
      <c r="K29" s="86">
        <v>1</v>
      </c>
      <c r="L29" s="86">
        <v>70</v>
      </c>
      <c r="M29" s="380">
        <v>0</v>
      </c>
      <c r="N29" s="943">
        <f t="shared" si="3"/>
        <v>11</v>
      </c>
      <c r="O29" s="86">
        <v>0</v>
      </c>
      <c r="P29" s="86">
        <v>11</v>
      </c>
      <c r="Q29" s="380">
        <v>0</v>
      </c>
    </row>
    <row r="30" spans="1:17" ht="24.95" customHeight="1" thickBot="1">
      <c r="A30" s="736" t="s">
        <v>224</v>
      </c>
      <c r="B30" s="944">
        <f t="shared" si="0"/>
        <v>31</v>
      </c>
      <c r="C30" s="375">
        <v>0</v>
      </c>
      <c r="D30" s="375">
        <v>30</v>
      </c>
      <c r="E30" s="376">
        <v>1</v>
      </c>
      <c r="F30" s="944">
        <f t="shared" si="1"/>
        <v>1</v>
      </c>
      <c r="G30" s="375">
        <v>0</v>
      </c>
      <c r="H30" s="375">
        <v>0</v>
      </c>
      <c r="I30" s="383">
        <v>1</v>
      </c>
      <c r="J30" s="945">
        <f t="shared" si="2"/>
        <v>33</v>
      </c>
      <c r="K30" s="375">
        <v>0</v>
      </c>
      <c r="L30" s="375">
        <v>33</v>
      </c>
      <c r="M30" s="383">
        <v>0</v>
      </c>
      <c r="N30" s="945">
        <f t="shared" si="3"/>
        <v>6</v>
      </c>
      <c r="O30" s="375">
        <v>0</v>
      </c>
      <c r="P30" s="375">
        <v>6</v>
      </c>
      <c r="Q30" s="383">
        <v>0</v>
      </c>
    </row>
    <row r="31" spans="1:17" ht="24.95" customHeight="1" thickBot="1">
      <c r="A31" s="1337" t="s">
        <v>997</v>
      </c>
      <c r="B31" s="951">
        <f t="shared" ref="B31:Q31" si="4">SUM(B7:B30)</f>
        <v>938</v>
      </c>
      <c r="C31" s="1100">
        <f t="shared" si="4"/>
        <v>21</v>
      </c>
      <c r="D31" s="1100">
        <f t="shared" si="4"/>
        <v>907</v>
      </c>
      <c r="E31" s="1101">
        <f t="shared" si="4"/>
        <v>10</v>
      </c>
      <c r="F31" s="951">
        <f t="shared" si="4"/>
        <v>10</v>
      </c>
      <c r="G31" s="1100">
        <f t="shared" si="4"/>
        <v>1</v>
      </c>
      <c r="H31" s="1100">
        <f t="shared" si="4"/>
        <v>6</v>
      </c>
      <c r="I31" s="1102">
        <f t="shared" si="4"/>
        <v>3</v>
      </c>
      <c r="J31" s="952">
        <f t="shared" si="4"/>
        <v>1008</v>
      </c>
      <c r="K31" s="1100">
        <f t="shared" si="4"/>
        <v>20</v>
      </c>
      <c r="L31" s="1100">
        <f t="shared" si="4"/>
        <v>975</v>
      </c>
      <c r="M31" s="1102">
        <f t="shared" si="4"/>
        <v>13</v>
      </c>
      <c r="N31" s="952">
        <f t="shared" si="4"/>
        <v>169</v>
      </c>
      <c r="O31" s="1100">
        <f t="shared" si="4"/>
        <v>5</v>
      </c>
      <c r="P31" s="1100">
        <f t="shared" si="4"/>
        <v>156</v>
      </c>
      <c r="Q31" s="1102">
        <f t="shared" si="4"/>
        <v>8</v>
      </c>
    </row>
    <row r="32" spans="1:17" ht="24.95" customHeight="1">
      <c r="A32" s="471" t="s">
        <v>830</v>
      </c>
      <c r="B32" s="1162"/>
      <c r="C32" s="1162"/>
      <c r="D32" s="1162"/>
      <c r="E32" s="1162"/>
      <c r="F32" s="1162"/>
      <c r="G32" s="1162"/>
      <c r="H32" s="1162"/>
      <c r="I32" s="1162"/>
      <c r="J32" s="1162"/>
      <c r="K32" s="1162"/>
      <c r="L32" s="1162"/>
      <c r="M32" s="1162"/>
    </row>
    <row r="33" spans="1:13">
      <c r="A33" s="1163"/>
      <c r="B33" s="1163"/>
      <c r="C33" s="1163"/>
      <c r="D33" s="1163"/>
      <c r="E33" s="1163"/>
      <c r="F33" s="1163"/>
      <c r="G33" s="1163"/>
      <c r="H33" s="1163"/>
      <c r="I33" s="1163"/>
      <c r="J33" s="1163"/>
      <c r="K33" s="1163"/>
      <c r="L33" s="1163"/>
      <c r="M33" s="1163"/>
    </row>
    <row r="34" spans="1:13">
      <c r="A34" s="1163"/>
      <c r="B34" s="1163"/>
      <c r="C34" s="1163"/>
      <c r="D34" s="1163"/>
      <c r="E34" s="1163"/>
      <c r="F34" s="1163"/>
      <c r="G34" s="1163"/>
      <c r="H34" s="1163"/>
      <c r="I34" s="1163"/>
      <c r="J34" s="1163"/>
      <c r="K34" s="1163"/>
      <c r="L34" s="1163"/>
      <c r="M34" s="1163"/>
    </row>
  </sheetData>
  <mergeCells count="11">
    <mergeCell ref="N3:P3"/>
    <mergeCell ref="N4:P4"/>
    <mergeCell ref="A1:M1"/>
    <mergeCell ref="A2:M2"/>
    <mergeCell ref="A3:A4"/>
    <mergeCell ref="B3:D4"/>
    <mergeCell ref="E3:E4"/>
    <mergeCell ref="F3:H4"/>
    <mergeCell ref="I3:I4"/>
    <mergeCell ref="J3:L4"/>
    <mergeCell ref="M3:M4"/>
  </mergeCells>
  <phoneticPr fontId="3"/>
  <pageMargins left="0.78740157480314965" right="0.59055118110236227" top="0.98425196850393704" bottom="0.98425196850393704" header="0.51181102362204722" footer="0.51181102362204722"/>
  <pageSetup paperSize="9" scale="65" orientation="portrait" r:id="rId1"/>
  <headerFooter alignWithMargins="0">
    <oddFooter>&amp;C－39－</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Normal="100" zoomScaleSheetLayoutView="100" workbookViewId="0">
      <selection activeCell="T9" sqref="T9"/>
    </sheetView>
  </sheetViews>
  <sheetFormatPr defaultRowHeight="14.25"/>
  <cols>
    <col min="1" max="1" width="3" style="2" customWidth="1"/>
    <col min="2" max="2" width="3.875" style="2" customWidth="1"/>
    <col min="3" max="3" width="7.125" style="2" customWidth="1"/>
    <col min="4" max="6" width="7.625" style="2" customWidth="1"/>
    <col min="7" max="7" width="7.125" style="2" customWidth="1"/>
    <col min="8" max="10" width="7.625" style="2" customWidth="1"/>
    <col min="11" max="11" width="7" style="2" customWidth="1"/>
    <col min="12" max="18" width="7.625" style="2" customWidth="1"/>
    <col min="19" max="16384" width="9" style="2"/>
  </cols>
  <sheetData>
    <row r="1" spans="1:18" ht="15">
      <c r="A1" s="70" t="s">
        <v>828</v>
      </c>
      <c r="B1" s="70"/>
      <c r="C1" s="70"/>
      <c r="D1" s="70"/>
    </row>
    <row r="2" spans="1:18" ht="15.75" thickBot="1">
      <c r="A2" s="70" t="s">
        <v>831</v>
      </c>
      <c r="B2" s="70"/>
      <c r="C2" s="70"/>
      <c r="D2" s="70"/>
    </row>
    <row r="3" spans="1:18" ht="6" customHeight="1" thickBot="1">
      <c r="A3" s="1141"/>
      <c r="B3" s="2014" t="s">
        <v>812</v>
      </c>
      <c r="C3" s="2015" t="s">
        <v>813</v>
      </c>
      <c r="D3" s="1453"/>
      <c r="E3" s="1453"/>
      <c r="F3" s="1954" t="s">
        <v>428</v>
      </c>
      <c r="G3" s="2015" t="s">
        <v>814</v>
      </c>
      <c r="H3" s="1453"/>
      <c r="I3" s="1453"/>
      <c r="J3" s="1954" t="s">
        <v>431</v>
      </c>
      <c r="K3" s="2015" t="s">
        <v>815</v>
      </c>
      <c r="L3" s="1453"/>
      <c r="M3" s="1453"/>
      <c r="N3" s="1957" t="s">
        <v>431</v>
      </c>
      <c r="O3" s="2030"/>
      <c r="P3" s="2031"/>
      <c r="Q3" s="2031"/>
      <c r="R3" s="309"/>
    </row>
    <row r="4" spans="1:18">
      <c r="A4" s="1143"/>
      <c r="B4" s="1686"/>
      <c r="C4" s="1591"/>
      <c r="D4" s="1629"/>
      <c r="E4" s="1629"/>
      <c r="F4" s="1955"/>
      <c r="G4" s="1591"/>
      <c r="H4" s="1629"/>
      <c r="I4" s="1629"/>
      <c r="J4" s="1955"/>
      <c r="K4" s="1591"/>
      <c r="L4" s="1629"/>
      <c r="M4" s="1629"/>
      <c r="N4" s="1955"/>
      <c r="O4" s="2032" t="s">
        <v>927</v>
      </c>
      <c r="P4" s="2033"/>
      <c r="Q4" s="2033"/>
      <c r="R4" s="309" t="s">
        <v>431</v>
      </c>
    </row>
    <row r="5" spans="1:18">
      <c r="A5" s="1104"/>
      <c r="B5" s="1105"/>
      <c r="C5" s="1106" t="s">
        <v>816</v>
      </c>
      <c r="D5" s="1107"/>
      <c r="E5" s="1107"/>
      <c r="F5" s="1107"/>
      <c r="G5" s="1106" t="s">
        <v>816</v>
      </c>
      <c r="H5" s="1107"/>
      <c r="I5" s="1107"/>
      <c r="J5" s="1107"/>
      <c r="K5" s="1106" t="s">
        <v>816</v>
      </c>
      <c r="L5" s="1107"/>
      <c r="M5" s="1107"/>
      <c r="N5" s="1108"/>
      <c r="O5" s="1106" t="s">
        <v>816</v>
      </c>
      <c r="P5" s="1107"/>
      <c r="Q5" s="1107"/>
      <c r="R5" s="1108"/>
    </row>
    <row r="6" spans="1:18" ht="15" thickBot="1">
      <c r="A6" s="1109" t="s">
        <v>817</v>
      </c>
      <c r="B6" s="1105"/>
      <c r="C6" s="1110"/>
      <c r="D6" s="956" t="s">
        <v>807</v>
      </c>
      <c r="E6" s="957" t="s">
        <v>808</v>
      </c>
      <c r="F6" s="957" t="s">
        <v>377</v>
      </c>
      <c r="G6" s="1110"/>
      <c r="H6" s="956" t="s">
        <v>807</v>
      </c>
      <c r="I6" s="957" t="s">
        <v>808</v>
      </c>
      <c r="J6" s="957" t="s">
        <v>377</v>
      </c>
      <c r="K6" s="938"/>
      <c r="L6" s="939" t="s">
        <v>807</v>
      </c>
      <c r="M6" s="940" t="s">
        <v>808</v>
      </c>
      <c r="N6" s="941" t="s">
        <v>377</v>
      </c>
      <c r="O6" s="938"/>
      <c r="P6" s="939" t="s">
        <v>807</v>
      </c>
      <c r="Q6" s="940" t="s">
        <v>808</v>
      </c>
      <c r="R6" s="941" t="s">
        <v>377</v>
      </c>
    </row>
    <row r="7" spans="1:18" ht="24.95" customHeight="1">
      <c r="A7" s="475"/>
      <c r="B7" s="316">
        <v>0</v>
      </c>
      <c r="C7" s="1113">
        <f t="shared" ref="C7:C30" si="0">SUM(D7:F7)</f>
        <v>14</v>
      </c>
      <c r="D7" s="98">
        <v>0</v>
      </c>
      <c r="E7" s="888">
        <v>14</v>
      </c>
      <c r="F7" s="888">
        <v>0</v>
      </c>
      <c r="G7" s="1113">
        <f t="shared" ref="G7:G30" si="1">SUM(H7:J7)</f>
        <v>1</v>
      </c>
      <c r="H7" s="98">
        <v>0</v>
      </c>
      <c r="I7" s="888">
        <v>1</v>
      </c>
      <c r="J7" s="888">
        <v>0</v>
      </c>
      <c r="K7" s="714">
        <f t="shared" ref="K7:K30" si="2">SUM(L7:N7)</f>
        <v>15</v>
      </c>
      <c r="L7" s="74">
        <v>0</v>
      </c>
      <c r="M7" s="74">
        <v>15</v>
      </c>
      <c r="N7" s="710">
        <v>0</v>
      </c>
      <c r="O7" s="714">
        <f t="shared" ref="O7:O30" si="3">SUM(P7:R7)</f>
        <v>1</v>
      </c>
      <c r="P7" s="74">
        <v>0</v>
      </c>
      <c r="Q7" s="74">
        <v>1</v>
      </c>
      <c r="R7" s="710">
        <v>0</v>
      </c>
    </row>
    <row r="8" spans="1:18" ht="24.95" customHeight="1">
      <c r="A8" s="475" t="s">
        <v>390</v>
      </c>
      <c r="B8" s="1147">
        <v>1</v>
      </c>
      <c r="C8" s="1164">
        <f t="shared" si="0"/>
        <v>12</v>
      </c>
      <c r="D8" s="1019">
        <v>1</v>
      </c>
      <c r="E8" s="1012">
        <v>11</v>
      </c>
      <c r="F8" s="1012">
        <v>0</v>
      </c>
      <c r="G8" s="1164">
        <f t="shared" si="1"/>
        <v>0</v>
      </c>
      <c r="H8" s="1019">
        <v>0</v>
      </c>
      <c r="I8" s="1012">
        <v>0</v>
      </c>
      <c r="J8" s="1012">
        <v>0</v>
      </c>
      <c r="K8" s="1160">
        <f t="shared" si="2"/>
        <v>13</v>
      </c>
      <c r="L8" s="1019">
        <v>1</v>
      </c>
      <c r="M8" s="1019">
        <v>12</v>
      </c>
      <c r="N8" s="380">
        <v>0</v>
      </c>
      <c r="O8" s="1160">
        <f t="shared" si="3"/>
        <v>1</v>
      </c>
      <c r="P8" s="1019">
        <v>0</v>
      </c>
      <c r="Q8" s="1019">
        <v>1</v>
      </c>
      <c r="R8" s="380">
        <v>0</v>
      </c>
    </row>
    <row r="9" spans="1:18" ht="24.95" customHeight="1">
      <c r="A9" s="475"/>
      <c r="B9" s="1147">
        <v>2</v>
      </c>
      <c r="C9" s="1164">
        <f t="shared" si="0"/>
        <v>3</v>
      </c>
      <c r="D9" s="1019">
        <v>0</v>
      </c>
      <c r="E9" s="1012">
        <v>3</v>
      </c>
      <c r="F9" s="1012">
        <v>0</v>
      </c>
      <c r="G9" s="1164">
        <f t="shared" si="1"/>
        <v>0</v>
      </c>
      <c r="H9" s="1019">
        <v>0</v>
      </c>
      <c r="I9" s="1012">
        <v>0</v>
      </c>
      <c r="J9" s="1012">
        <v>0</v>
      </c>
      <c r="K9" s="1160">
        <f t="shared" si="2"/>
        <v>3</v>
      </c>
      <c r="L9" s="1019">
        <v>0</v>
      </c>
      <c r="M9" s="1019">
        <v>3</v>
      </c>
      <c r="N9" s="380">
        <v>0</v>
      </c>
      <c r="O9" s="1160">
        <f t="shared" si="3"/>
        <v>0</v>
      </c>
      <c r="P9" s="1019">
        <v>0</v>
      </c>
      <c r="Q9" s="1019">
        <v>0</v>
      </c>
      <c r="R9" s="380">
        <v>0</v>
      </c>
    </row>
    <row r="10" spans="1:18" ht="24.95" customHeight="1">
      <c r="A10" s="475" t="s">
        <v>391</v>
      </c>
      <c r="B10" s="1147">
        <v>3</v>
      </c>
      <c r="C10" s="1164">
        <f t="shared" si="0"/>
        <v>7</v>
      </c>
      <c r="D10" s="1019">
        <v>0</v>
      </c>
      <c r="E10" s="1012">
        <v>7</v>
      </c>
      <c r="F10" s="1012">
        <v>0</v>
      </c>
      <c r="G10" s="1164">
        <f t="shared" si="1"/>
        <v>0</v>
      </c>
      <c r="H10" s="1019">
        <v>0</v>
      </c>
      <c r="I10" s="1012">
        <v>0</v>
      </c>
      <c r="J10" s="1012">
        <v>0</v>
      </c>
      <c r="K10" s="1160">
        <f t="shared" si="2"/>
        <v>8</v>
      </c>
      <c r="L10" s="1019">
        <v>0</v>
      </c>
      <c r="M10" s="1019">
        <v>8</v>
      </c>
      <c r="N10" s="380">
        <v>0</v>
      </c>
      <c r="O10" s="1160">
        <f t="shared" si="3"/>
        <v>3</v>
      </c>
      <c r="P10" s="1019">
        <v>0</v>
      </c>
      <c r="Q10" s="1019">
        <v>3</v>
      </c>
      <c r="R10" s="380">
        <v>0</v>
      </c>
    </row>
    <row r="11" spans="1:18" ht="24.95" customHeight="1">
      <c r="A11" s="475"/>
      <c r="B11" s="1147">
        <v>4</v>
      </c>
      <c r="C11" s="1164">
        <f t="shared" si="0"/>
        <v>11</v>
      </c>
      <c r="D11" s="1019">
        <v>0</v>
      </c>
      <c r="E11" s="1012">
        <v>9</v>
      </c>
      <c r="F11" s="1012">
        <v>2</v>
      </c>
      <c r="G11" s="1164">
        <f t="shared" si="1"/>
        <v>0</v>
      </c>
      <c r="H11" s="1019">
        <v>0</v>
      </c>
      <c r="I11" s="1012">
        <v>0</v>
      </c>
      <c r="J11" s="1012">
        <v>0</v>
      </c>
      <c r="K11" s="1160">
        <f t="shared" si="2"/>
        <v>13</v>
      </c>
      <c r="L11" s="1019">
        <v>0</v>
      </c>
      <c r="M11" s="1019">
        <v>9</v>
      </c>
      <c r="N11" s="380">
        <v>4</v>
      </c>
      <c r="O11" s="1160">
        <f t="shared" si="3"/>
        <v>6</v>
      </c>
      <c r="P11" s="1019">
        <v>0</v>
      </c>
      <c r="Q11" s="1019">
        <v>4</v>
      </c>
      <c r="R11" s="380">
        <v>2</v>
      </c>
    </row>
    <row r="12" spans="1:18" ht="24.95" customHeight="1">
      <c r="A12" s="476"/>
      <c r="B12" s="1147">
        <v>5</v>
      </c>
      <c r="C12" s="1164">
        <f t="shared" si="0"/>
        <v>11</v>
      </c>
      <c r="D12" s="1019">
        <v>0</v>
      </c>
      <c r="E12" s="1012">
        <v>11</v>
      </c>
      <c r="F12" s="1012">
        <v>0</v>
      </c>
      <c r="G12" s="1164">
        <f t="shared" si="1"/>
        <v>0</v>
      </c>
      <c r="H12" s="1019">
        <v>0</v>
      </c>
      <c r="I12" s="1012">
        <v>0</v>
      </c>
      <c r="J12" s="1012">
        <v>0</v>
      </c>
      <c r="K12" s="1160">
        <f t="shared" si="2"/>
        <v>11</v>
      </c>
      <c r="L12" s="1019">
        <v>0</v>
      </c>
      <c r="M12" s="1019">
        <v>11</v>
      </c>
      <c r="N12" s="380">
        <v>0</v>
      </c>
      <c r="O12" s="1160">
        <f t="shared" si="3"/>
        <v>2</v>
      </c>
      <c r="P12" s="1019">
        <v>0</v>
      </c>
      <c r="Q12" s="1019">
        <v>2</v>
      </c>
      <c r="R12" s="380">
        <v>0</v>
      </c>
    </row>
    <row r="13" spans="1:18" ht="24.95" customHeight="1">
      <c r="A13" s="321"/>
      <c r="B13" s="608">
        <v>6</v>
      </c>
      <c r="C13" s="1113">
        <f t="shared" si="0"/>
        <v>30</v>
      </c>
      <c r="D13" s="86">
        <v>2</v>
      </c>
      <c r="E13" s="109">
        <v>27</v>
      </c>
      <c r="F13" s="109">
        <v>1</v>
      </c>
      <c r="G13" s="1113">
        <f t="shared" si="1"/>
        <v>0</v>
      </c>
      <c r="H13" s="86">
        <v>0</v>
      </c>
      <c r="I13" s="109">
        <v>0</v>
      </c>
      <c r="J13" s="109">
        <v>0</v>
      </c>
      <c r="K13" s="942">
        <f t="shared" si="2"/>
        <v>32</v>
      </c>
      <c r="L13" s="86">
        <v>2</v>
      </c>
      <c r="M13" s="86">
        <v>28</v>
      </c>
      <c r="N13" s="380">
        <v>2</v>
      </c>
      <c r="O13" s="942">
        <f t="shared" si="3"/>
        <v>11</v>
      </c>
      <c r="P13" s="86">
        <v>1</v>
      </c>
      <c r="Q13" s="86">
        <v>8</v>
      </c>
      <c r="R13" s="380">
        <v>2</v>
      </c>
    </row>
    <row r="14" spans="1:18" ht="24.95" customHeight="1">
      <c r="A14" s="321"/>
      <c r="B14" s="608">
        <v>7</v>
      </c>
      <c r="C14" s="1113">
        <f t="shared" si="0"/>
        <v>72</v>
      </c>
      <c r="D14" s="86">
        <v>1</v>
      </c>
      <c r="E14" s="109">
        <v>71</v>
      </c>
      <c r="F14" s="109">
        <v>0</v>
      </c>
      <c r="G14" s="1113">
        <f t="shared" si="1"/>
        <v>2</v>
      </c>
      <c r="H14" s="86">
        <v>0</v>
      </c>
      <c r="I14" s="109">
        <v>2</v>
      </c>
      <c r="J14" s="109">
        <v>0</v>
      </c>
      <c r="K14" s="942">
        <f t="shared" si="2"/>
        <v>75</v>
      </c>
      <c r="L14" s="86">
        <v>1</v>
      </c>
      <c r="M14" s="86">
        <v>74</v>
      </c>
      <c r="N14" s="380">
        <v>0</v>
      </c>
      <c r="O14" s="942">
        <f t="shared" si="3"/>
        <v>19</v>
      </c>
      <c r="P14" s="86">
        <v>0</v>
      </c>
      <c r="Q14" s="86">
        <v>19</v>
      </c>
      <c r="R14" s="380">
        <v>0</v>
      </c>
    </row>
    <row r="15" spans="1:18" ht="24.95" customHeight="1">
      <c r="A15" s="321"/>
      <c r="B15" s="608">
        <v>8</v>
      </c>
      <c r="C15" s="1113">
        <f t="shared" si="0"/>
        <v>51</v>
      </c>
      <c r="D15" s="86">
        <v>0</v>
      </c>
      <c r="E15" s="109">
        <v>50</v>
      </c>
      <c r="F15" s="109">
        <v>1</v>
      </c>
      <c r="G15" s="1113">
        <f t="shared" si="1"/>
        <v>0</v>
      </c>
      <c r="H15" s="86">
        <v>0</v>
      </c>
      <c r="I15" s="109">
        <v>0</v>
      </c>
      <c r="J15" s="109">
        <v>0</v>
      </c>
      <c r="K15" s="942">
        <f t="shared" si="2"/>
        <v>55</v>
      </c>
      <c r="L15" s="86">
        <v>0</v>
      </c>
      <c r="M15" s="86">
        <v>54</v>
      </c>
      <c r="N15" s="380">
        <v>1</v>
      </c>
      <c r="O15" s="942">
        <f t="shared" si="3"/>
        <v>6</v>
      </c>
      <c r="P15" s="86">
        <v>0</v>
      </c>
      <c r="Q15" s="86">
        <v>5</v>
      </c>
      <c r="R15" s="380">
        <v>1</v>
      </c>
    </row>
    <row r="16" spans="1:18" ht="24.95" customHeight="1">
      <c r="A16" s="321"/>
      <c r="B16" s="608">
        <v>9</v>
      </c>
      <c r="C16" s="1113">
        <f t="shared" si="0"/>
        <v>44</v>
      </c>
      <c r="D16" s="86">
        <v>1</v>
      </c>
      <c r="E16" s="109">
        <v>43</v>
      </c>
      <c r="F16" s="109">
        <v>0</v>
      </c>
      <c r="G16" s="1113">
        <f t="shared" si="1"/>
        <v>0</v>
      </c>
      <c r="H16" s="86">
        <v>0</v>
      </c>
      <c r="I16" s="109">
        <v>0</v>
      </c>
      <c r="J16" s="109">
        <v>0</v>
      </c>
      <c r="K16" s="942">
        <f t="shared" si="2"/>
        <v>49</v>
      </c>
      <c r="L16" s="86">
        <v>1</v>
      </c>
      <c r="M16" s="86">
        <v>48</v>
      </c>
      <c r="N16" s="380">
        <v>0</v>
      </c>
      <c r="O16" s="942">
        <f t="shared" si="3"/>
        <v>7</v>
      </c>
      <c r="P16" s="86">
        <v>0</v>
      </c>
      <c r="Q16" s="86">
        <v>7</v>
      </c>
      <c r="R16" s="380">
        <v>0</v>
      </c>
    </row>
    <row r="17" spans="1:18" ht="24.95" customHeight="1">
      <c r="A17" s="321"/>
      <c r="B17" s="608">
        <v>10</v>
      </c>
      <c r="C17" s="1113">
        <f t="shared" si="0"/>
        <v>41</v>
      </c>
      <c r="D17" s="86">
        <v>1</v>
      </c>
      <c r="E17" s="109">
        <v>39</v>
      </c>
      <c r="F17" s="109">
        <v>1</v>
      </c>
      <c r="G17" s="1113">
        <f t="shared" si="1"/>
        <v>1</v>
      </c>
      <c r="H17" s="86">
        <v>0</v>
      </c>
      <c r="I17" s="109">
        <v>0</v>
      </c>
      <c r="J17" s="109">
        <v>1</v>
      </c>
      <c r="K17" s="942">
        <f t="shared" si="2"/>
        <v>45</v>
      </c>
      <c r="L17" s="86">
        <v>1</v>
      </c>
      <c r="M17" s="86">
        <v>44</v>
      </c>
      <c r="N17" s="380">
        <v>0</v>
      </c>
      <c r="O17" s="942">
        <f t="shared" si="3"/>
        <v>6</v>
      </c>
      <c r="P17" s="86">
        <v>0</v>
      </c>
      <c r="Q17" s="86">
        <v>6</v>
      </c>
      <c r="R17" s="380">
        <v>0</v>
      </c>
    </row>
    <row r="18" spans="1:18" ht="24.95" customHeight="1">
      <c r="A18" s="321"/>
      <c r="B18" s="608">
        <v>11</v>
      </c>
      <c r="C18" s="1113">
        <f t="shared" si="0"/>
        <v>51</v>
      </c>
      <c r="D18" s="86">
        <v>1</v>
      </c>
      <c r="E18" s="109">
        <v>49</v>
      </c>
      <c r="F18" s="109">
        <v>1</v>
      </c>
      <c r="G18" s="1113">
        <f t="shared" si="1"/>
        <v>1</v>
      </c>
      <c r="H18" s="86">
        <v>0</v>
      </c>
      <c r="I18" s="109">
        <v>0</v>
      </c>
      <c r="J18" s="109">
        <v>1</v>
      </c>
      <c r="K18" s="942">
        <f t="shared" si="2"/>
        <v>51</v>
      </c>
      <c r="L18" s="86">
        <v>1</v>
      </c>
      <c r="M18" s="86">
        <v>50</v>
      </c>
      <c r="N18" s="380">
        <v>0</v>
      </c>
      <c r="O18" s="942">
        <f t="shared" si="3"/>
        <v>10</v>
      </c>
      <c r="P18" s="86">
        <v>0</v>
      </c>
      <c r="Q18" s="86">
        <v>10</v>
      </c>
      <c r="R18" s="380">
        <v>0</v>
      </c>
    </row>
    <row r="19" spans="1:18" ht="24.95" customHeight="1">
      <c r="A19" s="321"/>
      <c r="B19" s="608">
        <v>12</v>
      </c>
      <c r="C19" s="1113">
        <f t="shared" si="0"/>
        <v>42</v>
      </c>
      <c r="D19" s="86">
        <v>0</v>
      </c>
      <c r="E19" s="109">
        <v>41</v>
      </c>
      <c r="F19" s="109">
        <v>1</v>
      </c>
      <c r="G19" s="1113">
        <f t="shared" si="1"/>
        <v>0</v>
      </c>
      <c r="H19" s="86">
        <v>0</v>
      </c>
      <c r="I19" s="109">
        <v>0</v>
      </c>
      <c r="J19" s="109">
        <v>0</v>
      </c>
      <c r="K19" s="942">
        <f t="shared" si="2"/>
        <v>46</v>
      </c>
      <c r="L19" s="86">
        <v>0</v>
      </c>
      <c r="M19" s="86">
        <v>45</v>
      </c>
      <c r="N19" s="380">
        <v>1</v>
      </c>
      <c r="O19" s="942">
        <f t="shared" si="3"/>
        <v>7</v>
      </c>
      <c r="P19" s="86">
        <v>0</v>
      </c>
      <c r="Q19" s="86">
        <v>6</v>
      </c>
      <c r="R19" s="380">
        <v>1</v>
      </c>
    </row>
    <row r="20" spans="1:18" ht="24.95" customHeight="1">
      <c r="A20" s="321"/>
      <c r="B20" s="608">
        <v>13</v>
      </c>
      <c r="C20" s="1113">
        <f t="shared" si="0"/>
        <v>42</v>
      </c>
      <c r="D20" s="86">
        <v>0</v>
      </c>
      <c r="E20" s="109">
        <v>42</v>
      </c>
      <c r="F20" s="109">
        <v>0</v>
      </c>
      <c r="G20" s="1113">
        <f t="shared" si="1"/>
        <v>0</v>
      </c>
      <c r="H20" s="86">
        <v>0</v>
      </c>
      <c r="I20" s="109">
        <v>0</v>
      </c>
      <c r="J20" s="109">
        <v>0</v>
      </c>
      <c r="K20" s="942">
        <f t="shared" si="2"/>
        <v>43</v>
      </c>
      <c r="L20" s="86">
        <v>0</v>
      </c>
      <c r="M20" s="86">
        <v>43</v>
      </c>
      <c r="N20" s="380">
        <v>0</v>
      </c>
      <c r="O20" s="942">
        <f t="shared" si="3"/>
        <v>8</v>
      </c>
      <c r="P20" s="86">
        <v>0</v>
      </c>
      <c r="Q20" s="86">
        <v>8</v>
      </c>
      <c r="R20" s="380">
        <v>0</v>
      </c>
    </row>
    <row r="21" spans="1:18" ht="24.95" customHeight="1">
      <c r="A21" s="321"/>
      <c r="B21" s="608">
        <v>14</v>
      </c>
      <c r="C21" s="1113">
        <f t="shared" si="0"/>
        <v>35</v>
      </c>
      <c r="D21" s="86">
        <v>0</v>
      </c>
      <c r="E21" s="109">
        <v>35</v>
      </c>
      <c r="F21" s="109">
        <v>0</v>
      </c>
      <c r="G21" s="1113">
        <f t="shared" si="1"/>
        <v>0</v>
      </c>
      <c r="H21" s="86">
        <v>0</v>
      </c>
      <c r="I21" s="109">
        <v>0</v>
      </c>
      <c r="J21" s="109">
        <v>0</v>
      </c>
      <c r="K21" s="942">
        <f t="shared" si="2"/>
        <v>38</v>
      </c>
      <c r="L21" s="86">
        <v>0</v>
      </c>
      <c r="M21" s="86">
        <v>38</v>
      </c>
      <c r="N21" s="380">
        <v>0</v>
      </c>
      <c r="O21" s="942">
        <f t="shared" si="3"/>
        <v>2</v>
      </c>
      <c r="P21" s="86">
        <v>0</v>
      </c>
      <c r="Q21" s="86">
        <v>2</v>
      </c>
      <c r="R21" s="380">
        <v>0</v>
      </c>
    </row>
    <row r="22" spans="1:18" ht="24.95" customHeight="1">
      <c r="A22" s="321"/>
      <c r="B22" s="608">
        <v>15</v>
      </c>
      <c r="C22" s="1113">
        <f t="shared" si="0"/>
        <v>43</v>
      </c>
      <c r="D22" s="86">
        <v>0</v>
      </c>
      <c r="E22" s="109">
        <v>43</v>
      </c>
      <c r="F22" s="109">
        <v>0</v>
      </c>
      <c r="G22" s="1113">
        <f t="shared" si="1"/>
        <v>0</v>
      </c>
      <c r="H22" s="86">
        <v>0</v>
      </c>
      <c r="I22" s="109">
        <v>0</v>
      </c>
      <c r="J22" s="109">
        <v>0</v>
      </c>
      <c r="K22" s="942">
        <f t="shared" si="2"/>
        <v>46</v>
      </c>
      <c r="L22" s="86">
        <v>0</v>
      </c>
      <c r="M22" s="86">
        <v>46</v>
      </c>
      <c r="N22" s="380">
        <v>0</v>
      </c>
      <c r="O22" s="942">
        <f t="shared" si="3"/>
        <v>7</v>
      </c>
      <c r="P22" s="86">
        <v>0</v>
      </c>
      <c r="Q22" s="86">
        <v>7</v>
      </c>
      <c r="R22" s="380">
        <v>0</v>
      </c>
    </row>
    <row r="23" spans="1:18" ht="24.95" customHeight="1">
      <c r="A23" s="321"/>
      <c r="B23" s="608">
        <v>16</v>
      </c>
      <c r="C23" s="1113">
        <f t="shared" si="0"/>
        <v>49</v>
      </c>
      <c r="D23" s="86">
        <v>1</v>
      </c>
      <c r="E23" s="109">
        <v>48</v>
      </c>
      <c r="F23" s="109">
        <v>0</v>
      </c>
      <c r="G23" s="1113">
        <f t="shared" si="1"/>
        <v>1</v>
      </c>
      <c r="H23" s="86">
        <v>0</v>
      </c>
      <c r="I23" s="109">
        <v>1</v>
      </c>
      <c r="J23" s="109">
        <v>0</v>
      </c>
      <c r="K23" s="942">
        <f t="shared" si="2"/>
        <v>51</v>
      </c>
      <c r="L23" s="86">
        <v>1</v>
      </c>
      <c r="M23" s="86">
        <v>50</v>
      </c>
      <c r="N23" s="380">
        <v>0</v>
      </c>
      <c r="O23" s="942">
        <f t="shared" si="3"/>
        <v>9</v>
      </c>
      <c r="P23" s="86">
        <v>0</v>
      </c>
      <c r="Q23" s="86">
        <v>9</v>
      </c>
      <c r="R23" s="380">
        <v>0</v>
      </c>
    </row>
    <row r="24" spans="1:18" ht="24.95" customHeight="1">
      <c r="A24" s="321"/>
      <c r="B24" s="608">
        <v>17</v>
      </c>
      <c r="C24" s="1113">
        <f t="shared" si="0"/>
        <v>78</v>
      </c>
      <c r="D24" s="86">
        <v>3</v>
      </c>
      <c r="E24" s="109">
        <v>74</v>
      </c>
      <c r="F24" s="109">
        <v>1</v>
      </c>
      <c r="G24" s="1113">
        <f t="shared" si="1"/>
        <v>0</v>
      </c>
      <c r="H24" s="86">
        <v>0</v>
      </c>
      <c r="I24" s="109">
        <v>0</v>
      </c>
      <c r="J24" s="109">
        <v>0</v>
      </c>
      <c r="K24" s="942">
        <f t="shared" si="2"/>
        <v>88</v>
      </c>
      <c r="L24" s="86">
        <v>3</v>
      </c>
      <c r="M24" s="86">
        <v>82</v>
      </c>
      <c r="N24" s="380">
        <v>3</v>
      </c>
      <c r="O24" s="942">
        <f t="shared" si="3"/>
        <v>10</v>
      </c>
      <c r="P24" s="86">
        <v>1</v>
      </c>
      <c r="Q24" s="86">
        <v>9</v>
      </c>
      <c r="R24" s="380">
        <v>0</v>
      </c>
    </row>
    <row r="25" spans="1:18" ht="24.95" customHeight="1">
      <c r="A25" s="474"/>
      <c r="B25" s="584">
        <v>18</v>
      </c>
      <c r="C25" s="1113">
        <f t="shared" si="0"/>
        <v>81</v>
      </c>
      <c r="D25" s="86">
        <v>4</v>
      </c>
      <c r="E25" s="109">
        <v>77</v>
      </c>
      <c r="F25" s="109">
        <v>0</v>
      </c>
      <c r="G25" s="1113">
        <f t="shared" si="1"/>
        <v>0</v>
      </c>
      <c r="H25" s="86">
        <v>0</v>
      </c>
      <c r="I25" s="109">
        <v>0</v>
      </c>
      <c r="J25" s="109">
        <v>0</v>
      </c>
      <c r="K25" s="942">
        <f t="shared" si="2"/>
        <v>87</v>
      </c>
      <c r="L25" s="86">
        <v>4</v>
      </c>
      <c r="M25" s="86">
        <v>83</v>
      </c>
      <c r="N25" s="380">
        <v>0</v>
      </c>
      <c r="O25" s="942">
        <f t="shared" si="3"/>
        <v>12</v>
      </c>
      <c r="P25" s="86">
        <v>1</v>
      </c>
      <c r="Q25" s="86">
        <v>11</v>
      </c>
      <c r="R25" s="380">
        <v>0</v>
      </c>
    </row>
    <row r="26" spans="1:18" ht="24.95" customHeight="1">
      <c r="A26" s="475" t="s">
        <v>390</v>
      </c>
      <c r="B26" s="584">
        <v>19</v>
      </c>
      <c r="C26" s="1113">
        <f t="shared" si="0"/>
        <v>73</v>
      </c>
      <c r="D26" s="86">
        <v>4</v>
      </c>
      <c r="E26" s="109">
        <v>69</v>
      </c>
      <c r="F26" s="109">
        <v>0</v>
      </c>
      <c r="G26" s="1113">
        <f t="shared" si="1"/>
        <v>1</v>
      </c>
      <c r="H26" s="86">
        <v>1</v>
      </c>
      <c r="I26" s="109">
        <v>0</v>
      </c>
      <c r="J26" s="109">
        <v>0</v>
      </c>
      <c r="K26" s="942">
        <f t="shared" si="2"/>
        <v>79</v>
      </c>
      <c r="L26" s="86">
        <v>3</v>
      </c>
      <c r="M26" s="86">
        <v>76</v>
      </c>
      <c r="N26" s="380">
        <v>0</v>
      </c>
      <c r="O26" s="942">
        <f t="shared" si="3"/>
        <v>15</v>
      </c>
      <c r="P26" s="86">
        <v>1</v>
      </c>
      <c r="Q26" s="86">
        <v>14</v>
      </c>
      <c r="R26" s="380">
        <v>0</v>
      </c>
    </row>
    <row r="27" spans="1:18" ht="24.95" customHeight="1">
      <c r="A27" s="475"/>
      <c r="B27" s="584">
        <v>20</v>
      </c>
      <c r="C27" s="1113">
        <f t="shared" si="0"/>
        <v>53</v>
      </c>
      <c r="D27" s="86">
        <v>0</v>
      </c>
      <c r="E27" s="109">
        <v>53</v>
      </c>
      <c r="F27" s="109">
        <v>0</v>
      </c>
      <c r="G27" s="1113">
        <f t="shared" si="1"/>
        <v>0</v>
      </c>
      <c r="H27" s="86">
        <v>0</v>
      </c>
      <c r="I27" s="109">
        <v>0</v>
      </c>
      <c r="J27" s="109">
        <v>0</v>
      </c>
      <c r="K27" s="942">
        <f t="shared" si="2"/>
        <v>56</v>
      </c>
      <c r="L27" s="86">
        <v>0</v>
      </c>
      <c r="M27" s="86">
        <v>56</v>
      </c>
      <c r="N27" s="380">
        <v>0</v>
      </c>
      <c r="O27" s="942">
        <f t="shared" si="3"/>
        <v>14</v>
      </c>
      <c r="P27" s="86">
        <v>0</v>
      </c>
      <c r="Q27" s="86">
        <v>14</v>
      </c>
      <c r="R27" s="380">
        <v>0</v>
      </c>
    </row>
    <row r="28" spans="1:18" ht="24.95" customHeight="1">
      <c r="A28" s="475" t="s">
        <v>391</v>
      </c>
      <c r="B28" s="584">
        <v>21</v>
      </c>
      <c r="C28" s="1113">
        <f t="shared" si="0"/>
        <v>45</v>
      </c>
      <c r="D28" s="86">
        <v>1</v>
      </c>
      <c r="E28" s="109">
        <v>44</v>
      </c>
      <c r="F28" s="109">
        <v>0</v>
      </c>
      <c r="G28" s="1113">
        <f t="shared" si="1"/>
        <v>2</v>
      </c>
      <c r="H28" s="86">
        <v>0</v>
      </c>
      <c r="I28" s="109">
        <v>2</v>
      </c>
      <c r="J28" s="109">
        <v>0</v>
      </c>
      <c r="K28" s="942">
        <f t="shared" si="2"/>
        <v>49</v>
      </c>
      <c r="L28" s="86">
        <v>1</v>
      </c>
      <c r="M28" s="86">
        <v>48</v>
      </c>
      <c r="N28" s="380">
        <v>0</v>
      </c>
      <c r="O28" s="942">
        <f t="shared" si="3"/>
        <v>5</v>
      </c>
      <c r="P28" s="86">
        <v>1</v>
      </c>
      <c r="Q28" s="86">
        <v>4</v>
      </c>
      <c r="R28" s="380">
        <v>0</v>
      </c>
    </row>
    <row r="29" spans="1:18" ht="24.95" customHeight="1">
      <c r="A29" s="475"/>
      <c r="B29" s="584">
        <v>22</v>
      </c>
      <c r="C29" s="1113">
        <f t="shared" si="0"/>
        <v>27</v>
      </c>
      <c r="D29" s="86">
        <v>1</v>
      </c>
      <c r="E29" s="109">
        <v>24</v>
      </c>
      <c r="F29" s="109">
        <v>2</v>
      </c>
      <c r="G29" s="1113">
        <f t="shared" si="1"/>
        <v>1</v>
      </c>
      <c r="H29" s="86">
        <v>0</v>
      </c>
      <c r="I29" s="109">
        <v>0</v>
      </c>
      <c r="J29" s="109">
        <v>1</v>
      </c>
      <c r="K29" s="942">
        <f t="shared" si="2"/>
        <v>31</v>
      </c>
      <c r="L29" s="86">
        <v>1</v>
      </c>
      <c r="M29" s="86">
        <v>28</v>
      </c>
      <c r="N29" s="380">
        <v>2</v>
      </c>
      <c r="O29" s="942">
        <f t="shared" si="3"/>
        <v>3</v>
      </c>
      <c r="P29" s="86">
        <v>0</v>
      </c>
      <c r="Q29" s="86">
        <v>1</v>
      </c>
      <c r="R29" s="380">
        <v>2</v>
      </c>
    </row>
    <row r="30" spans="1:18" ht="24.95" customHeight="1" thickBot="1">
      <c r="A30" s="475"/>
      <c r="B30" s="613">
        <v>23</v>
      </c>
      <c r="C30" s="1127">
        <f t="shared" si="0"/>
        <v>23</v>
      </c>
      <c r="D30" s="80">
        <v>0</v>
      </c>
      <c r="E30" s="113">
        <v>23</v>
      </c>
      <c r="F30" s="113">
        <v>0</v>
      </c>
      <c r="G30" s="1127">
        <f t="shared" si="1"/>
        <v>0</v>
      </c>
      <c r="H30" s="80">
        <v>0</v>
      </c>
      <c r="I30" s="113">
        <v>0</v>
      </c>
      <c r="J30" s="113">
        <v>0</v>
      </c>
      <c r="K30" s="944">
        <f t="shared" si="2"/>
        <v>24</v>
      </c>
      <c r="L30" s="375">
        <v>0</v>
      </c>
      <c r="M30" s="375">
        <v>24</v>
      </c>
      <c r="N30" s="383">
        <v>0</v>
      </c>
      <c r="O30" s="944">
        <f t="shared" si="3"/>
        <v>5</v>
      </c>
      <c r="P30" s="375">
        <v>0</v>
      </c>
      <c r="Q30" s="375">
        <v>5</v>
      </c>
      <c r="R30" s="383">
        <v>0</v>
      </c>
    </row>
    <row r="31" spans="1:18" ht="24.95" customHeight="1">
      <c r="A31" s="1675" t="s">
        <v>392</v>
      </c>
      <c r="B31" s="1540"/>
      <c r="C31" s="1129">
        <f t="shared" ref="C31:R31" si="4">SUM(C13:C24)</f>
        <v>578</v>
      </c>
      <c r="D31" s="1130">
        <f t="shared" si="4"/>
        <v>10</v>
      </c>
      <c r="E31" s="1130">
        <f t="shared" si="4"/>
        <v>562</v>
      </c>
      <c r="F31" s="1131">
        <f t="shared" si="4"/>
        <v>6</v>
      </c>
      <c r="G31" s="1129">
        <f t="shared" si="4"/>
        <v>5</v>
      </c>
      <c r="H31" s="1130">
        <f t="shared" si="4"/>
        <v>0</v>
      </c>
      <c r="I31" s="1130">
        <f t="shared" si="4"/>
        <v>3</v>
      </c>
      <c r="J31" s="996">
        <f t="shared" si="4"/>
        <v>2</v>
      </c>
      <c r="K31" s="1165">
        <f t="shared" si="4"/>
        <v>619</v>
      </c>
      <c r="L31" s="1166">
        <f t="shared" si="4"/>
        <v>10</v>
      </c>
      <c r="M31" s="1166">
        <f t="shared" si="4"/>
        <v>602</v>
      </c>
      <c r="N31" s="997">
        <f t="shared" si="4"/>
        <v>7</v>
      </c>
      <c r="O31" s="1165">
        <f t="shared" si="4"/>
        <v>102</v>
      </c>
      <c r="P31" s="1166">
        <f t="shared" si="4"/>
        <v>2</v>
      </c>
      <c r="Q31" s="1166">
        <f t="shared" si="4"/>
        <v>96</v>
      </c>
      <c r="R31" s="997">
        <f t="shared" si="4"/>
        <v>4</v>
      </c>
    </row>
    <row r="32" spans="1:18" ht="24.95" customHeight="1">
      <c r="A32" s="1676" t="s">
        <v>393</v>
      </c>
      <c r="B32" s="1846"/>
      <c r="C32" s="1133">
        <f t="shared" ref="C32:R32" si="5">C33-C31</f>
        <v>360</v>
      </c>
      <c r="D32" s="1134">
        <f t="shared" si="5"/>
        <v>11</v>
      </c>
      <c r="E32" s="1134">
        <f t="shared" si="5"/>
        <v>345</v>
      </c>
      <c r="F32" s="1135">
        <f t="shared" si="5"/>
        <v>4</v>
      </c>
      <c r="G32" s="1133">
        <f t="shared" si="5"/>
        <v>5</v>
      </c>
      <c r="H32" s="1134">
        <f t="shared" si="5"/>
        <v>1</v>
      </c>
      <c r="I32" s="1134">
        <f t="shared" si="5"/>
        <v>3</v>
      </c>
      <c r="J32" s="926">
        <f t="shared" si="5"/>
        <v>1</v>
      </c>
      <c r="K32" s="1136">
        <f t="shared" si="5"/>
        <v>389</v>
      </c>
      <c r="L32" s="1134">
        <f t="shared" si="5"/>
        <v>10</v>
      </c>
      <c r="M32" s="1134">
        <f t="shared" si="5"/>
        <v>373</v>
      </c>
      <c r="N32" s="926">
        <f t="shared" si="5"/>
        <v>6</v>
      </c>
      <c r="O32" s="1136">
        <f t="shared" si="5"/>
        <v>67</v>
      </c>
      <c r="P32" s="1134">
        <f t="shared" si="5"/>
        <v>3</v>
      </c>
      <c r="Q32" s="1134">
        <f t="shared" si="5"/>
        <v>60</v>
      </c>
      <c r="R32" s="926">
        <f t="shared" si="5"/>
        <v>4</v>
      </c>
    </row>
    <row r="33" spans="1:18" ht="24.95" customHeight="1" thickBot="1">
      <c r="A33" s="1670" t="s">
        <v>394</v>
      </c>
      <c r="B33" s="1956"/>
      <c r="C33" s="1137">
        <f t="shared" ref="C33:R33" si="6">SUM(C7:C30)</f>
        <v>938</v>
      </c>
      <c r="D33" s="1138">
        <f t="shared" si="6"/>
        <v>21</v>
      </c>
      <c r="E33" s="1138">
        <f t="shared" si="6"/>
        <v>907</v>
      </c>
      <c r="F33" s="1139">
        <f t="shared" si="6"/>
        <v>10</v>
      </c>
      <c r="G33" s="1137">
        <f t="shared" si="6"/>
        <v>10</v>
      </c>
      <c r="H33" s="1138">
        <f t="shared" si="6"/>
        <v>1</v>
      </c>
      <c r="I33" s="1138">
        <f t="shared" si="6"/>
        <v>6</v>
      </c>
      <c r="J33" s="929">
        <f t="shared" si="6"/>
        <v>3</v>
      </c>
      <c r="K33" s="1140">
        <f t="shared" si="6"/>
        <v>1008</v>
      </c>
      <c r="L33" s="1138">
        <f t="shared" si="6"/>
        <v>20</v>
      </c>
      <c r="M33" s="1138">
        <f t="shared" si="6"/>
        <v>975</v>
      </c>
      <c r="N33" s="929">
        <f t="shared" si="6"/>
        <v>13</v>
      </c>
      <c r="O33" s="1140">
        <f t="shared" si="6"/>
        <v>169</v>
      </c>
      <c r="P33" s="1138">
        <f t="shared" si="6"/>
        <v>5</v>
      </c>
      <c r="Q33" s="1138">
        <f t="shared" si="6"/>
        <v>156</v>
      </c>
      <c r="R33" s="929">
        <f t="shared" si="6"/>
        <v>8</v>
      </c>
    </row>
    <row r="34" spans="1:18" ht="24.95" customHeight="1">
      <c r="A34" s="2" t="s">
        <v>830</v>
      </c>
    </row>
  </sheetData>
  <mergeCells count="12">
    <mergeCell ref="A33:B33"/>
    <mergeCell ref="B3:B4"/>
    <mergeCell ref="C3:E4"/>
    <mergeCell ref="F3:F4"/>
    <mergeCell ref="G3:I4"/>
    <mergeCell ref="N3:N4"/>
    <mergeCell ref="O3:Q3"/>
    <mergeCell ref="O4:Q4"/>
    <mergeCell ref="A31:B31"/>
    <mergeCell ref="A32:B32"/>
    <mergeCell ref="J3:J4"/>
    <mergeCell ref="K3:M4"/>
  </mergeCells>
  <phoneticPr fontId="3"/>
  <pageMargins left="0.78740157480314965" right="0.59055118110236227" top="0.98425196850393704" bottom="0.98425196850393704" header="0.51181102362204722" footer="0.51181102362204722"/>
  <pageSetup paperSize="9" scale="70" orientation="portrait" r:id="rId1"/>
  <headerFooter alignWithMargins="0">
    <oddFooter>&amp;C－40－</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view="pageBreakPreview" topLeftCell="B1" zoomScaleNormal="100" zoomScaleSheetLayoutView="100" workbookViewId="0">
      <selection activeCell="M14" sqref="M14"/>
    </sheetView>
  </sheetViews>
  <sheetFormatPr defaultRowHeight="14.25"/>
  <cols>
    <col min="1" max="1" width="1.625" style="2" customWidth="1"/>
    <col min="2" max="2" width="13.125" style="2" customWidth="1"/>
    <col min="3" max="3" width="5.875" style="2" customWidth="1"/>
    <col min="4" max="15" width="5.625" style="2" customWidth="1"/>
    <col min="16" max="16384" width="9" style="2"/>
  </cols>
  <sheetData>
    <row r="1" spans="1:15" ht="15">
      <c r="A1" s="597" t="s">
        <v>832</v>
      </c>
      <c r="B1" s="597"/>
      <c r="C1" s="690"/>
      <c r="D1" s="690"/>
      <c r="E1" s="690"/>
      <c r="F1" s="690"/>
      <c r="G1" s="690"/>
      <c r="H1" s="690"/>
      <c r="I1" s="690"/>
      <c r="J1" s="690"/>
      <c r="K1" s="690"/>
    </row>
    <row r="2" spans="1:15" ht="15">
      <c r="A2" s="597"/>
      <c r="B2" s="597"/>
      <c r="C2" s="690"/>
      <c r="D2" s="690"/>
      <c r="E2" s="690"/>
      <c r="F2" s="690"/>
      <c r="G2" s="690"/>
      <c r="H2" s="690"/>
      <c r="I2" s="690"/>
      <c r="J2" s="690"/>
      <c r="K2" s="690"/>
    </row>
    <row r="3" spans="1:15" ht="15" thickBot="1">
      <c r="A3" s="2" t="s">
        <v>833</v>
      </c>
      <c r="C3" s="690"/>
      <c r="D3" s="690"/>
      <c r="E3" s="690"/>
      <c r="F3" s="690"/>
      <c r="G3" s="690"/>
      <c r="H3" s="690"/>
      <c r="I3" s="690"/>
      <c r="J3" s="690"/>
      <c r="K3" s="690"/>
    </row>
    <row r="4" spans="1:15">
      <c r="A4" s="1790" t="s">
        <v>356</v>
      </c>
      <c r="B4" s="1782"/>
      <c r="C4" s="2040" t="s">
        <v>834</v>
      </c>
      <c r="D4" s="2036" t="s">
        <v>550</v>
      </c>
      <c r="E4" s="2036" t="s">
        <v>551</v>
      </c>
      <c r="F4" s="2036" t="s">
        <v>552</v>
      </c>
      <c r="G4" s="2036" t="s">
        <v>553</v>
      </c>
      <c r="H4" s="2036" t="s">
        <v>554</v>
      </c>
      <c r="I4" s="2036" t="s">
        <v>555</v>
      </c>
      <c r="J4" s="2036" t="s">
        <v>556</v>
      </c>
      <c r="K4" s="2036" t="s">
        <v>557</v>
      </c>
      <c r="L4" s="2036" t="s">
        <v>835</v>
      </c>
      <c r="M4" s="2036" t="s">
        <v>836</v>
      </c>
      <c r="N4" s="2036" t="s">
        <v>837</v>
      </c>
      <c r="O4" s="2038" t="s">
        <v>838</v>
      </c>
    </row>
    <row r="5" spans="1:15" ht="15" thickBot="1">
      <c r="A5" s="1167" t="s">
        <v>362</v>
      </c>
      <c r="B5" s="566"/>
      <c r="C5" s="2041"/>
      <c r="D5" s="2037"/>
      <c r="E5" s="2037"/>
      <c r="F5" s="2037"/>
      <c r="G5" s="2037"/>
      <c r="H5" s="2037"/>
      <c r="I5" s="2037"/>
      <c r="J5" s="2037"/>
      <c r="K5" s="2037"/>
      <c r="L5" s="2037"/>
      <c r="M5" s="2037"/>
      <c r="N5" s="2037"/>
      <c r="O5" s="2039"/>
    </row>
    <row r="6" spans="1:15" ht="27" customHeight="1">
      <c r="A6" s="1646" t="s">
        <v>689</v>
      </c>
      <c r="B6" s="1417"/>
      <c r="C6" s="1168">
        <v>3356</v>
      </c>
      <c r="D6" s="1169">
        <v>1476</v>
      </c>
      <c r="E6" s="1170">
        <v>1354</v>
      </c>
      <c r="F6" s="1171">
        <v>1260</v>
      </c>
      <c r="G6" s="1169">
        <v>1070</v>
      </c>
      <c r="H6" s="1172">
        <v>997</v>
      </c>
      <c r="I6" s="1173">
        <v>941</v>
      </c>
      <c r="J6" s="1173">
        <v>822</v>
      </c>
      <c r="K6" s="1173">
        <v>749</v>
      </c>
      <c r="L6" s="1173">
        <v>635</v>
      </c>
      <c r="M6" s="1173">
        <v>578</v>
      </c>
      <c r="N6" s="1173">
        <v>569</v>
      </c>
      <c r="O6" s="1174">
        <v>551</v>
      </c>
    </row>
    <row r="7" spans="1:15" ht="25.5" customHeight="1">
      <c r="A7" s="1630" t="s">
        <v>561</v>
      </c>
      <c r="B7" s="1433"/>
      <c r="C7" s="1007">
        <v>18</v>
      </c>
      <c r="D7" s="1008">
        <v>6</v>
      </c>
      <c r="E7" s="1009">
        <v>5</v>
      </c>
      <c r="F7" s="1008">
        <v>6</v>
      </c>
      <c r="G7" s="1010">
        <v>1</v>
      </c>
      <c r="H7" s="1011">
        <v>3</v>
      </c>
      <c r="I7" s="1012">
        <v>3</v>
      </c>
      <c r="J7" s="1012">
        <v>1</v>
      </c>
      <c r="K7" s="1012">
        <v>6</v>
      </c>
      <c r="L7" s="1012">
        <v>0</v>
      </c>
      <c r="M7" s="1012">
        <v>2</v>
      </c>
      <c r="N7" s="1012">
        <v>2</v>
      </c>
      <c r="O7" s="1175">
        <v>4</v>
      </c>
    </row>
    <row r="8" spans="1:15" ht="26.25" customHeight="1">
      <c r="A8" s="1788" t="s">
        <v>562</v>
      </c>
      <c r="B8" s="1433"/>
      <c r="C8" s="1176">
        <v>3522</v>
      </c>
      <c r="D8" s="1177">
        <v>1560</v>
      </c>
      <c r="E8" s="1178">
        <v>1463</v>
      </c>
      <c r="F8" s="1177">
        <v>1356</v>
      </c>
      <c r="G8" s="1178">
        <v>1132</v>
      </c>
      <c r="H8" s="1179">
        <v>1049</v>
      </c>
      <c r="I8" s="1180">
        <v>995</v>
      </c>
      <c r="J8" s="1180">
        <v>875</v>
      </c>
      <c r="K8" s="1180">
        <v>799</v>
      </c>
      <c r="L8" s="1180">
        <v>683</v>
      </c>
      <c r="M8" s="1180">
        <v>631</v>
      </c>
      <c r="N8" s="1180">
        <v>607</v>
      </c>
      <c r="O8" s="1175">
        <v>601</v>
      </c>
    </row>
    <row r="9" spans="1:15" ht="26.25" customHeight="1">
      <c r="A9" s="1016"/>
      <c r="B9" s="1345" t="s">
        <v>928</v>
      </c>
      <c r="C9" s="1181" t="s">
        <v>15</v>
      </c>
      <c r="D9" s="1182" t="s">
        <v>634</v>
      </c>
      <c r="E9" s="1182" t="s">
        <v>634</v>
      </c>
      <c r="F9" s="1182" t="s">
        <v>634</v>
      </c>
      <c r="G9" s="1182" t="s">
        <v>634</v>
      </c>
      <c r="H9" s="1183" t="s">
        <v>634</v>
      </c>
      <c r="I9" s="1184" t="s">
        <v>634</v>
      </c>
      <c r="J9" s="1184" t="s">
        <v>634</v>
      </c>
      <c r="K9" s="1180">
        <v>111</v>
      </c>
      <c r="L9" s="1180">
        <v>100</v>
      </c>
      <c r="M9" s="1180">
        <v>102</v>
      </c>
      <c r="N9" s="1180">
        <v>87</v>
      </c>
      <c r="O9" s="1175">
        <v>108</v>
      </c>
    </row>
    <row r="10" spans="1:15" ht="26.25" customHeight="1">
      <c r="A10" s="1630" t="s">
        <v>565</v>
      </c>
      <c r="B10" s="1433"/>
      <c r="C10" s="1020">
        <v>222</v>
      </c>
      <c r="D10" s="1019">
        <v>65</v>
      </c>
      <c r="E10" s="1021">
        <v>51</v>
      </c>
      <c r="F10" s="1019">
        <v>49</v>
      </c>
      <c r="G10" s="1022">
        <v>51</v>
      </c>
      <c r="H10" s="1012">
        <v>51</v>
      </c>
      <c r="I10" s="1012">
        <v>49</v>
      </c>
      <c r="J10" s="1012">
        <v>44</v>
      </c>
      <c r="K10" s="1012">
        <v>44</v>
      </c>
      <c r="L10" s="1012">
        <v>34</v>
      </c>
      <c r="M10" s="1012">
        <v>37</v>
      </c>
      <c r="N10" s="1012">
        <v>43</v>
      </c>
      <c r="O10" s="318">
        <v>40</v>
      </c>
    </row>
    <row r="11" spans="1:15" ht="15" thickBot="1">
      <c r="A11" s="1775" t="s">
        <v>566</v>
      </c>
      <c r="B11" s="1823"/>
      <c r="C11" s="1185">
        <f t="shared" ref="C11:O11" si="0">C7/C10*100</f>
        <v>8.1081081081081088</v>
      </c>
      <c r="D11" s="1186">
        <f t="shared" si="0"/>
        <v>9.2307692307692317</v>
      </c>
      <c r="E11" s="1186">
        <f t="shared" si="0"/>
        <v>9.8039215686274517</v>
      </c>
      <c r="F11" s="1186">
        <f t="shared" si="0"/>
        <v>12.244897959183673</v>
      </c>
      <c r="G11" s="1186">
        <f t="shared" si="0"/>
        <v>1.9607843137254901</v>
      </c>
      <c r="H11" s="1186">
        <f t="shared" si="0"/>
        <v>5.8823529411764701</v>
      </c>
      <c r="I11" s="1187">
        <f t="shared" si="0"/>
        <v>6.1224489795918364</v>
      </c>
      <c r="J11" s="1188">
        <f t="shared" si="0"/>
        <v>2.2727272727272729</v>
      </c>
      <c r="K11" s="1188">
        <f t="shared" si="0"/>
        <v>13.636363636363635</v>
      </c>
      <c r="L11" s="1188">
        <f t="shared" si="0"/>
        <v>0</v>
      </c>
      <c r="M11" s="1188">
        <f t="shared" si="0"/>
        <v>5.4054054054054053</v>
      </c>
      <c r="N11" s="1188">
        <f t="shared" si="0"/>
        <v>4.6511627906976747</v>
      </c>
      <c r="O11" s="1189">
        <f t="shared" si="0"/>
        <v>10</v>
      </c>
    </row>
    <row r="12" spans="1:15">
      <c r="A12" s="2" t="s">
        <v>839</v>
      </c>
      <c r="C12" s="1150"/>
      <c r="D12" s="1150"/>
      <c r="E12" s="1150"/>
      <c r="F12" s="1150"/>
      <c r="G12" s="1150"/>
      <c r="H12" s="1150"/>
      <c r="I12" s="1150"/>
      <c r="J12" s="1150"/>
      <c r="K12" s="1150"/>
      <c r="L12" s="1150"/>
      <c r="M12" s="1150"/>
      <c r="N12" s="1150"/>
    </row>
    <row r="13" spans="1:15">
      <c r="A13" s="2" t="s">
        <v>840</v>
      </c>
      <c r="C13" s="1150"/>
      <c r="D13" s="1150"/>
      <c r="E13" s="1150"/>
      <c r="F13" s="1150"/>
      <c r="G13" s="1150"/>
      <c r="H13" s="1150"/>
      <c r="I13" s="1150"/>
      <c r="J13" s="1150"/>
      <c r="K13" s="1150"/>
      <c r="L13" s="1150"/>
      <c r="M13" s="1150"/>
      <c r="N13" s="1150"/>
    </row>
    <row r="14" spans="1:15" ht="17.25" customHeight="1"/>
    <row r="15" spans="1:15" ht="15" thickBot="1">
      <c r="A15" s="2" t="s">
        <v>841</v>
      </c>
    </row>
    <row r="16" spans="1:15" ht="18.75" customHeight="1" thickBot="1">
      <c r="A16" s="2034" t="s">
        <v>777</v>
      </c>
      <c r="B16" s="2035"/>
      <c r="C16" s="993">
        <v>1</v>
      </c>
      <c r="D16" s="994">
        <v>2</v>
      </c>
      <c r="E16" s="994">
        <v>3</v>
      </c>
      <c r="F16" s="994">
        <v>4</v>
      </c>
      <c r="G16" s="994">
        <v>5</v>
      </c>
      <c r="H16" s="994">
        <v>6</v>
      </c>
      <c r="I16" s="994">
        <v>7</v>
      </c>
      <c r="J16" s="994">
        <v>8</v>
      </c>
      <c r="K16" s="994">
        <v>9</v>
      </c>
      <c r="L16" s="994">
        <v>10</v>
      </c>
      <c r="M16" s="994">
        <v>11</v>
      </c>
      <c r="N16" s="994">
        <v>12</v>
      </c>
      <c r="O16" s="995" t="s">
        <v>997</v>
      </c>
    </row>
    <row r="17" spans="1:15" ht="18.75" customHeight="1">
      <c r="A17" s="1646" t="s">
        <v>741</v>
      </c>
      <c r="B17" s="1417"/>
      <c r="C17" s="574">
        <v>45</v>
      </c>
      <c r="D17" s="463">
        <v>27</v>
      </c>
      <c r="E17" s="463">
        <v>56</v>
      </c>
      <c r="F17" s="463">
        <v>25</v>
      </c>
      <c r="G17" s="463">
        <v>48</v>
      </c>
      <c r="H17" s="463">
        <v>48</v>
      </c>
      <c r="I17" s="463">
        <v>49</v>
      </c>
      <c r="J17" s="463">
        <v>49</v>
      </c>
      <c r="K17" s="463">
        <v>40</v>
      </c>
      <c r="L17" s="463">
        <v>53</v>
      </c>
      <c r="M17" s="463">
        <v>48</v>
      </c>
      <c r="N17" s="463">
        <v>63</v>
      </c>
      <c r="O17" s="328">
        <f>SUM(C17:N17)</f>
        <v>551</v>
      </c>
    </row>
    <row r="18" spans="1:15" ht="18.75" customHeight="1">
      <c r="A18" s="1630" t="s">
        <v>842</v>
      </c>
      <c r="B18" s="1433"/>
      <c r="C18" s="577">
        <v>0</v>
      </c>
      <c r="D18" s="465">
        <v>0</v>
      </c>
      <c r="E18" s="465">
        <v>0</v>
      </c>
      <c r="F18" s="465">
        <v>0</v>
      </c>
      <c r="G18" s="465">
        <v>2</v>
      </c>
      <c r="H18" s="465">
        <v>1</v>
      </c>
      <c r="I18" s="465">
        <v>0</v>
      </c>
      <c r="J18" s="465">
        <v>0</v>
      </c>
      <c r="K18" s="465">
        <v>0</v>
      </c>
      <c r="L18" s="465">
        <v>0</v>
      </c>
      <c r="M18" s="465">
        <v>1</v>
      </c>
      <c r="N18" s="465">
        <v>0</v>
      </c>
      <c r="O18" s="1190">
        <f>SUM(C18:N18)</f>
        <v>4</v>
      </c>
    </row>
    <row r="19" spans="1:15" ht="18.75" customHeight="1">
      <c r="A19" s="1788" t="s">
        <v>562</v>
      </c>
      <c r="B19" s="1433"/>
      <c r="C19" s="1191">
        <v>51</v>
      </c>
      <c r="D19" s="1032">
        <v>29</v>
      </c>
      <c r="E19" s="1032">
        <v>60</v>
      </c>
      <c r="F19" s="1032">
        <v>31</v>
      </c>
      <c r="G19" s="1032">
        <v>51</v>
      </c>
      <c r="H19" s="1032">
        <v>57</v>
      </c>
      <c r="I19" s="1032">
        <v>50</v>
      </c>
      <c r="J19" s="1032">
        <v>50</v>
      </c>
      <c r="K19" s="1032">
        <v>42</v>
      </c>
      <c r="L19" s="1032">
        <v>56</v>
      </c>
      <c r="M19" s="1032">
        <v>56</v>
      </c>
      <c r="N19" s="1032">
        <v>68</v>
      </c>
      <c r="O19" s="1192">
        <f>SUM(C19:N19)</f>
        <v>601</v>
      </c>
    </row>
    <row r="20" spans="1:15" ht="18.75" customHeight="1" thickBot="1">
      <c r="A20" s="1193"/>
      <c r="B20" s="1346" t="s">
        <v>928</v>
      </c>
      <c r="C20" s="582">
        <v>9</v>
      </c>
      <c r="D20" s="467">
        <v>6</v>
      </c>
      <c r="E20" s="467">
        <v>9</v>
      </c>
      <c r="F20" s="467">
        <v>8</v>
      </c>
      <c r="G20" s="467">
        <v>7</v>
      </c>
      <c r="H20" s="467">
        <v>7</v>
      </c>
      <c r="I20" s="467">
        <v>5</v>
      </c>
      <c r="J20" s="467">
        <v>8</v>
      </c>
      <c r="K20" s="467">
        <v>9</v>
      </c>
      <c r="L20" s="467">
        <v>13</v>
      </c>
      <c r="M20" s="467">
        <v>14</v>
      </c>
      <c r="N20" s="467">
        <v>13</v>
      </c>
      <c r="O20" s="331">
        <f>SUM(C20:N20)</f>
        <v>108</v>
      </c>
    </row>
    <row r="21" spans="1:15" ht="18.75" customHeight="1">
      <c r="A21" s="1162" t="s">
        <v>843</v>
      </c>
      <c r="B21" s="1162"/>
    </row>
    <row r="23" spans="1:15" ht="35.25" customHeight="1"/>
    <row r="49" ht="39.75" customHeight="1"/>
  </sheetData>
  <mergeCells count="23">
    <mergeCell ref="A10:B10"/>
    <mergeCell ref="H4:H5"/>
    <mergeCell ref="I4:I5"/>
    <mergeCell ref="J4:J5"/>
    <mergeCell ref="K4:K5"/>
    <mergeCell ref="A4:B4"/>
    <mergeCell ref="C4:C5"/>
    <mergeCell ref="D4:D5"/>
    <mergeCell ref="E4:E5"/>
    <mergeCell ref="F4:F5"/>
    <mergeCell ref="G4:G5"/>
    <mergeCell ref="N4:N5"/>
    <mergeCell ref="O4:O5"/>
    <mergeCell ref="A6:B6"/>
    <mergeCell ref="A7:B7"/>
    <mergeCell ref="A8:B8"/>
    <mergeCell ref="L4:L5"/>
    <mergeCell ref="M4:M5"/>
    <mergeCell ref="A11:B11"/>
    <mergeCell ref="A16:B16"/>
    <mergeCell ref="A17:B17"/>
    <mergeCell ref="A18:B18"/>
    <mergeCell ref="A19:B19"/>
  </mergeCells>
  <phoneticPr fontId="3"/>
  <printOptions horizontalCentered="1"/>
  <pageMargins left="0.78740157480314965" right="0.59055118110236227" top="0.98425196850393704" bottom="0.98425196850393704" header="0.51181102362204722" footer="0.51181102362204722"/>
  <pageSetup paperSize="9" scale="92" orientation="portrait" r:id="rId1"/>
  <headerFooter alignWithMargins="0">
    <oddFooter>&amp;C－41－</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zoomScale="115" zoomScaleNormal="100" zoomScaleSheetLayoutView="115" workbookViewId="0">
      <selection activeCell="A5" sqref="A5"/>
    </sheetView>
  </sheetViews>
  <sheetFormatPr defaultRowHeight="14.25"/>
  <cols>
    <col min="1" max="2" width="9" style="2"/>
    <col min="3" max="3" width="16.875" style="2" customWidth="1"/>
    <col min="4" max="7" width="13.125" style="2" customWidth="1"/>
    <col min="8" max="16384" width="9" style="2"/>
  </cols>
  <sheetData>
    <row r="1" spans="1:13" ht="15.75" thickBot="1">
      <c r="A1" s="70" t="s">
        <v>844</v>
      </c>
    </row>
    <row r="2" spans="1:13" ht="7.5" customHeight="1">
      <c r="A2" s="562"/>
      <c r="B2" s="755"/>
      <c r="C2" s="1682" t="s">
        <v>362</v>
      </c>
      <c r="D2" s="1542" t="s">
        <v>689</v>
      </c>
      <c r="E2" s="1544" t="s">
        <v>725</v>
      </c>
      <c r="F2" s="1633" t="s">
        <v>726</v>
      </c>
      <c r="G2" s="1194"/>
    </row>
    <row r="3" spans="1:13">
      <c r="A3" s="563"/>
      <c r="B3" s="492"/>
      <c r="C3" s="1686"/>
      <c r="D3" s="1448"/>
      <c r="E3" s="1699"/>
      <c r="F3" s="1634"/>
      <c r="G3" s="2021" t="s">
        <v>926</v>
      </c>
    </row>
    <row r="4" spans="1:13" ht="15" thickBot="1">
      <c r="A4" s="566" t="s">
        <v>826</v>
      </c>
      <c r="B4" s="571"/>
      <c r="C4" s="1144"/>
      <c r="D4" s="1899"/>
      <c r="E4" s="1900"/>
      <c r="F4" s="2020"/>
      <c r="G4" s="2022"/>
    </row>
    <row r="5" spans="1:13" ht="24.95" customHeight="1" thickBot="1">
      <c r="A5" s="1195" t="s">
        <v>845</v>
      </c>
      <c r="B5" s="1196"/>
      <c r="C5" s="1196"/>
      <c r="D5" s="1197">
        <f>SUM(D6:D26)</f>
        <v>551</v>
      </c>
      <c r="E5" s="250">
        <f>SUM(E6:E26)</f>
        <v>4</v>
      </c>
      <c r="F5" s="1198">
        <f>SUM(F6:F26)</f>
        <v>601</v>
      </c>
      <c r="G5" s="253">
        <f>SUM(G6:G26)</f>
        <v>108</v>
      </c>
    </row>
    <row r="6" spans="1:13" ht="24.95" customHeight="1">
      <c r="A6" s="1199"/>
      <c r="B6" s="1200" t="s">
        <v>846</v>
      </c>
      <c r="C6" s="1201"/>
      <c r="D6" s="317">
        <v>2</v>
      </c>
      <c r="E6" s="327">
        <v>0</v>
      </c>
      <c r="F6" s="1202">
        <v>2</v>
      </c>
      <c r="G6" s="328">
        <v>0</v>
      </c>
    </row>
    <row r="7" spans="1:13" ht="24.95" customHeight="1">
      <c r="A7" s="1203" t="s">
        <v>847</v>
      </c>
      <c r="B7" s="1204" t="s">
        <v>848</v>
      </c>
      <c r="C7" s="1205"/>
      <c r="D7" s="319">
        <v>3</v>
      </c>
      <c r="E7" s="329">
        <v>0</v>
      </c>
      <c r="F7" s="1206">
        <v>3</v>
      </c>
      <c r="G7" s="248">
        <v>1</v>
      </c>
    </row>
    <row r="8" spans="1:13" ht="24.95" customHeight="1">
      <c r="A8" s="1203"/>
      <c r="B8" s="2023" t="s">
        <v>444</v>
      </c>
      <c r="C8" s="1207" t="s">
        <v>849</v>
      </c>
      <c r="D8" s="1208">
        <v>9</v>
      </c>
      <c r="E8" s="1209">
        <v>0</v>
      </c>
      <c r="F8" s="1210">
        <v>9</v>
      </c>
      <c r="G8" s="1211">
        <v>4</v>
      </c>
      <c r="H8" s="1150"/>
      <c r="I8" s="1150"/>
      <c r="J8" s="1150"/>
      <c r="K8" s="1150"/>
      <c r="L8" s="1150"/>
      <c r="M8" s="1150"/>
    </row>
    <row r="9" spans="1:13" ht="24.95" customHeight="1">
      <c r="A9" s="1203" t="s">
        <v>850</v>
      </c>
      <c r="B9" s="2024"/>
      <c r="C9" s="1207" t="s">
        <v>851</v>
      </c>
      <c r="D9" s="1208">
        <v>0</v>
      </c>
      <c r="E9" s="1209">
        <v>0</v>
      </c>
      <c r="F9" s="1210">
        <v>0</v>
      </c>
      <c r="G9" s="1211">
        <v>0</v>
      </c>
      <c r="H9" s="1150"/>
      <c r="I9" s="1150"/>
      <c r="J9" s="1150"/>
      <c r="K9" s="1150"/>
      <c r="L9" s="1150"/>
      <c r="M9" s="1150"/>
    </row>
    <row r="10" spans="1:13" ht="24.95" customHeight="1">
      <c r="A10" s="1203"/>
      <c r="B10" s="2024"/>
      <c r="C10" s="1207" t="s">
        <v>852</v>
      </c>
      <c r="D10" s="1208">
        <v>0</v>
      </c>
      <c r="E10" s="1209">
        <v>0</v>
      </c>
      <c r="F10" s="1210">
        <v>0</v>
      </c>
      <c r="G10" s="1211">
        <v>0</v>
      </c>
      <c r="H10" s="1150"/>
      <c r="I10" s="1150"/>
      <c r="J10" s="1150"/>
      <c r="K10" s="1150"/>
      <c r="L10" s="1150"/>
      <c r="M10" s="1150"/>
    </row>
    <row r="11" spans="1:13" ht="24.95" customHeight="1">
      <c r="A11" s="1203" t="s">
        <v>853</v>
      </c>
      <c r="B11" s="2025"/>
      <c r="C11" s="1207" t="s">
        <v>854</v>
      </c>
      <c r="D11" s="1208">
        <v>3</v>
      </c>
      <c r="E11" s="1209">
        <v>0</v>
      </c>
      <c r="F11" s="1210">
        <v>3</v>
      </c>
      <c r="G11" s="1211">
        <v>1</v>
      </c>
      <c r="H11" s="1150"/>
      <c r="I11" s="1150"/>
      <c r="J11" s="1150"/>
      <c r="K11" s="1150"/>
      <c r="L11" s="1150"/>
      <c r="M11" s="1150"/>
    </row>
    <row r="12" spans="1:13" ht="24.95" customHeight="1">
      <c r="A12" s="1203"/>
      <c r="B12" s="1207" t="s">
        <v>855</v>
      </c>
      <c r="C12" s="1212"/>
      <c r="D12" s="1208">
        <v>0</v>
      </c>
      <c r="E12" s="1209">
        <v>0</v>
      </c>
      <c r="F12" s="1210">
        <v>0</v>
      </c>
      <c r="G12" s="1211">
        <v>0</v>
      </c>
      <c r="H12" s="1150"/>
      <c r="I12" s="1150"/>
      <c r="J12" s="1150"/>
      <c r="K12" s="1150"/>
      <c r="L12" s="1150"/>
      <c r="M12" s="1150"/>
    </row>
    <row r="13" spans="1:13" ht="24.95" customHeight="1">
      <c r="A13" s="1203" t="s">
        <v>856</v>
      </c>
      <c r="B13" s="1204" t="s">
        <v>857</v>
      </c>
      <c r="C13" s="1205"/>
      <c r="D13" s="319">
        <v>0</v>
      </c>
      <c r="E13" s="329">
        <v>0</v>
      </c>
      <c r="F13" s="1206">
        <v>0</v>
      </c>
      <c r="G13" s="248">
        <v>0</v>
      </c>
    </row>
    <row r="14" spans="1:13" ht="24.95" customHeight="1">
      <c r="A14" s="1203"/>
      <c r="B14" s="1204" t="s">
        <v>858</v>
      </c>
      <c r="C14" s="1205"/>
      <c r="D14" s="319">
        <v>1</v>
      </c>
      <c r="E14" s="329">
        <v>0</v>
      </c>
      <c r="F14" s="1206">
        <v>1</v>
      </c>
      <c r="G14" s="248">
        <v>0</v>
      </c>
    </row>
    <row r="15" spans="1:13" ht="24.95" customHeight="1" thickBot="1">
      <c r="A15" s="1203"/>
      <c r="B15" s="1213" t="s">
        <v>854</v>
      </c>
      <c r="C15" s="1214"/>
      <c r="D15" s="326">
        <v>2</v>
      </c>
      <c r="E15" s="330">
        <v>0</v>
      </c>
      <c r="F15" s="1215">
        <v>3</v>
      </c>
      <c r="G15" s="331">
        <v>0</v>
      </c>
    </row>
    <row r="16" spans="1:13" ht="24.95" customHeight="1">
      <c r="A16" s="1199"/>
      <c r="B16" s="1200" t="s">
        <v>859</v>
      </c>
      <c r="C16" s="1201"/>
      <c r="D16" s="317">
        <v>4</v>
      </c>
      <c r="E16" s="327">
        <v>0</v>
      </c>
      <c r="F16" s="1202">
        <v>4</v>
      </c>
      <c r="G16" s="328">
        <v>0</v>
      </c>
    </row>
    <row r="17" spans="1:7" ht="24.95" customHeight="1">
      <c r="A17" s="1216" t="s">
        <v>853</v>
      </c>
      <c r="B17" s="1698" t="s">
        <v>453</v>
      </c>
      <c r="C17" s="1204" t="s">
        <v>860</v>
      </c>
      <c r="D17" s="319">
        <v>10</v>
      </c>
      <c r="E17" s="329">
        <v>1</v>
      </c>
      <c r="F17" s="1206">
        <v>10</v>
      </c>
      <c r="G17" s="248">
        <v>0</v>
      </c>
    </row>
    <row r="18" spans="1:7" ht="24.95" customHeight="1">
      <c r="A18" s="1216" t="s">
        <v>861</v>
      </c>
      <c r="B18" s="1700"/>
      <c r="C18" s="1204" t="s">
        <v>854</v>
      </c>
      <c r="D18" s="319">
        <v>83</v>
      </c>
      <c r="E18" s="329">
        <v>1</v>
      </c>
      <c r="F18" s="1206">
        <v>101</v>
      </c>
      <c r="G18" s="248">
        <v>9</v>
      </c>
    </row>
    <row r="19" spans="1:7" ht="24.95" customHeight="1">
      <c r="A19" s="1216" t="s">
        <v>856</v>
      </c>
      <c r="B19" s="1204" t="s">
        <v>862</v>
      </c>
      <c r="C19" s="1205"/>
      <c r="D19" s="319">
        <v>174</v>
      </c>
      <c r="E19" s="329">
        <v>0</v>
      </c>
      <c r="F19" s="1206">
        <v>196</v>
      </c>
      <c r="G19" s="248">
        <v>48</v>
      </c>
    </row>
    <row r="20" spans="1:7" ht="24.95" customHeight="1">
      <c r="A20" s="1216"/>
      <c r="B20" s="1204" t="s">
        <v>863</v>
      </c>
      <c r="C20" s="1205"/>
      <c r="D20" s="319">
        <v>43</v>
      </c>
      <c r="E20" s="329">
        <v>0</v>
      </c>
      <c r="F20" s="1206">
        <v>43</v>
      </c>
      <c r="G20" s="248">
        <v>4</v>
      </c>
    </row>
    <row r="21" spans="1:7" ht="24.95" customHeight="1">
      <c r="A21" s="1216" t="s">
        <v>864</v>
      </c>
      <c r="B21" s="1204" t="s">
        <v>865</v>
      </c>
      <c r="C21" s="1205"/>
      <c r="D21" s="319">
        <v>3</v>
      </c>
      <c r="E21" s="329">
        <v>0</v>
      </c>
      <c r="F21" s="1206">
        <v>4</v>
      </c>
      <c r="G21" s="248">
        <v>0</v>
      </c>
    </row>
    <row r="22" spans="1:7" ht="24.95" customHeight="1">
      <c r="A22" s="1216" t="s">
        <v>861</v>
      </c>
      <c r="B22" s="1204" t="s">
        <v>866</v>
      </c>
      <c r="C22" s="1205"/>
      <c r="D22" s="319">
        <v>52</v>
      </c>
      <c r="E22" s="329">
        <v>0</v>
      </c>
      <c r="F22" s="1206">
        <v>52</v>
      </c>
      <c r="G22" s="248">
        <v>8</v>
      </c>
    </row>
    <row r="23" spans="1:7" ht="24.95" customHeight="1">
      <c r="A23" s="1216" t="s">
        <v>867</v>
      </c>
      <c r="B23" s="1204" t="s">
        <v>868</v>
      </c>
      <c r="C23" s="1205"/>
      <c r="D23" s="319">
        <v>70</v>
      </c>
      <c r="E23" s="329">
        <v>0</v>
      </c>
      <c r="F23" s="1206">
        <v>77</v>
      </c>
      <c r="G23" s="248">
        <v>19</v>
      </c>
    </row>
    <row r="24" spans="1:7" ht="24.95" customHeight="1" thickBot="1">
      <c r="A24" s="1217"/>
      <c r="B24" s="1218" t="s">
        <v>854</v>
      </c>
      <c r="C24" s="1219"/>
      <c r="D24" s="326">
        <v>87</v>
      </c>
      <c r="E24" s="330">
        <v>0</v>
      </c>
      <c r="F24" s="1215">
        <v>90</v>
      </c>
      <c r="G24" s="331">
        <v>12</v>
      </c>
    </row>
    <row r="25" spans="1:7" ht="24.95" customHeight="1" thickBot="1">
      <c r="A25" s="1220" t="s">
        <v>869</v>
      </c>
      <c r="B25" s="1221"/>
      <c r="C25" s="1222"/>
      <c r="D25" s="1223">
        <v>5</v>
      </c>
      <c r="E25" s="1224">
        <v>2</v>
      </c>
      <c r="F25" s="1225">
        <v>3</v>
      </c>
      <c r="G25" s="1192">
        <v>2</v>
      </c>
    </row>
    <row r="26" spans="1:7" ht="24.95" customHeight="1" thickBot="1">
      <c r="A26" s="1195" t="s">
        <v>870</v>
      </c>
      <c r="B26" s="1196"/>
      <c r="C26" s="1196"/>
      <c r="D26" s="252">
        <v>0</v>
      </c>
      <c r="E26" s="250">
        <v>0</v>
      </c>
      <c r="F26" s="251">
        <v>0</v>
      </c>
      <c r="G26" s="253">
        <v>0</v>
      </c>
    </row>
    <row r="27" spans="1:7" ht="24.95" customHeight="1">
      <c r="A27" s="708" t="s">
        <v>871</v>
      </c>
    </row>
    <row r="28" spans="1:7" ht="24.95" customHeight="1"/>
  </sheetData>
  <mergeCells count="7">
    <mergeCell ref="G3:G4"/>
    <mergeCell ref="B8:B11"/>
    <mergeCell ref="B17:B18"/>
    <mergeCell ref="C2:C3"/>
    <mergeCell ref="D2:D4"/>
    <mergeCell ref="E2:E4"/>
    <mergeCell ref="F2:F4"/>
  </mergeCells>
  <phoneticPr fontId="3"/>
  <pageMargins left="0.78740157480314965" right="0.39370078740157483" top="0.98425196850393704" bottom="0.98425196850393704" header="0.51181102362204722" footer="0.51181102362204722"/>
  <pageSetup paperSize="9" scale="98" orientation="portrait" r:id="rId1"/>
  <headerFooter alignWithMargins="0">
    <oddFooter xml:space="preserve">&amp;C－42－
</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Normal="100" zoomScaleSheetLayoutView="100" workbookViewId="0">
      <selection activeCell="A31" sqref="A31"/>
    </sheetView>
  </sheetViews>
  <sheetFormatPr defaultRowHeight="14.25"/>
  <cols>
    <col min="1" max="1" width="8.25" style="2" customWidth="1"/>
    <col min="2" max="2" width="7.125" style="2" customWidth="1"/>
    <col min="3" max="5" width="7.625" style="2" customWidth="1"/>
    <col min="6" max="6" width="7.125" style="2" customWidth="1"/>
    <col min="7" max="9" width="7.625" style="2" customWidth="1"/>
    <col min="10" max="10" width="7.125" style="2" customWidth="1"/>
    <col min="11" max="17" width="7.625" style="2" customWidth="1"/>
    <col min="18" max="16384" width="9" style="2"/>
  </cols>
  <sheetData>
    <row r="1" spans="1:17" ht="15">
      <c r="A1" s="1958" t="s">
        <v>872</v>
      </c>
      <c r="B1" s="1958"/>
      <c r="C1" s="1958"/>
      <c r="D1" s="1958"/>
      <c r="E1" s="1958"/>
      <c r="F1" s="1958"/>
      <c r="G1" s="1958"/>
      <c r="H1" s="1958"/>
      <c r="I1" s="1958"/>
      <c r="J1" s="1958"/>
      <c r="K1" s="1958"/>
      <c r="L1" s="1958"/>
      <c r="M1" s="1958"/>
    </row>
    <row r="2" spans="1:17" ht="15.75" thickBot="1">
      <c r="A2" s="2042" t="s">
        <v>806</v>
      </c>
      <c r="B2" s="2042"/>
      <c r="C2" s="2042"/>
      <c r="D2" s="2042"/>
      <c r="E2" s="2042"/>
      <c r="F2" s="2042"/>
      <c r="G2" s="2042"/>
      <c r="H2" s="2042"/>
      <c r="I2" s="2042"/>
      <c r="J2" s="2042"/>
      <c r="K2" s="2042"/>
      <c r="L2" s="2042"/>
      <c r="M2" s="2042"/>
    </row>
    <row r="3" spans="1:17" ht="14.25" customHeight="1" thickBot="1">
      <c r="A3" s="1226" t="s">
        <v>873</v>
      </c>
      <c r="B3" s="2015" t="s">
        <v>813</v>
      </c>
      <c r="C3" s="1453"/>
      <c r="D3" s="1453"/>
      <c r="E3" s="1954" t="s">
        <v>428</v>
      </c>
      <c r="F3" s="2015" t="s">
        <v>814</v>
      </c>
      <c r="G3" s="1453"/>
      <c r="H3" s="1453"/>
      <c r="I3" s="1954" t="s">
        <v>431</v>
      </c>
      <c r="J3" s="2015" t="s">
        <v>815</v>
      </c>
      <c r="K3" s="1453"/>
      <c r="L3" s="1453"/>
      <c r="M3" s="1957" t="s">
        <v>431</v>
      </c>
      <c r="N3" s="2030"/>
      <c r="O3" s="2031"/>
      <c r="P3" s="2031"/>
      <c r="Q3" s="309"/>
    </row>
    <row r="4" spans="1:17" ht="14.25" customHeight="1">
      <c r="A4" s="1227"/>
      <c r="B4" s="1591"/>
      <c r="C4" s="1629"/>
      <c r="D4" s="1629"/>
      <c r="E4" s="1955"/>
      <c r="F4" s="1591"/>
      <c r="G4" s="1629"/>
      <c r="H4" s="1629"/>
      <c r="I4" s="1955"/>
      <c r="J4" s="1591"/>
      <c r="K4" s="1629"/>
      <c r="L4" s="1629"/>
      <c r="M4" s="1955"/>
      <c r="N4" s="2032" t="s">
        <v>927</v>
      </c>
      <c r="O4" s="2033"/>
      <c r="P4" s="2033"/>
      <c r="Q4" s="309" t="s">
        <v>431</v>
      </c>
    </row>
    <row r="5" spans="1:17">
      <c r="A5" s="1159"/>
      <c r="B5" s="1106" t="s">
        <v>816</v>
      </c>
      <c r="C5" s="1107"/>
      <c r="D5" s="1107"/>
      <c r="E5" s="1107"/>
      <c r="F5" s="1106" t="s">
        <v>816</v>
      </c>
      <c r="G5" s="1107"/>
      <c r="H5" s="1107"/>
      <c r="I5" s="1107"/>
      <c r="J5" s="1106" t="s">
        <v>816</v>
      </c>
      <c r="K5" s="1107"/>
      <c r="L5" s="1107"/>
      <c r="M5" s="1108"/>
      <c r="N5" s="1106" t="s">
        <v>816</v>
      </c>
      <c r="O5" s="1107"/>
      <c r="P5" s="1107"/>
      <c r="Q5" s="1108"/>
    </row>
    <row r="6" spans="1:17" ht="15" thickBot="1">
      <c r="A6" s="955" t="s">
        <v>829</v>
      </c>
      <c r="B6" s="938"/>
      <c r="C6" s="939" t="s">
        <v>807</v>
      </c>
      <c r="D6" s="940" t="s">
        <v>808</v>
      </c>
      <c r="E6" s="940" t="s">
        <v>377</v>
      </c>
      <c r="F6" s="938"/>
      <c r="G6" s="939" t="s">
        <v>807</v>
      </c>
      <c r="H6" s="940" t="s">
        <v>808</v>
      </c>
      <c r="I6" s="940" t="s">
        <v>377</v>
      </c>
      <c r="J6" s="938"/>
      <c r="K6" s="939" t="s">
        <v>807</v>
      </c>
      <c r="L6" s="940" t="s">
        <v>808</v>
      </c>
      <c r="M6" s="941" t="s">
        <v>377</v>
      </c>
      <c r="N6" s="938"/>
      <c r="O6" s="939" t="s">
        <v>807</v>
      </c>
      <c r="P6" s="940" t="s">
        <v>808</v>
      </c>
      <c r="Q6" s="941" t="s">
        <v>377</v>
      </c>
    </row>
    <row r="7" spans="1:17" ht="24.95" customHeight="1">
      <c r="A7" s="493" t="s">
        <v>185</v>
      </c>
      <c r="B7" s="714">
        <f t="shared" ref="B7:B30" si="0">SUM(C7:E7)</f>
        <v>41</v>
      </c>
      <c r="C7" s="74">
        <v>2</v>
      </c>
      <c r="D7" s="74">
        <v>39</v>
      </c>
      <c r="E7" s="694">
        <v>0</v>
      </c>
      <c r="F7" s="714">
        <f t="shared" ref="F7:F30" si="1">SUM(G7:I7)</f>
        <v>0</v>
      </c>
      <c r="G7" s="74">
        <v>0</v>
      </c>
      <c r="H7" s="74">
        <v>0</v>
      </c>
      <c r="I7" s="710">
        <v>0</v>
      </c>
      <c r="J7" s="883">
        <f t="shared" ref="J7:J30" si="2">SUM(K7:M7)</f>
        <v>42</v>
      </c>
      <c r="K7" s="74">
        <v>2</v>
      </c>
      <c r="L7" s="74">
        <v>40</v>
      </c>
      <c r="M7" s="710">
        <v>0</v>
      </c>
      <c r="N7" s="883">
        <f t="shared" ref="N7:N30" si="3">SUM(O7:Q7)</f>
        <v>8</v>
      </c>
      <c r="O7" s="74">
        <v>2</v>
      </c>
      <c r="P7" s="74">
        <v>6</v>
      </c>
      <c r="Q7" s="710">
        <v>0</v>
      </c>
    </row>
    <row r="8" spans="1:17" ht="24.95" customHeight="1">
      <c r="A8" s="494" t="s">
        <v>187</v>
      </c>
      <c r="B8" s="1160">
        <f t="shared" si="0"/>
        <v>21</v>
      </c>
      <c r="C8" s="1019">
        <v>2</v>
      </c>
      <c r="D8" s="1019">
        <v>19</v>
      </c>
      <c r="E8" s="1012">
        <v>0</v>
      </c>
      <c r="F8" s="1160">
        <f t="shared" si="1"/>
        <v>0</v>
      </c>
      <c r="G8" s="1019">
        <v>0</v>
      </c>
      <c r="H8" s="1019">
        <v>0</v>
      </c>
      <c r="I8" s="1149">
        <v>0</v>
      </c>
      <c r="J8" s="1161">
        <f t="shared" si="2"/>
        <v>21</v>
      </c>
      <c r="K8" s="1019">
        <v>2</v>
      </c>
      <c r="L8" s="1019">
        <v>19</v>
      </c>
      <c r="M8" s="1149">
        <v>0</v>
      </c>
      <c r="N8" s="1161">
        <f t="shared" si="3"/>
        <v>4</v>
      </c>
      <c r="O8" s="1019">
        <v>1</v>
      </c>
      <c r="P8" s="1019">
        <v>3</v>
      </c>
      <c r="Q8" s="1149">
        <v>0</v>
      </c>
    </row>
    <row r="9" spans="1:17" ht="24.95" customHeight="1">
      <c r="A9" s="494" t="s">
        <v>189</v>
      </c>
      <c r="B9" s="1160">
        <f t="shared" si="0"/>
        <v>17</v>
      </c>
      <c r="C9" s="1019">
        <v>0</v>
      </c>
      <c r="D9" s="1019">
        <v>17</v>
      </c>
      <c r="E9" s="1012">
        <v>0</v>
      </c>
      <c r="F9" s="1160">
        <f t="shared" si="1"/>
        <v>0</v>
      </c>
      <c r="G9" s="1019">
        <v>0</v>
      </c>
      <c r="H9" s="1019">
        <v>0</v>
      </c>
      <c r="I9" s="1149">
        <v>0</v>
      </c>
      <c r="J9" s="1161">
        <f t="shared" si="2"/>
        <v>18</v>
      </c>
      <c r="K9" s="1019">
        <v>0</v>
      </c>
      <c r="L9" s="1019">
        <v>18</v>
      </c>
      <c r="M9" s="1149">
        <v>0</v>
      </c>
      <c r="N9" s="1161">
        <f t="shared" si="3"/>
        <v>5</v>
      </c>
      <c r="O9" s="1019">
        <v>0</v>
      </c>
      <c r="P9" s="1019">
        <v>5</v>
      </c>
      <c r="Q9" s="1149">
        <v>0</v>
      </c>
    </row>
    <row r="10" spans="1:17" ht="24.95" customHeight="1">
      <c r="A10" s="494" t="s">
        <v>190</v>
      </c>
      <c r="B10" s="1160">
        <f t="shared" si="0"/>
        <v>9</v>
      </c>
      <c r="C10" s="1019">
        <v>0</v>
      </c>
      <c r="D10" s="1019">
        <v>9</v>
      </c>
      <c r="E10" s="1019">
        <v>0</v>
      </c>
      <c r="F10" s="1160">
        <f t="shared" si="1"/>
        <v>0</v>
      </c>
      <c r="G10" s="1019">
        <v>0</v>
      </c>
      <c r="H10" s="1019">
        <v>0</v>
      </c>
      <c r="I10" s="1149">
        <v>0</v>
      </c>
      <c r="J10" s="1161">
        <f t="shared" si="2"/>
        <v>10</v>
      </c>
      <c r="K10" s="1019">
        <v>0</v>
      </c>
      <c r="L10" s="1019">
        <v>10</v>
      </c>
      <c r="M10" s="1149">
        <v>0</v>
      </c>
      <c r="N10" s="1161">
        <f t="shared" si="3"/>
        <v>1</v>
      </c>
      <c r="O10" s="1019">
        <v>0</v>
      </c>
      <c r="P10" s="1019">
        <v>1</v>
      </c>
      <c r="Q10" s="1149">
        <v>0</v>
      </c>
    </row>
    <row r="11" spans="1:17" ht="24.95" customHeight="1">
      <c r="A11" s="494" t="s">
        <v>192</v>
      </c>
      <c r="B11" s="1160">
        <f t="shared" si="0"/>
        <v>40</v>
      </c>
      <c r="C11" s="1019">
        <v>1</v>
      </c>
      <c r="D11" s="1019">
        <v>38</v>
      </c>
      <c r="E11" s="1012">
        <v>1</v>
      </c>
      <c r="F11" s="1160">
        <f t="shared" si="1"/>
        <v>0</v>
      </c>
      <c r="G11" s="1019">
        <v>0</v>
      </c>
      <c r="H11" s="1019">
        <v>0</v>
      </c>
      <c r="I11" s="1149">
        <v>0</v>
      </c>
      <c r="J11" s="1161">
        <f t="shared" si="2"/>
        <v>42</v>
      </c>
      <c r="K11" s="1019">
        <v>1</v>
      </c>
      <c r="L11" s="1019">
        <v>40</v>
      </c>
      <c r="M11" s="1149">
        <v>1</v>
      </c>
      <c r="N11" s="1161">
        <f t="shared" si="3"/>
        <v>11</v>
      </c>
      <c r="O11" s="1019">
        <v>0</v>
      </c>
      <c r="P11" s="1019">
        <v>10</v>
      </c>
      <c r="Q11" s="1149">
        <v>1</v>
      </c>
    </row>
    <row r="12" spans="1:17" ht="24.95" customHeight="1">
      <c r="A12" s="494" t="s">
        <v>193</v>
      </c>
      <c r="B12" s="1160">
        <f t="shared" si="0"/>
        <v>15</v>
      </c>
      <c r="C12" s="1019">
        <v>0</v>
      </c>
      <c r="D12" s="1019">
        <v>15</v>
      </c>
      <c r="E12" s="1012">
        <v>0</v>
      </c>
      <c r="F12" s="1160">
        <f t="shared" si="1"/>
        <v>0</v>
      </c>
      <c r="G12" s="1019">
        <v>0</v>
      </c>
      <c r="H12" s="1019">
        <v>0</v>
      </c>
      <c r="I12" s="1149">
        <v>0</v>
      </c>
      <c r="J12" s="1161">
        <f t="shared" si="2"/>
        <v>16</v>
      </c>
      <c r="K12" s="1019">
        <v>0</v>
      </c>
      <c r="L12" s="1019">
        <v>16</v>
      </c>
      <c r="M12" s="1149">
        <v>0</v>
      </c>
      <c r="N12" s="1161">
        <f t="shared" si="3"/>
        <v>0</v>
      </c>
      <c r="O12" s="1019">
        <v>0</v>
      </c>
      <c r="P12" s="1019">
        <v>0</v>
      </c>
      <c r="Q12" s="1149">
        <v>0</v>
      </c>
    </row>
    <row r="13" spans="1:17" ht="24.95" customHeight="1">
      <c r="A13" s="494" t="s">
        <v>205</v>
      </c>
      <c r="B13" s="942">
        <f t="shared" si="0"/>
        <v>2</v>
      </c>
      <c r="C13" s="86">
        <v>0</v>
      </c>
      <c r="D13" s="86">
        <v>2</v>
      </c>
      <c r="E13" s="109">
        <v>0</v>
      </c>
      <c r="F13" s="942">
        <f t="shared" si="1"/>
        <v>0</v>
      </c>
      <c r="G13" s="86">
        <v>0</v>
      </c>
      <c r="H13" s="86">
        <v>0</v>
      </c>
      <c r="I13" s="380">
        <v>0</v>
      </c>
      <c r="J13" s="943">
        <f t="shared" si="2"/>
        <v>3</v>
      </c>
      <c r="K13" s="86">
        <v>0</v>
      </c>
      <c r="L13" s="86">
        <v>3</v>
      </c>
      <c r="M13" s="380">
        <v>0</v>
      </c>
      <c r="N13" s="943">
        <f t="shared" si="3"/>
        <v>0</v>
      </c>
      <c r="O13" s="86">
        <v>0</v>
      </c>
      <c r="P13" s="86">
        <v>0</v>
      </c>
      <c r="Q13" s="380">
        <v>0</v>
      </c>
    </row>
    <row r="14" spans="1:17" ht="24.95" customHeight="1">
      <c r="A14" s="494" t="s">
        <v>595</v>
      </c>
      <c r="B14" s="942">
        <f t="shared" si="0"/>
        <v>5</v>
      </c>
      <c r="C14" s="86">
        <v>0</v>
      </c>
      <c r="D14" s="86">
        <v>5</v>
      </c>
      <c r="E14" s="109">
        <v>0</v>
      </c>
      <c r="F14" s="942">
        <f t="shared" si="1"/>
        <v>0</v>
      </c>
      <c r="G14" s="86">
        <v>0</v>
      </c>
      <c r="H14" s="86">
        <v>0</v>
      </c>
      <c r="I14" s="380">
        <v>0</v>
      </c>
      <c r="J14" s="943">
        <f t="shared" si="2"/>
        <v>5</v>
      </c>
      <c r="K14" s="86">
        <v>0</v>
      </c>
      <c r="L14" s="86">
        <v>5</v>
      </c>
      <c r="M14" s="380">
        <v>0</v>
      </c>
      <c r="N14" s="943">
        <f t="shared" si="3"/>
        <v>0</v>
      </c>
      <c r="O14" s="86">
        <v>0</v>
      </c>
      <c r="P14" s="86">
        <v>0</v>
      </c>
      <c r="Q14" s="380">
        <v>0</v>
      </c>
    </row>
    <row r="15" spans="1:17" ht="24.95" customHeight="1">
      <c r="A15" s="494" t="s">
        <v>207</v>
      </c>
      <c r="B15" s="942">
        <f t="shared" si="0"/>
        <v>16</v>
      </c>
      <c r="C15" s="86">
        <v>0</v>
      </c>
      <c r="D15" s="86">
        <v>16</v>
      </c>
      <c r="E15" s="109">
        <v>0</v>
      </c>
      <c r="F15" s="942">
        <f t="shared" si="1"/>
        <v>0</v>
      </c>
      <c r="G15" s="86">
        <v>0</v>
      </c>
      <c r="H15" s="86">
        <v>0</v>
      </c>
      <c r="I15" s="380">
        <v>0</v>
      </c>
      <c r="J15" s="943">
        <f t="shared" si="2"/>
        <v>17</v>
      </c>
      <c r="K15" s="86">
        <v>0</v>
      </c>
      <c r="L15" s="86">
        <v>17</v>
      </c>
      <c r="M15" s="380">
        <v>0</v>
      </c>
      <c r="N15" s="943">
        <f t="shared" si="3"/>
        <v>5</v>
      </c>
      <c r="O15" s="86">
        <v>0</v>
      </c>
      <c r="P15" s="86">
        <v>5</v>
      </c>
      <c r="Q15" s="380">
        <v>0</v>
      </c>
    </row>
    <row r="16" spans="1:17" ht="24.95" customHeight="1">
      <c r="A16" s="494" t="s">
        <v>208</v>
      </c>
      <c r="B16" s="942">
        <f t="shared" si="0"/>
        <v>20</v>
      </c>
      <c r="C16" s="86">
        <v>0</v>
      </c>
      <c r="D16" s="86">
        <v>20</v>
      </c>
      <c r="E16" s="109">
        <v>0</v>
      </c>
      <c r="F16" s="942">
        <f t="shared" si="1"/>
        <v>0</v>
      </c>
      <c r="G16" s="86">
        <v>0</v>
      </c>
      <c r="H16" s="86">
        <v>0</v>
      </c>
      <c r="I16" s="380">
        <v>0</v>
      </c>
      <c r="J16" s="943">
        <f t="shared" si="2"/>
        <v>21</v>
      </c>
      <c r="K16" s="86">
        <v>0</v>
      </c>
      <c r="L16" s="86">
        <v>21</v>
      </c>
      <c r="M16" s="380">
        <v>0</v>
      </c>
      <c r="N16" s="943">
        <f t="shared" si="3"/>
        <v>1</v>
      </c>
      <c r="O16" s="86">
        <v>0</v>
      </c>
      <c r="P16" s="86">
        <v>1</v>
      </c>
      <c r="Q16" s="380">
        <v>0</v>
      </c>
    </row>
    <row r="17" spans="1:17" ht="24.95" customHeight="1">
      <c r="A17" s="494" t="s">
        <v>596</v>
      </c>
      <c r="B17" s="942">
        <f t="shared" si="0"/>
        <v>16</v>
      </c>
      <c r="C17" s="86">
        <v>0</v>
      </c>
      <c r="D17" s="86">
        <v>16</v>
      </c>
      <c r="E17" s="109">
        <v>0</v>
      </c>
      <c r="F17" s="942">
        <f t="shared" si="1"/>
        <v>0</v>
      </c>
      <c r="G17" s="86">
        <v>0</v>
      </c>
      <c r="H17" s="86">
        <v>0</v>
      </c>
      <c r="I17" s="380">
        <v>0</v>
      </c>
      <c r="J17" s="943">
        <f t="shared" si="2"/>
        <v>17</v>
      </c>
      <c r="K17" s="86">
        <v>0</v>
      </c>
      <c r="L17" s="86">
        <v>17</v>
      </c>
      <c r="M17" s="380">
        <v>0</v>
      </c>
      <c r="N17" s="943">
        <f t="shared" si="3"/>
        <v>6</v>
      </c>
      <c r="O17" s="86">
        <v>0</v>
      </c>
      <c r="P17" s="86">
        <v>6</v>
      </c>
      <c r="Q17" s="380">
        <v>0</v>
      </c>
    </row>
    <row r="18" spans="1:17" ht="24.95" customHeight="1">
      <c r="A18" s="494" t="s">
        <v>210</v>
      </c>
      <c r="B18" s="942">
        <f t="shared" si="0"/>
        <v>37</v>
      </c>
      <c r="C18" s="86">
        <v>0</v>
      </c>
      <c r="D18" s="86">
        <v>37</v>
      </c>
      <c r="E18" s="109">
        <v>0</v>
      </c>
      <c r="F18" s="942">
        <f t="shared" si="1"/>
        <v>0</v>
      </c>
      <c r="G18" s="86">
        <v>0</v>
      </c>
      <c r="H18" s="86">
        <v>0</v>
      </c>
      <c r="I18" s="380">
        <v>0</v>
      </c>
      <c r="J18" s="943">
        <f t="shared" si="2"/>
        <v>40</v>
      </c>
      <c r="K18" s="86">
        <v>0</v>
      </c>
      <c r="L18" s="86">
        <v>40</v>
      </c>
      <c r="M18" s="380">
        <v>0</v>
      </c>
      <c r="N18" s="943">
        <f t="shared" si="3"/>
        <v>5</v>
      </c>
      <c r="O18" s="86">
        <v>0</v>
      </c>
      <c r="P18" s="86">
        <v>5</v>
      </c>
      <c r="Q18" s="380">
        <v>0</v>
      </c>
    </row>
    <row r="19" spans="1:17" ht="24.95" customHeight="1">
      <c r="A19" s="494" t="s">
        <v>597</v>
      </c>
      <c r="B19" s="942">
        <f t="shared" si="0"/>
        <v>41</v>
      </c>
      <c r="C19" s="86">
        <v>2</v>
      </c>
      <c r="D19" s="86">
        <v>39</v>
      </c>
      <c r="E19" s="109">
        <v>0</v>
      </c>
      <c r="F19" s="942">
        <f t="shared" si="1"/>
        <v>1</v>
      </c>
      <c r="G19" s="86">
        <v>0</v>
      </c>
      <c r="H19" s="86">
        <v>1</v>
      </c>
      <c r="I19" s="380">
        <v>0</v>
      </c>
      <c r="J19" s="943">
        <f t="shared" si="2"/>
        <v>50</v>
      </c>
      <c r="K19" s="86">
        <v>2</v>
      </c>
      <c r="L19" s="86">
        <v>48</v>
      </c>
      <c r="M19" s="380">
        <v>0</v>
      </c>
      <c r="N19" s="943">
        <f t="shared" si="3"/>
        <v>11</v>
      </c>
      <c r="O19" s="86">
        <v>2</v>
      </c>
      <c r="P19" s="86">
        <v>9</v>
      </c>
      <c r="Q19" s="380">
        <v>0</v>
      </c>
    </row>
    <row r="20" spans="1:17" ht="24.95" customHeight="1">
      <c r="A20" s="494" t="s">
        <v>213</v>
      </c>
      <c r="B20" s="942">
        <f t="shared" si="0"/>
        <v>29</v>
      </c>
      <c r="C20" s="86">
        <v>1</v>
      </c>
      <c r="D20" s="86">
        <v>28</v>
      </c>
      <c r="E20" s="109">
        <v>0</v>
      </c>
      <c r="F20" s="942">
        <f t="shared" si="1"/>
        <v>0</v>
      </c>
      <c r="G20" s="86">
        <v>0</v>
      </c>
      <c r="H20" s="86">
        <v>0</v>
      </c>
      <c r="I20" s="380">
        <v>0</v>
      </c>
      <c r="J20" s="943">
        <f t="shared" si="2"/>
        <v>32</v>
      </c>
      <c r="K20" s="86">
        <v>1</v>
      </c>
      <c r="L20" s="86">
        <v>31</v>
      </c>
      <c r="M20" s="380">
        <v>0</v>
      </c>
      <c r="N20" s="943">
        <f t="shared" si="3"/>
        <v>5</v>
      </c>
      <c r="O20" s="86">
        <v>0</v>
      </c>
      <c r="P20" s="86">
        <v>5</v>
      </c>
      <c r="Q20" s="380">
        <v>0</v>
      </c>
    </row>
    <row r="21" spans="1:17" ht="24.95" customHeight="1">
      <c r="A21" s="494" t="s">
        <v>215</v>
      </c>
      <c r="B21" s="942">
        <f t="shared" si="0"/>
        <v>30</v>
      </c>
      <c r="C21" s="86">
        <v>0</v>
      </c>
      <c r="D21" s="86">
        <v>30</v>
      </c>
      <c r="E21" s="109">
        <v>0</v>
      </c>
      <c r="F21" s="942">
        <f t="shared" si="1"/>
        <v>0</v>
      </c>
      <c r="G21" s="86">
        <v>0</v>
      </c>
      <c r="H21" s="86">
        <v>0</v>
      </c>
      <c r="I21" s="380">
        <v>0</v>
      </c>
      <c r="J21" s="943">
        <f t="shared" si="2"/>
        <v>35</v>
      </c>
      <c r="K21" s="86">
        <v>0</v>
      </c>
      <c r="L21" s="86">
        <v>35</v>
      </c>
      <c r="M21" s="380">
        <v>0</v>
      </c>
      <c r="N21" s="943">
        <f t="shared" si="3"/>
        <v>6</v>
      </c>
      <c r="O21" s="86">
        <v>0</v>
      </c>
      <c r="P21" s="86">
        <v>6</v>
      </c>
      <c r="Q21" s="380">
        <v>0</v>
      </c>
    </row>
    <row r="22" spans="1:17" ht="24.95" customHeight="1">
      <c r="A22" s="494" t="s">
        <v>216</v>
      </c>
      <c r="B22" s="942">
        <f t="shared" si="0"/>
        <v>11</v>
      </c>
      <c r="C22" s="86">
        <v>0</v>
      </c>
      <c r="D22" s="86">
        <v>11</v>
      </c>
      <c r="E22" s="109">
        <v>0</v>
      </c>
      <c r="F22" s="942">
        <f t="shared" si="1"/>
        <v>0</v>
      </c>
      <c r="G22" s="86">
        <v>0</v>
      </c>
      <c r="H22" s="86">
        <v>0</v>
      </c>
      <c r="I22" s="380">
        <v>0</v>
      </c>
      <c r="J22" s="943">
        <f t="shared" si="2"/>
        <v>11</v>
      </c>
      <c r="K22" s="86">
        <v>0</v>
      </c>
      <c r="L22" s="86">
        <v>11</v>
      </c>
      <c r="M22" s="380">
        <v>0</v>
      </c>
      <c r="N22" s="943">
        <f t="shared" si="3"/>
        <v>4</v>
      </c>
      <c r="O22" s="86">
        <v>0</v>
      </c>
      <c r="P22" s="86">
        <v>4</v>
      </c>
      <c r="Q22" s="380">
        <v>0</v>
      </c>
    </row>
    <row r="23" spans="1:17" ht="24.95" customHeight="1">
      <c r="A23" s="494" t="s">
        <v>217</v>
      </c>
      <c r="B23" s="942">
        <f t="shared" si="0"/>
        <v>21</v>
      </c>
      <c r="C23" s="86">
        <v>3</v>
      </c>
      <c r="D23" s="86">
        <v>18</v>
      </c>
      <c r="E23" s="109">
        <v>0</v>
      </c>
      <c r="F23" s="942">
        <f t="shared" si="1"/>
        <v>0</v>
      </c>
      <c r="G23" s="86">
        <v>0</v>
      </c>
      <c r="H23" s="86">
        <v>0</v>
      </c>
      <c r="I23" s="380">
        <v>0</v>
      </c>
      <c r="J23" s="943">
        <f t="shared" si="2"/>
        <v>22</v>
      </c>
      <c r="K23" s="86">
        <v>3</v>
      </c>
      <c r="L23" s="86">
        <v>19</v>
      </c>
      <c r="M23" s="380">
        <v>0</v>
      </c>
      <c r="N23" s="943">
        <f t="shared" si="3"/>
        <v>2</v>
      </c>
      <c r="O23" s="86">
        <v>0</v>
      </c>
      <c r="P23" s="86">
        <v>2</v>
      </c>
      <c r="Q23" s="380">
        <v>0</v>
      </c>
    </row>
    <row r="24" spans="1:17" ht="24.95" customHeight="1">
      <c r="A24" s="494" t="s">
        <v>218</v>
      </c>
      <c r="B24" s="942">
        <f t="shared" si="0"/>
        <v>13</v>
      </c>
      <c r="C24" s="86">
        <v>0</v>
      </c>
      <c r="D24" s="86">
        <v>12</v>
      </c>
      <c r="E24" s="109">
        <v>1</v>
      </c>
      <c r="F24" s="942">
        <f t="shared" si="1"/>
        <v>1</v>
      </c>
      <c r="G24" s="86">
        <v>0</v>
      </c>
      <c r="H24" s="86">
        <v>0</v>
      </c>
      <c r="I24" s="380">
        <v>1</v>
      </c>
      <c r="J24" s="943">
        <f t="shared" si="2"/>
        <v>12</v>
      </c>
      <c r="K24" s="86">
        <v>0</v>
      </c>
      <c r="L24" s="86">
        <v>12</v>
      </c>
      <c r="M24" s="380">
        <v>0</v>
      </c>
      <c r="N24" s="943">
        <f t="shared" si="3"/>
        <v>2</v>
      </c>
      <c r="O24" s="86">
        <v>0</v>
      </c>
      <c r="P24" s="86">
        <v>2</v>
      </c>
      <c r="Q24" s="380">
        <v>0</v>
      </c>
    </row>
    <row r="25" spans="1:17" ht="24.95" customHeight="1">
      <c r="A25" s="494" t="s">
        <v>219</v>
      </c>
      <c r="B25" s="942">
        <f t="shared" si="0"/>
        <v>9</v>
      </c>
      <c r="C25" s="86">
        <v>1</v>
      </c>
      <c r="D25" s="86">
        <v>8</v>
      </c>
      <c r="E25" s="109">
        <v>0</v>
      </c>
      <c r="F25" s="942">
        <f t="shared" si="1"/>
        <v>0</v>
      </c>
      <c r="G25" s="86">
        <v>0</v>
      </c>
      <c r="H25" s="86">
        <v>0</v>
      </c>
      <c r="I25" s="380">
        <v>0</v>
      </c>
      <c r="J25" s="943">
        <f t="shared" si="2"/>
        <v>10</v>
      </c>
      <c r="K25" s="86">
        <v>1</v>
      </c>
      <c r="L25" s="86">
        <v>9</v>
      </c>
      <c r="M25" s="380">
        <v>0</v>
      </c>
      <c r="N25" s="943">
        <f t="shared" si="3"/>
        <v>2</v>
      </c>
      <c r="O25" s="86">
        <v>0</v>
      </c>
      <c r="P25" s="86">
        <v>2</v>
      </c>
      <c r="Q25" s="380">
        <v>0</v>
      </c>
    </row>
    <row r="26" spans="1:17" ht="24.95" customHeight="1">
      <c r="A26" s="494" t="s">
        <v>220</v>
      </c>
      <c r="B26" s="942">
        <f t="shared" si="0"/>
        <v>29</v>
      </c>
      <c r="C26" s="86">
        <v>1</v>
      </c>
      <c r="D26" s="86">
        <v>28</v>
      </c>
      <c r="E26" s="109">
        <v>0</v>
      </c>
      <c r="F26" s="942">
        <f t="shared" si="1"/>
        <v>1</v>
      </c>
      <c r="G26" s="86">
        <v>0</v>
      </c>
      <c r="H26" s="86">
        <v>1</v>
      </c>
      <c r="I26" s="380">
        <v>0</v>
      </c>
      <c r="J26" s="943">
        <f t="shared" si="2"/>
        <v>30</v>
      </c>
      <c r="K26" s="86">
        <v>1</v>
      </c>
      <c r="L26" s="86">
        <v>29</v>
      </c>
      <c r="M26" s="380">
        <v>0</v>
      </c>
      <c r="N26" s="943">
        <f t="shared" si="3"/>
        <v>7</v>
      </c>
      <c r="O26" s="86">
        <v>0</v>
      </c>
      <c r="P26" s="86">
        <v>7</v>
      </c>
      <c r="Q26" s="380">
        <v>0</v>
      </c>
    </row>
    <row r="27" spans="1:17" ht="24.95" customHeight="1">
      <c r="A27" s="494" t="s">
        <v>221</v>
      </c>
      <c r="B27" s="942">
        <f t="shared" si="0"/>
        <v>29</v>
      </c>
      <c r="C27" s="86">
        <v>3</v>
      </c>
      <c r="D27" s="86">
        <v>26</v>
      </c>
      <c r="E27" s="109">
        <v>0</v>
      </c>
      <c r="F27" s="942">
        <f t="shared" si="1"/>
        <v>0</v>
      </c>
      <c r="G27" s="86">
        <v>0</v>
      </c>
      <c r="H27" s="86">
        <v>0</v>
      </c>
      <c r="I27" s="380">
        <v>0</v>
      </c>
      <c r="J27" s="943">
        <f t="shared" si="2"/>
        <v>31</v>
      </c>
      <c r="K27" s="86">
        <v>3</v>
      </c>
      <c r="L27" s="86">
        <v>28</v>
      </c>
      <c r="M27" s="380">
        <v>0</v>
      </c>
      <c r="N27" s="943">
        <f t="shared" si="3"/>
        <v>4</v>
      </c>
      <c r="O27" s="86">
        <v>0</v>
      </c>
      <c r="P27" s="86">
        <v>4</v>
      </c>
      <c r="Q27" s="380">
        <v>0</v>
      </c>
    </row>
    <row r="28" spans="1:17" ht="24.95" customHeight="1">
      <c r="A28" s="494" t="s">
        <v>598</v>
      </c>
      <c r="B28" s="942">
        <f t="shared" si="0"/>
        <v>18</v>
      </c>
      <c r="C28" s="86">
        <v>0</v>
      </c>
      <c r="D28" s="86">
        <v>17</v>
      </c>
      <c r="E28" s="109">
        <v>1</v>
      </c>
      <c r="F28" s="942">
        <f t="shared" si="1"/>
        <v>1</v>
      </c>
      <c r="G28" s="86">
        <v>0</v>
      </c>
      <c r="H28" s="86">
        <v>0</v>
      </c>
      <c r="I28" s="380">
        <v>1</v>
      </c>
      <c r="J28" s="943">
        <f t="shared" si="2"/>
        <v>20</v>
      </c>
      <c r="K28" s="86">
        <v>0</v>
      </c>
      <c r="L28" s="86">
        <v>20</v>
      </c>
      <c r="M28" s="380">
        <v>0</v>
      </c>
      <c r="N28" s="943">
        <f t="shared" si="3"/>
        <v>6</v>
      </c>
      <c r="O28" s="86">
        <v>0</v>
      </c>
      <c r="P28" s="86">
        <v>6</v>
      </c>
      <c r="Q28" s="380">
        <v>0</v>
      </c>
    </row>
    <row r="29" spans="1:17" ht="24.95" customHeight="1">
      <c r="A29" s="494" t="s">
        <v>223</v>
      </c>
      <c r="B29" s="942">
        <f t="shared" si="0"/>
        <v>63</v>
      </c>
      <c r="C29" s="86">
        <v>3</v>
      </c>
      <c r="D29" s="86">
        <v>58</v>
      </c>
      <c r="E29" s="109">
        <v>2</v>
      </c>
      <c r="F29" s="942">
        <f t="shared" si="1"/>
        <v>0</v>
      </c>
      <c r="G29" s="86">
        <v>0</v>
      </c>
      <c r="H29" s="86">
        <v>0</v>
      </c>
      <c r="I29" s="380">
        <v>0</v>
      </c>
      <c r="J29" s="943">
        <f t="shared" si="2"/>
        <v>71</v>
      </c>
      <c r="K29" s="86">
        <v>3</v>
      </c>
      <c r="L29" s="86">
        <v>66</v>
      </c>
      <c r="M29" s="380">
        <v>2</v>
      </c>
      <c r="N29" s="943">
        <f t="shared" si="3"/>
        <v>9</v>
      </c>
      <c r="O29" s="86">
        <v>1</v>
      </c>
      <c r="P29" s="86">
        <v>7</v>
      </c>
      <c r="Q29" s="380">
        <v>1</v>
      </c>
    </row>
    <row r="30" spans="1:17" ht="24.95" customHeight="1" thickBot="1">
      <c r="A30" s="491" t="s">
        <v>224</v>
      </c>
      <c r="B30" s="944">
        <f t="shared" si="0"/>
        <v>19</v>
      </c>
      <c r="C30" s="375">
        <v>1</v>
      </c>
      <c r="D30" s="375">
        <v>18</v>
      </c>
      <c r="E30" s="376">
        <v>0</v>
      </c>
      <c r="F30" s="944">
        <f t="shared" si="1"/>
        <v>0</v>
      </c>
      <c r="G30" s="375">
        <v>0</v>
      </c>
      <c r="H30" s="375">
        <v>0</v>
      </c>
      <c r="I30" s="383">
        <v>0</v>
      </c>
      <c r="J30" s="945">
        <f t="shared" si="2"/>
        <v>25</v>
      </c>
      <c r="K30" s="375">
        <v>2</v>
      </c>
      <c r="L30" s="375">
        <v>23</v>
      </c>
      <c r="M30" s="383">
        <v>0</v>
      </c>
      <c r="N30" s="945">
        <f t="shared" si="3"/>
        <v>4</v>
      </c>
      <c r="O30" s="375">
        <v>0</v>
      </c>
      <c r="P30" s="375">
        <v>4</v>
      </c>
      <c r="Q30" s="383">
        <v>0</v>
      </c>
    </row>
    <row r="31" spans="1:17" ht="24.95" customHeight="1" thickBot="1">
      <c r="A31" s="1337" t="s">
        <v>997</v>
      </c>
      <c r="B31" s="951">
        <f t="shared" ref="B31:Q31" si="4">SUM(B7:B30)</f>
        <v>551</v>
      </c>
      <c r="C31" s="1100">
        <f t="shared" si="4"/>
        <v>20</v>
      </c>
      <c r="D31" s="1100">
        <f t="shared" si="4"/>
        <v>526</v>
      </c>
      <c r="E31" s="1101">
        <f t="shared" si="4"/>
        <v>5</v>
      </c>
      <c r="F31" s="951">
        <f t="shared" si="4"/>
        <v>4</v>
      </c>
      <c r="G31" s="1100">
        <f t="shared" si="4"/>
        <v>0</v>
      </c>
      <c r="H31" s="1100">
        <f t="shared" si="4"/>
        <v>2</v>
      </c>
      <c r="I31" s="1102">
        <f t="shared" si="4"/>
        <v>2</v>
      </c>
      <c r="J31" s="952">
        <f t="shared" si="4"/>
        <v>601</v>
      </c>
      <c r="K31" s="1100">
        <f t="shared" si="4"/>
        <v>21</v>
      </c>
      <c r="L31" s="1100">
        <f t="shared" si="4"/>
        <v>577</v>
      </c>
      <c r="M31" s="1102">
        <f t="shared" si="4"/>
        <v>3</v>
      </c>
      <c r="N31" s="952">
        <f t="shared" si="4"/>
        <v>108</v>
      </c>
      <c r="O31" s="1100">
        <f t="shared" si="4"/>
        <v>6</v>
      </c>
      <c r="P31" s="1100">
        <f t="shared" si="4"/>
        <v>100</v>
      </c>
      <c r="Q31" s="1102">
        <f t="shared" si="4"/>
        <v>2</v>
      </c>
    </row>
    <row r="32" spans="1:17" ht="24.95" customHeight="1">
      <c r="A32" s="9" t="s">
        <v>843</v>
      </c>
    </row>
    <row r="33" spans="1:14" ht="13.5" customHeight="1">
      <c r="A33" s="1162"/>
      <c r="B33" s="1162"/>
      <c r="C33" s="1162"/>
      <c r="D33" s="1162"/>
      <c r="E33" s="1162"/>
      <c r="F33" s="1162"/>
      <c r="G33" s="1162"/>
      <c r="H33" s="1162"/>
      <c r="I33" s="1162"/>
      <c r="J33" s="1162"/>
      <c r="K33" s="1162"/>
      <c r="L33" s="1162"/>
      <c r="M33" s="43"/>
      <c r="N33" s="43"/>
    </row>
    <row r="34" spans="1:14">
      <c r="A34" s="1162"/>
      <c r="B34" s="1162"/>
      <c r="C34" s="1162"/>
      <c r="D34" s="1162"/>
      <c r="E34" s="1162"/>
      <c r="F34" s="1162"/>
      <c r="G34" s="1162"/>
      <c r="H34" s="1162"/>
      <c r="I34" s="1162"/>
      <c r="J34" s="1162"/>
      <c r="K34" s="1162"/>
      <c r="L34" s="1162"/>
      <c r="M34" s="43"/>
      <c r="N34" s="43"/>
    </row>
  </sheetData>
  <mergeCells count="10">
    <mergeCell ref="N3:P3"/>
    <mergeCell ref="N4:P4"/>
    <mergeCell ref="A1:M1"/>
    <mergeCell ref="A2:M2"/>
    <mergeCell ref="B3:D4"/>
    <mergeCell ref="E3:E4"/>
    <mergeCell ref="F3:H4"/>
    <mergeCell ref="I3:I4"/>
    <mergeCell ref="J3:L4"/>
    <mergeCell ref="M3:M4"/>
  </mergeCells>
  <phoneticPr fontId="3"/>
  <printOptions horizontalCentered="1"/>
  <pageMargins left="0.78740157480314965" right="0.78740157480314965" top="0.98425196850393704" bottom="0.98425196850393704" header="0.51181102362204722" footer="0.51181102362204722"/>
  <pageSetup paperSize="9" scale="68" orientation="portrait" r:id="rId1"/>
  <headerFooter alignWithMargins="0">
    <oddFooter>&amp;C－43－</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Normal="100" zoomScaleSheetLayoutView="100" workbookViewId="0">
      <selection activeCell="A33" sqref="A33:B33"/>
    </sheetView>
  </sheetViews>
  <sheetFormatPr defaultRowHeight="14.25"/>
  <cols>
    <col min="1" max="1" width="2.875" style="2" customWidth="1"/>
    <col min="2" max="2" width="3.875" style="2" customWidth="1"/>
    <col min="3" max="3" width="7.125" style="2" customWidth="1"/>
    <col min="4" max="6" width="7.625" style="2" customWidth="1"/>
    <col min="7" max="7" width="7.125" style="2" customWidth="1"/>
    <col min="8" max="10" width="7.625" style="2" customWidth="1"/>
    <col min="11" max="11" width="7.125" style="2" customWidth="1"/>
    <col min="12" max="16" width="7.625" style="2" customWidth="1"/>
    <col min="17" max="17" width="7.75" style="2" customWidth="1"/>
    <col min="18" max="18" width="7.625" style="2" customWidth="1"/>
    <col min="19" max="16384" width="9" style="2"/>
  </cols>
  <sheetData>
    <row r="1" spans="1:18" ht="15">
      <c r="A1" s="70" t="s">
        <v>872</v>
      </c>
      <c r="B1" s="70"/>
      <c r="C1" s="70"/>
      <c r="D1" s="70"/>
    </row>
    <row r="2" spans="1:18" ht="15.75" thickBot="1">
      <c r="A2" s="70" t="s">
        <v>831</v>
      </c>
      <c r="B2" s="70"/>
      <c r="C2" s="70"/>
      <c r="D2" s="70"/>
    </row>
    <row r="3" spans="1:18" ht="15" thickBot="1">
      <c r="A3" s="1141"/>
      <c r="B3" s="1228" t="s">
        <v>812</v>
      </c>
      <c r="C3" s="2015" t="s">
        <v>813</v>
      </c>
      <c r="D3" s="1453"/>
      <c r="E3" s="1453"/>
      <c r="F3" s="1954" t="s">
        <v>428</v>
      </c>
      <c r="G3" s="2015" t="s">
        <v>814</v>
      </c>
      <c r="H3" s="1453"/>
      <c r="I3" s="1453"/>
      <c r="J3" s="1954" t="s">
        <v>431</v>
      </c>
      <c r="K3" s="2015" t="s">
        <v>815</v>
      </c>
      <c r="L3" s="1453"/>
      <c r="M3" s="1453"/>
      <c r="N3" s="1957" t="s">
        <v>431</v>
      </c>
      <c r="O3" s="2030"/>
      <c r="P3" s="2031"/>
      <c r="Q3" s="2031"/>
      <c r="R3" s="1229"/>
    </row>
    <row r="4" spans="1:18">
      <c r="A4" s="1143"/>
      <c r="B4" s="1230"/>
      <c r="C4" s="1591"/>
      <c r="D4" s="1629"/>
      <c r="E4" s="1629"/>
      <c r="F4" s="1955"/>
      <c r="G4" s="1591"/>
      <c r="H4" s="1629"/>
      <c r="I4" s="1629"/>
      <c r="J4" s="1955"/>
      <c r="K4" s="1591"/>
      <c r="L4" s="1629"/>
      <c r="M4" s="1629"/>
      <c r="N4" s="1955"/>
      <c r="O4" s="2043" t="s">
        <v>927</v>
      </c>
      <c r="P4" s="2044"/>
      <c r="Q4" s="2044"/>
      <c r="R4" s="604" t="s">
        <v>921</v>
      </c>
    </row>
    <row r="5" spans="1:18">
      <c r="A5" s="1104"/>
      <c r="B5" s="1105"/>
      <c r="C5" s="1106" t="s">
        <v>816</v>
      </c>
      <c r="D5" s="1107"/>
      <c r="E5" s="1107"/>
      <c r="F5" s="1107"/>
      <c r="G5" s="1106" t="s">
        <v>816</v>
      </c>
      <c r="H5" s="1107"/>
      <c r="I5" s="1107"/>
      <c r="J5" s="1107"/>
      <c r="K5" s="1106" t="s">
        <v>816</v>
      </c>
      <c r="L5" s="1107"/>
      <c r="M5" s="1107"/>
      <c r="N5" s="1108"/>
      <c r="O5" s="1106" t="s">
        <v>816</v>
      </c>
      <c r="P5" s="1107"/>
      <c r="Q5" s="1107"/>
      <c r="R5" s="1108"/>
    </row>
    <row r="6" spans="1:18" ht="15" thickBot="1">
      <c r="A6" s="1109" t="s">
        <v>817</v>
      </c>
      <c r="B6" s="1105"/>
      <c r="C6" s="1110"/>
      <c r="D6" s="956" t="s">
        <v>807</v>
      </c>
      <c r="E6" s="957" t="s">
        <v>808</v>
      </c>
      <c r="F6" s="957" t="s">
        <v>377</v>
      </c>
      <c r="G6" s="1110"/>
      <c r="H6" s="956" t="s">
        <v>807</v>
      </c>
      <c r="I6" s="957" t="s">
        <v>808</v>
      </c>
      <c r="J6" s="957" t="s">
        <v>377</v>
      </c>
      <c r="K6" s="1110"/>
      <c r="L6" s="956" t="s">
        <v>807</v>
      </c>
      <c r="M6" s="957" t="s">
        <v>808</v>
      </c>
      <c r="N6" s="958" t="s">
        <v>377</v>
      </c>
      <c r="O6" s="1110"/>
      <c r="P6" s="956" t="s">
        <v>807</v>
      </c>
      <c r="Q6" s="957" t="s">
        <v>808</v>
      </c>
      <c r="R6" s="958" t="s">
        <v>377</v>
      </c>
    </row>
    <row r="7" spans="1:18" ht="24.95" customHeight="1">
      <c r="A7" s="475"/>
      <c r="B7" s="316">
        <v>0</v>
      </c>
      <c r="C7" s="1113">
        <f t="shared" ref="C7:C30" si="0">SUM(D7:F7)</f>
        <v>7</v>
      </c>
      <c r="D7" s="98">
        <v>1</v>
      </c>
      <c r="E7" s="888">
        <v>6</v>
      </c>
      <c r="F7" s="888">
        <v>0</v>
      </c>
      <c r="G7" s="1113">
        <f t="shared" ref="G7:G30" si="1">SUM(H7:J7)</f>
        <v>0</v>
      </c>
      <c r="H7" s="98">
        <v>0</v>
      </c>
      <c r="I7" s="98">
        <v>0</v>
      </c>
      <c r="J7" s="892">
        <v>0</v>
      </c>
      <c r="K7" s="1117">
        <f t="shared" ref="K7:K30" si="2">SUM(L7:N7)</f>
        <v>7</v>
      </c>
      <c r="L7" s="98">
        <v>1</v>
      </c>
      <c r="M7" s="888">
        <v>6</v>
      </c>
      <c r="N7" s="892">
        <v>0</v>
      </c>
      <c r="O7" s="1117">
        <f t="shared" ref="O7:O30" si="3">SUM(P7:R7)</f>
        <v>1</v>
      </c>
      <c r="P7" s="98">
        <v>0</v>
      </c>
      <c r="Q7" s="888">
        <v>1</v>
      </c>
      <c r="R7" s="892">
        <v>0</v>
      </c>
    </row>
    <row r="8" spans="1:18" ht="24.95" customHeight="1">
      <c r="A8" s="475" t="s">
        <v>390</v>
      </c>
      <c r="B8" s="1147">
        <v>1</v>
      </c>
      <c r="C8" s="1164">
        <f t="shared" si="0"/>
        <v>5</v>
      </c>
      <c r="D8" s="1019">
        <v>0</v>
      </c>
      <c r="E8" s="1012">
        <v>3</v>
      </c>
      <c r="F8" s="1012">
        <v>2</v>
      </c>
      <c r="G8" s="1164">
        <f t="shared" si="1"/>
        <v>1</v>
      </c>
      <c r="H8" s="1231">
        <v>0</v>
      </c>
      <c r="I8" s="1231">
        <v>0</v>
      </c>
      <c r="J8" s="1149">
        <v>1</v>
      </c>
      <c r="K8" s="1232">
        <f t="shared" si="2"/>
        <v>5</v>
      </c>
      <c r="L8" s="1019">
        <v>0</v>
      </c>
      <c r="M8" s="1012">
        <v>4</v>
      </c>
      <c r="N8" s="380">
        <v>1</v>
      </c>
      <c r="O8" s="1232">
        <f t="shared" si="3"/>
        <v>2</v>
      </c>
      <c r="P8" s="1019">
        <v>0</v>
      </c>
      <c r="Q8" s="1012">
        <v>1</v>
      </c>
      <c r="R8" s="380">
        <v>1</v>
      </c>
    </row>
    <row r="9" spans="1:18" ht="24.95" customHeight="1">
      <c r="A9" s="475"/>
      <c r="B9" s="1147">
        <v>2</v>
      </c>
      <c r="C9" s="1164">
        <f t="shared" si="0"/>
        <v>1</v>
      </c>
      <c r="D9" s="1019">
        <v>0</v>
      </c>
      <c r="E9" s="1012">
        <v>1</v>
      </c>
      <c r="F9" s="1012">
        <v>0</v>
      </c>
      <c r="G9" s="1164">
        <f t="shared" si="1"/>
        <v>0</v>
      </c>
      <c r="H9" s="1231">
        <v>0</v>
      </c>
      <c r="I9" s="1231">
        <v>0</v>
      </c>
      <c r="J9" s="1149">
        <v>0</v>
      </c>
      <c r="K9" s="1232">
        <f t="shared" si="2"/>
        <v>1</v>
      </c>
      <c r="L9" s="1019">
        <v>0</v>
      </c>
      <c r="M9" s="1012">
        <v>1</v>
      </c>
      <c r="N9" s="380">
        <v>0</v>
      </c>
      <c r="O9" s="1232">
        <f t="shared" si="3"/>
        <v>1</v>
      </c>
      <c r="P9" s="1019">
        <v>0</v>
      </c>
      <c r="Q9" s="1012">
        <v>1</v>
      </c>
      <c r="R9" s="380">
        <v>0</v>
      </c>
    </row>
    <row r="10" spans="1:18" ht="24.95" customHeight="1">
      <c r="A10" s="475" t="s">
        <v>391</v>
      </c>
      <c r="B10" s="1147">
        <v>3</v>
      </c>
      <c r="C10" s="1164">
        <f t="shared" si="0"/>
        <v>2</v>
      </c>
      <c r="D10" s="1019">
        <v>0</v>
      </c>
      <c r="E10" s="1012">
        <v>2</v>
      </c>
      <c r="F10" s="1012">
        <v>0</v>
      </c>
      <c r="G10" s="1164">
        <f t="shared" si="1"/>
        <v>0</v>
      </c>
      <c r="H10" s="1019">
        <v>0</v>
      </c>
      <c r="I10" s="1231">
        <v>0</v>
      </c>
      <c r="J10" s="1149">
        <v>0</v>
      </c>
      <c r="K10" s="1232">
        <f t="shared" si="2"/>
        <v>3</v>
      </c>
      <c r="L10" s="1019">
        <v>0</v>
      </c>
      <c r="M10" s="1012">
        <v>3</v>
      </c>
      <c r="N10" s="380">
        <v>0</v>
      </c>
      <c r="O10" s="1232">
        <f t="shared" si="3"/>
        <v>1</v>
      </c>
      <c r="P10" s="1019">
        <v>0</v>
      </c>
      <c r="Q10" s="1012">
        <v>1</v>
      </c>
      <c r="R10" s="380">
        <v>0</v>
      </c>
    </row>
    <row r="11" spans="1:18" ht="24.95" customHeight="1">
      <c r="A11" s="475"/>
      <c r="B11" s="1147">
        <v>4</v>
      </c>
      <c r="C11" s="1164">
        <f t="shared" si="0"/>
        <v>5</v>
      </c>
      <c r="D11" s="1019">
        <v>1</v>
      </c>
      <c r="E11" s="1012">
        <v>4</v>
      </c>
      <c r="F11" s="1012">
        <v>0</v>
      </c>
      <c r="G11" s="1164">
        <f t="shared" si="1"/>
        <v>0</v>
      </c>
      <c r="H11" s="1231">
        <v>0</v>
      </c>
      <c r="I11" s="1231">
        <v>0</v>
      </c>
      <c r="J11" s="1149">
        <v>0</v>
      </c>
      <c r="K11" s="1232">
        <f t="shared" si="2"/>
        <v>5</v>
      </c>
      <c r="L11" s="1019">
        <v>1</v>
      </c>
      <c r="M11" s="1012">
        <v>4</v>
      </c>
      <c r="N11" s="380">
        <v>0</v>
      </c>
      <c r="O11" s="1232">
        <f t="shared" si="3"/>
        <v>3</v>
      </c>
      <c r="P11" s="1019">
        <v>1</v>
      </c>
      <c r="Q11" s="1012">
        <v>2</v>
      </c>
      <c r="R11" s="380">
        <v>0</v>
      </c>
    </row>
    <row r="12" spans="1:18" ht="24.95" customHeight="1">
      <c r="A12" s="476"/>
      <c r="B12" s="1147">
        <v>5</v>
      </c>
      <c r="C12" s="1164">
        <f t="shared" si="0"/>
        <v>6</v>
      </c>
      <c r="D12" s="1019">
        <v>1</v>
      </c>
      <c r="E12" s="1012">
        <v>5</v>
      </c>
      <c r="F12" s="1019">
        <v>0</v>
      </c>
      <c r="G12" s="1164">
        <f t="shared" si="1"/>
        <v>0</v>
      </c>
      <c r="H12" s="1019">
        <v>0</v>
      </c>
      <c r="I12" s="1231">
        <v>0</v>
      </c>
      <c r="J12" s="1149">
        <v>0</v>
      </c>
      <c r="K12" s="1232">
        <f t="shared" si="2"/>
        <v>6</v>
      </c>
      <c r="L12" s="1019">
        <v>1</v>
      </c>
      <c r="M12" s="1012">
        <v>5</v>
      </c>
      <c r="N12" s="380">
        <v>0</v>
      </c>
      <c r="O12" s="1232">
        <f t="shared" si="3"/>
        <v>2</v>
      </c>
      <c r="P12" s="1019">
        <v>1</v>
      </c>
      <c r="Q12" s="1012">
        <v>1</v>
      </c>
      <c r="R12" s="380">
        <v>0</v>
      </c>
    </row>
    <row r="13" spans="1:18" ht="24.95" customHeight="1">
      <c r="A13" s="321"/>
      <c r="B13" s="608">
        <v>6</v>
      </c>
      <c r="C13" s="1113">
        <f t="shared" si="0"/>
        <v>10</v>
      </c>
      <c r="D13" s="86">
        <v>0</v>
      </c>
      <c r="E13" s="109">
        <v>10</v>
      </c>
      <c r="F13" s="109">
        <v>0</v>
      </c>
      <c r="G13" s="1113">
        <f t="shared" si="1"/>
        <v>0</v>
      </c>
      <c r="H13" s="98">
        <v>0</v>
      </c>
      <c r="I13" s="98">
        <v>0</v>
      </c>
      <c r="J13" s="380">
        <v>0</v>
      </c>
      <c r="K13" s="1117">
        <f t="shared" si="2"/>
        <v>10</v>
      </c>
      <c r="L13" s="86">
        <v>0</v>
      </c>
      <c r="M13" s="109">
        <v>10</v>
      </c>
      <c r="N13" s="380">
        <v>0</v>
      </c>
      <c r="O13" s="1117">
        <f t="shared" si="3"/>
        <v>2</v>
      </c>
      <c r="P13" s="86">
        <v>0</v>
      </c>
      <c r="Q13" s="109">
        <v>2</v>
      </c>
      <c r="R13" s="380">
        <v>0</v>
      </c>
    </row>
    <row r="14" spans="1:18" ht="24.95" customHeight="1">
      <c r="A14" s="321"/>
      <c r="B14" s="608">
        <v>7</v>
      </c>
      <c r="C14" s="1113">
        <f t="shared" si="0"/>
        <v>34</v>
      </c>
      <c r="D14" s="86">
        <v>1</v>
      </c>
      <c r="E14" s="109">
        <v>32</v>
      </c>
      <c r="F14" s="109">
        <v>1</v>
      </c>
      <c r="G14" s="1113">
        <f t="shared" si="1"/>
        <v>0</v>
      </c>
      <c r="H14" s="86">
        <v>0</v>
      </c>
      <c r="I14" s="98">
        <v>0</v>
      </c>
      <c r="J14" s="380">
        <v>0</v>
      </c>
      <c r="K14" s="1117">
        <f t="shared" si="2"/>
        <v>37</v>
      </c>
      <c r="L14" s="86">
        <v>1</v>
      </c>
      <c r="M14" s="109">
        <v>35</v>
      </c>
      <c r="N14" s="380">
        <v>1</v>
      </c>
      <c r="O14" s="1117">
        <f t="shared" si="3"/>
        <v>10</v>
      </c>
      <c r="P14" s="86">
        <v>0</v>
      </c>
      <c r="Q14" s="109">
        <v>9</v>
      </c>
      <c r="R14" s="380">
        <v>1</v>
      </c>
    </row>
    <row r="15" spans="1:18" ht="24.95" customHeight="1">
      <c r="A15" s="321"/>
      <c r="B15" s="608">
        <v>8</v>
      </c>
      <c r="C15" s="1113">
        <f t="shared" si="0"/>
        <v>30</v>
      </c>
      <c r="D15" s="86">
        <v>1</v>
      </c>
      <c r="E15" s="109">
        <v>29</v>
      </c>
      <c r="F15" s="109">
        <v>0</v>
      </c>
      <c r="G15" s="1113">
        <f t="shared" si="1"/>
        <v>0</v>
      </c>
      <c r="H15" s="86">
        <v>0</v>
      </c>
      <c r="I15" s="98">
        <v>0</v>
      </c>
      <c r="J15" s="380">
        <v>0</v>
      </c>
      <c r="K15" s="1117">
        <f t="shared" si="2"/>
        <v>32</v>
      </c>
      <c r="L15" s="86">
        <v>1</v>
      </c>
      <c r="M15" s="109">
        <v>31</v>
      </c>
      <c r="N15" s="380">
        <v>0</v>
      </c>
      <c r="O15" s="1117">
        <f t="shared" si="3"/>
        <v>2</v>
      </c>
      <c r="P15" s="86">
        <v>0</v>
      </c>
      <c r="Q15" s="109">
        <v>2</v>
      </c>
      <c r="R15" s="380">
        <v>0</v>
      </c>
    </row>
    <row r="16" spans="1:18" ht="24.95" customHeight="1">
      <c r="A16" s="321"/>
      <c r="B16" s="608">
        <v>9</v>
      </c>
      <c r="C16" s="1113">
        <f t="shared" si="0"/>
        <v>43</v>
      </c>
      <c r="D16" s="86">
        <v>0</v>
      </c>
      <c r="E16" s="109">
        <v>43</v>
      </c>
      <c r="F16" s="109">
        <v>0</v>
      </c>
      <c r="G16" s="1113">
        <f t="shared" si="1"/>
        <v>1</v>
      </c>
      <c r="H16" s="86">
        <v>0</v>
      </c>
      <c r="I16" s="98">
        <v>1</v>
      </c>
      <c r="J16" s="380">
        <v>0</v>
      </c>
      <c r="K16" s="1117">
        <f t="shared" si="2"/>
        <v>48</v>
      </c>
      <c r="L16" s="86">
        <v>0</v>
      </c>
      <c r="M16" s="109">
        <v>48</v>
      </c>
      <c r="N16" s="380">
        <v>0</v>
      </c>
      <c r="O16" s="1117">
        <f t="shared" si="3"/>
        <v>11</v>
      </c>
      <c r="P16" s="86">
        <v>0</v>
      </c>
      <c r="Q16" s="109">
        <v>11</v>
      </c>
      <c r="R16" s="380">
        <v>0</v>
      </c>
    </row>
    <row r="17" spans="1:18" ht="24.95" customHeight="1">
      <c r="A17" s="321"/>
      <c r="B17" s="608">
        <v>10</v>
      </c>
      <c r="C17" s="1113">
        <f t="shared" si="0"/>
        <v>24</v>
      </c>
      <c r="D17" s="86">
        <v>0</v>
      </c>
      <c r="E17" s="109">
        <v>24</v>
      </c>
      <c r="F17" s="109">
        <v>0</v>
      </c>
      <c r="G17" s="1113">
        <f t="shared" si="1"/>
        <v>0</v>
      </c>
      <c r="H17" s="86">
        <v>0</v>
      </c>
      <c r="I17" s="98">
        <v>0</v>
      </c>
      <c r="J17" s="380">
        <v>0</v>
      </c>
      <c r="K17" s="1117">
        <f t="shared" si="2"/>
        <v>26</v>
      </c>
      <c r="L17" s="86">
        <v>0</v>
      </c>
      <c r="M17" s="109">
        <v>26</v>
      </c>
      <c r="N17" s="380">
        <v>0</v>
      </c>
      <c r="O17" s="1117">
        <f t="shared" si="3"/>
        <v>5</v>
      </c>
      <c r="P17" s="86">
        <v>0</v>
      </c>
      <c r="Q17" s="109">
        <v>5</v>
      </c>
      <c r="R17" s="380">
        <v>0</v>
      </c>
    </row>
    <row r="18" spans="1:18" ht="24.95" customHeight="1">
      <c r="A18" s="321"/>
      <c r="B18" s="608">
        <v>11</v>
      </c>
      <c r="C18" s="1113">
        <f t="shared" si="0"/>
        <v>35</v>
      </c>
      <c r="D18" s="86">
        <v>0</v>
      </c>
      <c r="E18" s="109">
        <v>34</v>
      </c>
      <c r="F18" s="109">
        <v>1</v>
      </c>
      <c r="G18" s="1113">
        <f t="shared" si="1"/>
        <v>0</v>
      </c>
      <c r="H18" s="86">
        <v>0</v>
      </c>
      <c r="I18" s="98">
        <v>0</v>
      </c>
      <c r="J18" s="380">
        <v>0</v>
      </c>
      <c r="K18" s="1117">
        <f t="shared" si="2"/>
        <v>36</v>
      </c>
      <c r="L18" s="86">
        <v>0</v>
      </c>
      <c r="M18" s="109">
        <v>35</v>
      </c>
      <c r="N18" s="380">
        <v>1</v>
      </c>
      <c r="O18" s="1117">
        <f t="shared" si="3"/>
        <v>7</v>
      </c>
      <c r="P18" s="86">
        <v>0</v>
      </c>
      <c r="Q18" s="109">
        <v>7</v>
      </c>
      <c r="R18" s="380">
        <v>0</v>
      </c>
    </row>
    <row r="19" spans="1:18" ht="24.95" customHeight="1">
      <c r="A19" s="321"/>
      <c r="B19" s="608">
        <v>12</v>
      </c>
      <c r="C19" s="1113">
        <f t="shared" si="0"/>
        <v>27</v>
      </c>
      <c r="D19" s="86">
        <v>1</v>
      </c>
      <c r="E19" s="109">
        <v>26</v>
      </c>
      <c r="F19" s="109">
        <v>0</v>
      </c>
      <c r="G19" s="1113">
        <f t="shared" si="1"/>
        <v>1</v>
      </c>
      <c r="H19" s="86">
        <v>0</v>
      </c>
      <c r="I19" s="98">
        <v>1</v>
      </c>
      <c r="J19" s="380">
        <v>0</v>
      </c>
      <c r="K19" s="1117">
        <f t="shared" si="2"/>
        <v>27</v>
      </c>
      <c r="L19" s="86">
        <v>1</v>
      </c>
      <c r="M19" s="109">
        <v>26</v>
      </c>
      <c r="N19" s="380">
        <v>0</v>
      </c>
      <c r="O19" s="1117">
        <f t="shared" si="3"/>
        <v>4</v>
      </c>
      <c r="P19" s="86">
        <v>0</v>
      </c>
      <c r="Q19" s="109">
        <v>4</v>
      </c>
      <c r="R19" s="380">
        <v>0</v>
      </c>
    </row>
    <row r="20" spans="1:18" ht="24.95" customHeight="1">
      <c r="A20" s="321"/>
      <c r="B20" s="608">
        <v>13</v>
      </c>
      <c r="C20" s="1113">
        <f t="shared" si="0"/>
        <v>30</v>
      </c>
      <c r="D20" s="86">
        <v>1</v>
      </c>
      <c r="E20" s="109">
        <v>29</v>
      </c>
      <c r="F20" s="109">
        <v>0</v>
      </c>
      <c r="G20" s="1113">
        <f t="shared" si="1"/>
        <v>0</v>
      </c>
      <c r="H20" s="98">
        <v>0</v>
      </c>
      <c r="I20" s="98">
        <v>0</v>
      </c>
      <c r="J20" s="380">
        <v>0</v>
      </c>
      <c r="K20" s="1117">
        <f t="shared" si="2"/>
        <v>30</v>
      </c>
      <c r="L20" s="86">
        <v>1</v>
      </c>
      <c r="M20" s="109">
        <v>29</v>
      </c>
      <c r="N20" s="380">
        <v>0</v>
      </c>
      <c r="O20" s="1117">
        <f t="shared" si="3"/>
        <v>4</v>
      </c>
      <c r="P20" s="86">
        <v>1</v>
      </c>
      <c r="Q20" s="109">
        <v>3</v>
      </c>
      <c r="R20" s="380">
        <v>0</v>
      </c>
    </row>
    <row r="21" spans="1:18" ht="24.95" customHeight="1">
      <c r="A21" s="321"/>
      <c r="B21" s="608">
        <v>14</v>
      </c>
      <c r="C21" s="1113">
        <f t="shared" si="0"/>
        <v>29</v>
      </c>
      <c r="D21" s="86">
        <v>0</v>
      </c>
      <c r="E21" s="109">
        <v>28</v>
      </c>
      <c r="F21" s="109">
        <v>1</v>
      </c>
      <c r="G21" s="1113">
        <f t="shared" si="1"/>
        <v>1</v>
      </c>
      <c r="H21" s="86">
        <v>0</v>
      </c>
      <c r="I21" s="98">
        <v>0</v>
      </c>
      <c r="J21" s="380">
        <v>1</v>
      </c>
      <c r="K21" s="1117">
        <f t="shared" si="2"/>
        <v>29</v>
      </c>
      <c r="L21" s="86">
        <v>0</v>
      </c>
      <c r="M21" s="109">
        <v>29</v>
      </c>
      <c r="N21" s="380">
        <v>0</v>
      </c>
      <c r="O21" s="1117">
        <f t="shared" si="3"/>
        <v>3</v>
      </c>
      <c r="P21" s="86">
        <v>0</v>
      </c>
      <c r="Q21" s="109">
        <v>3</v>
      </c>
      <c r="R21" s="380">
        <v>0</v>
      </c>
    </row>
    <row r="22" spans="1:18" ht="24.95" customHeight="1">
      <c r="A22" s="321"/>
      <c r="B22" s="608">
        <v>15</v>
      </c>
      <c r="C22" s="1113">
        <f t="shared" si="0"/>
        <v>25</v>
      </c>
      <c r="D22" s="86">
        <v>1</v>
      </c>
      <c r="E22" s="109">
        <v>24</v>
      </c>
      <c r="F22" s="109">
        <v>0</v>
      </c>
      <c r="G22" s="1113">
        <f t="shared" si="1"/>
        <v>0</v>
      </c>
      <c r="H22" s="86">
        <v>0</v>
      </c>
      <c r="I22" s="98">
        <v>0</v>
      </c>
      <c r="J22" s="380">
        <v>0</v>
      </c>
      <c r="K22" s="1117">
        <f t="shared" si="2"/>
        <v>29</v>
      </c>
      <c r="L22" s="86">
        <v>2</v>
      </c>
      <c r="M22" s="109">
        <v>27</v>
      </c>
      <c r="N22" s="380">
        <v>0</v>
      </c>
      <c r="O22" s="1117">
        <f t="shared" si="3"/>
        <v>2</v>
      </c>
      <c r="P22" s="86">
        <v>0</v>
      </c>
      <c r="Q22" s="109">
        <v>2</v>
      </c>
      <c r="R22" s="380">
        <v>0</v>
      </c>
    </row>
    <row r="23" spans="1:18" ht="24.95" customHeight="1">
      <c r="A23" s="321"/>
      <c r="B23" s="608">
        <v>16</v>
      </c>
      <c r="C23" s="1113">
        <f t="shared" si="0"/>
        <v>26</v>
      </c>
      <c r="D23" s="86">
        <v>2</v>
      </c>
      <c r="E23" s="109">
        <v>24</v>
      </c>
      <c r="F23" s="109">
        <v>0</v>
      </c>
      <c r="G23" s="1113">
        <f t="shared" si="1"/>
        <v>0</v>
      </c>
      <c r="H23" s="86">
        <v>0</v>
      </c>
      <c r="I23" s="98">
        <v>0</v>
      </c>
      <c r="J23" s="380">
        <v>0</v>
      </c>
      <c r="K23" s="1117">
        <f t="shared" si="2"/>
        <v>28</v>
      </c>
      <c r="L23" s="86">
        <v>2</v>
      </c>
      <c r="M23" s="109">
        <v>26</v>
      </c>
      <c r="N23" s="380">
        <v>0</v>
      </c>
      <c r="O23" s="1117">
        <f t="shared" si="3"/>
        <v>7</v>
      </c>
      <c r="P23" s="86">
        <v>1</v>
      </c>
      <c r="Q23" s="109">
        <v>6</v>
      </c>
      <c r="R23" s="380">
        <v>0</v>
      </c>
    </row>
    <row r="24" spans="1:18" ht="24.95" customHeight="1">
      <c r="A24" s="321"/>
      <c r="B24" s="608">
        <v>17</v>
      </c>
      <c r="C24" s="1113">
        <f t="shared" si="0"/>
        <v>47</v>
      </c>
      <c r="D24" s="86">
        <v>1</v>
      </c>
      <c r="E24" s="109">
        <v>46</v>
      </c>
      <c r="F24" s="109">
        <v>0</v>
      </c>
      <c r="G24" s="1113">
        <f t="shared" si="1"/>
        <v>0</v>
      </c>
      <c r="H24" s="86">
        <v>0</v>
      </c>
      <c r="I24" s="98">
        <v>0</v>
      </c>
      <c r="J24" s="380">
        <v>0</v>
      </c>
      <c r="K24" s="1117">
        <f t="shared" si="2"/>
        <v>51</v>
      </c>
      <c r="L24" s="86">
        <v>1</v>
      </c>
      <c r="M24" s="109">
        <v>50</v>
      </c>
      <c r="N24" s="380">
        <v>0</v>
      </c>
      <c r="O24" s="1117">
        <f t="shared" si="3"/>
        <v>8</v>
      </c>
      <c r="P24" s="86">
        <v>0</v>
      </c>
      <c r="Q24" s="109">
        <v>8</v>
      </c>
      <c r="R24" s="380">
        <v>0</v>
      </c>
    </row>
    <row r="25" spans="1:18" ht="24.95" customHeight="1">
      <c r="A25" s="474"/>
      <c r="B25" s="584">
        <v>18</v>
      </c>
      <c r="C25" s="1113">
        <f t="shared" si="0"/>
        <v>49</v>
      </c>
      <c r="D25" s="86">
        <v>3</v>
      </c>
      <c r="E25" s="109">
        <v>46</v>
      </c>
      <c r="F25" s="109">
        <v>0</v>
      </c>
      <c r="G25" s="1113">
        <f t="shared" si="1"/>
        <v>0</v>
      </c>
      <c r="H25" s="86">
        <v>0</v>
      </c>
      <c r="I25" s="109">
        <v>0</v>
      </c>
      <c r="J25" s="380">
        <v>0</v>
      </c>
      <c r="K25" s="1117">
        <f t="shared" si="2"/>
        <v>58</v>
      </c>
      <c r="L25" s="86">
        <v>3</v>
      </c>
      <c r="M25" s="109">
        <v>55</v>
      </c>
      <c r="N25" s="380">
        <v>0</v>
      </c>
      <c r="O25" s="1117">
        <f t="shared" si="3"/>
        <v>9</v>
      </c>
      <c r="P25" s="86">
        <v>1</v>
      </c>
      <c r="Q25" s="109">
        <v>8</v>
      </c>
      <c r="R25" s="380">
        <v>0</v>
      </c>
    </row>
    <row r="26" spans="1:18" ht="24.95" customHeight="1">
      <c r="A26" s="475" t="s">
        <v>390</v>
      </c>
      <c r="B26" s="584">
        <v>19</v>
      </c>
      <c r="C26" s="1113">
        <f t="shared" si="0"/>
        <v>28</v>
      </c>
      <c r="D26" s="86">
        <v>1</v>
      </c>
      <c r="E26" s="109">
        <v>27</v>
      </c>
      <c r="F26" s="109">
        <v>0</v>
      </c>
      <c r="G26" s="1113">
        <f t="shared" si="1"/>
        <v>0</v>
      </c>
      <c r="H26" s="86">
        <v>0</v>
      </c>
      <c r="I26" s="109">
        <v>0</v>
      </c>
      <c r="J26" s="380">
        <v>0</v>
      </c>
      <c r="K26" s="1117">
        <f t="shared" si="2"/>
        <v>31</v>
      </c>
      <c r="L26" s="86">
        <v>1</v>
      </c>
      <c r="M26" s="109">
        <v>30</v>
      </c>
      <c r="N26" s="380">
        <v>0</v>
      </c>
      <c r="O26" s="1117">
        <f t="shared" si="3"/>
        <v>6</v>
      </c>
      <c r="P26" s="86">
        <v>0</v>
      </c>
      <c r="Q26" s="109">
        <v>6</v>
      </c>
      <c r="R26" s="380">
        <v>0</v>
      </c>
    </row>
    <row r="27" spans="1:18" ht="24.95" customHeight="1">
      <c r="A27" s="475"/>
      <c r="B27" s="584">
        <v>20</v>
      </c>
      <c r="C27" s="1113">
        <f t="shared" si="0"/>
        <v>25</v>
      </c>
      <c r="D27" s="86">
        <v>2</v>
      </c>
      <c r="E27" s="109">
        <v>23</v>
      </c>
      <c r="F27" s="109">
        <v>0</v>
      </c>
      <c r="G27" s="1113">
        <f t="shared" si="1"/>
        <v>0</v>
      </c>
      <c r="H27" s="86">
        <v>0</v>
      </c>
      <c r="I27" s="109">
        <v>0</v>
      </c>
      <c r="J27" s="380">
        <v>0</v>
      </c>
      <c r="K27" s="1117">
        <f t="shared" si="2"/>
        <v>30</v>
      </c>
      <c r="L27" s="86">
        <v>2</v>
      </c>
      <c r="M27" s="109">
        <v>28</v>
      </c>
      <c r="N27" s="380">
        <v>0</v>
      </c>
      <c r="O27" s="1117">
        <f t="shared" si="3"/>
        <v>3</v>
      </c>
      <c r="P27" s="86">
        <v>0</v>
      </c>
      <c r="Q27" s="109">
        <v>3</v>
      </c>
      <c r="R27" s="380">
        <v>0</v>
      </c>
    </row>
    <row r="28" spans="1:18" ht="24.95" customHeight="1">
      <c r="A28" s="475" t="s">
        <v>391</v>
      </c>
      <c r="B28" s="584">
        <v>21</v>
      </c>
      <c r="C28" s="1113">
        <f t="shared" si="0"/>
        <v>31</v>
      </c>
      <c r="D28" s="86">
        <v>1</v>
      </c>
      <c r="E28" s="109">
        <v>30</v>
      </c>
      <c r="F28" s="109">
        <v>0</v>
      </c>
      <c r="G28" s="1113">
        <f t="shared" si="1"/>
        <v>0</v>
      </c>
      <c r="H28" s="86">
        <v>0</v>
      </c>
      <c r="I28" s="109">
        <v>0</v>
      </c>
      <c r="J28" s="380">
        <v>0</v>
      </c>
      <c r="K28" s="1117">
        <f t="shared" si="2"/>
        <v>36</v>
      </c>
      <c r="L28" s="86">
        <v>1</v>
      </c>
      <c r="M28" s="109">
        <v>35</v>
      </c>
      <c r="N28" s="380">
        <v>0</v>
      </c>
      <c r="O28" s="1117">
        <f t="shared" si="3"/>
        <v>5</v>
      </c>
      <c r="P28" s="86">
        <v>0</v>
      </c>
      <c r="Q28" s="109">
        <v>5</v>
      </c>
      <c r="R28" s="380">
        <v>0</v>
      </c>
    </row>
    <row r="29" spans="1:18" ht="24.95" customHeight="1">
      <c r="A29" s="475"/>
      <c r="B29" s="584">
        <v>22</v>
      </c>
      <c r="C29" s="1113">
        <f t="shared" si="0"/>
        <v>16</v>
      </c>
      <c r="D29" s="86">
        <v>2</v>
      </c>
      <c r="E29" s="109">
        <v>14</v>
      </c>
      <c r="F29" s="109">
        <v>0</v>
      </c>
      <c r="G29" s="1113">
        <f t="shared" si="1"/>
        <v>0</v>
      </c>
      <c r="H29" s="86">
        <v>0</v>
      </c>
      <c r="I29" s="109">
        <v>0</v>
      </c>
      <c r="J29" s="380">
        <v>0</v>
      </c>
      <c r="K29" s="1117">
        <f t="shared" si="2"/>
        <v>18</v>
      </c>
      <c r="L29" s="86">
        <v>2</v>
      </c>
      <c r="M29" s="109">
        <v>16</v>
      </c>
      <c r="N29" s="380">
        <v>0</v>
      </c>
      <c r="O29" s="1117">
        <f t="shared" si="3"/>
        <v>4</v>
      </c>
      <c r="P29" s="86">
        <v>1</v>
      </c>
      <c r="Q29" s="109">
        <v>3</v>
      </c>
      <c r="R29" s="380">
        <v>0</v>
      </c>
    </row>
    <row r="30" spans="1:18" ht="24.95" customHeight="1" thickBot="1">
      <c r="A30" s="475"/>
      <c r="B30" s="613">
        <v>23</v>
      </c>
      <c r="C30" s="1127">
        <f t="shared" si="0"/>
        <v>16</v>
      </c>
      <c r="D30" s="80">
        <v>0</v>
      </c>
      <c r="E30" s="113">
        <v>16</v>
      </c>
      <c r="F30" s="113">
        <v>0</v>
      </c>
      <c r="G30" s="1127">
        <f t="shared" si="1"/>
        <v>0</v>
      </c>
      <c r="H30" s="80">
        <v>0</v>
      </c>
      <c r="I30" s="113">
        <v>0</v>
      </c>
      <c r="J30" s="382">
        <v>0</v>
      </c>
      <c r="K30" s="1128">
        <f t="shared" si="2"/>
        <v>18</v>
      </c>
      <c r="L30" s="80">
        <v>0</v>
      </c>
      <c r="M30" s="113">
        <v>18</v>
      </c>
      <c r="N30" s="382">
        <v>0</v>
      </c>
      <c r="O30" s="1128">
        <f t="shared" si="3"/>
        <v>6</v>
      </c>
      <c r="P30" s="80">
        <v>0</v>
      </c>
      <c r="Q30" s="113">
        <v>6</v>
      </c>
      <c r="R30" s="382">
        <v>0</v>
      </c>
    </row>
    <row r="31" spans="1:18" ht="24.95" customHeight="1">
      <c r="A31" s="1675" t="s">
        <v>392</v>
      </c>
      <c r="B31" s="1540"/>
      <c r="C31" s="1129">
        <f t="shared" ref="C31:R31" si="4">SUM(C13:C24)</f>
        <v>360</v>
      </c>
      <c r="D31" s="1130">
        <f t="shared" si="4"/>
        <v>8</v>
      </c>
      <c r="E31" s="1130">
        <f t="shared" si="4"/>
        <v>349</v>
      </c>
      <c r="F31" s="1131">
        <f t="shared" si="4"/>
        <v>3</v>
      </c>
      <c r="G31" s="1129">
        <f t="shared" si="4"/>
        <v>3</v>
      </c>
      <c r="H31" s="1130">
        <f t="shared" si="4"/>
        <v>0</v>
      </c>
      <c r="I31" s="1130">
        <f t="shared" si="4"/>
        <v>2</v>
      </c>
      <c r="J31" s="996">
        <f t="shared" si="4"/>
        <v>1</v>
      </c>
      <c r="K31" s="1129">
        <f t="shared" si="4"/>
        <v>383</v>
      </c>
      <c r="L31" s="1130">
        <f t="shared" si="4"/>
        <v>9</v>
      </c>
      <c r="M31" s="1130">
        <f t="shared" si="4"/>
        <v>372</v>
      </c>
      <c r="N31" s="996">
        <f t="shared" si="4"/>
        <v>2</v>
      </c>
      <c r="O31" s="1129">
        <f t="shared" si="4"/>
        <v>65</v>
      </c>
      <c r="P31" s="1130">
        <f t="shared" si="4"/>
        <v>2</v>
      </c>
      <c r="Q31" s="1130">
        <f t="shared" si="4"/>
        <v>62</v>
      </c>
      <c r="R31" s="996">
        <f t="shared" si="4"/>
        <v>1</v>
      </c>
    </row>
    <row r="32" spans="1:18" ht="24.95" customHeight="1">
      <c r="A32" s="1676" t="s">
        <v>393</v>
      </c>
      <c r="B32" s="1846"/>
      <c r="C32" s="1133">
        <f t="shared" ref="C32:R32" si="5">C33-C31</f>
        <v>191</v>
      </c>
      <c r="D32" s="1134">
        <f t="shared" si="5"/>
        <v>12</v>
      </c>
      <c r="E32" s="1134">
        <f t="shared" si="5"/>
        <v>177</v>
      </c>
      <c r="F32" s="1135">
        <f t="shared" si="5"/>
        <v>2</v>
      </c>
      <c r="G32" s="1133">
        <f t="shared" si="5"/>
        <v>1</v>
      </c>
      <c r="H32" s="1134">
        <f t="shared" si="5"/>
        <v>0</v>
      </c>
      <c r="I32" s="1134">
        <f t="shared" si="5"/>
        <v>0</v>
      </c>
      <c r="J32" s="926">
        <f t="shared" si="5"/>
        <v>1</v>
      </c>
      <c r="K32" s="1133">
        <f t="shared" si="5"/>
        <v>218</v>
      </c>
      <c r="L32" s="1134">
        <f t="shared" si="5"/>
        <v>12</v>
      </c>
      <c r="M32" s="1134">
        <f t="shared" si="5"/>
        <v>205</v>
      </c>
      <c r="N32" s="926">
        <f t="shared" si="5"/>
        <v>1</v>
      </c>
      <c r="O32" s="1133">
        <f t="shared" si="5"/>
        <v>43</v>
      </c>
      <c r="P32" s="1134">
        <f t="shared" si="5"/>
        <v>4</v>
      </c>
      <c r="Q32" s="1134">
        <f t="shared" si="5"/>
        <v>38</v>
      </c>
      <c r="R32" s="926">
        <f t="shared" si="5"/>
        <v>1</v>
      </c>
    </row>
    <row r="33" spans="1:18" ht="24.95" customHeight="1" thickBot="1">
      <c r="A33" s="1670" t="s">
        <v>394</v>
      </c>
      <c r="B33" s="1956"/>
      <c r="C33" s="1137">
        <f t="shared" ref="C33:R33" si="6">SUM(C7:C30)</f>
        <v>551</v>
      </c>
      <c r="D33" s="1138">
        <f t="shared" si="6"/>
        <v>20</v>
      </c>
      <c r="E33" s="1138">
        <f t="shared" si="6"/>
        <v>526</v>
      </c>
      <c r="F33" s="1139">
        <f t="shared" si="6"/>
        <v>5</v>
      </c>
      <c r="G33" s="1137">
        <f t="shared" si="6"/>
        <v>4</v>
      </c>
      <c r="H33" s="1138">
        <f t="shared" si="6"/>
        <v>0</v>
      </c>
      <c r="I33" s="1138">
        <f t="shared" si="6"/>
        <v>2</v>
      </c>
      <c r="J33" s="929">
        <f t="shared" si="6"/>
        <v>2</v>
      </c>
      <c r="K33" s="1137">
        <f t="shared" si="6"/>
        <v>601</v>
      </c>
      <c r="L33" s="1138">
        <f t="shared" si="6"/>
        <v>21</v>
      </c>
      <c r="M33" s="1138">
        <f t="shared" si="6"/>
        <v>577</v>
      </c>
      <c r="N33" s="929">
        <f t="shared" si="6"/>
        <v>3</v>
      </c>
      <c r="O33" s="1137">
        <f t="shared" si="6"/>
        <v>108</v>
      </c>
      <c r="P33" s="1138">
        <f t="shared" si="6"/>
        <v>6</v>
      </c>
      <c r="Q33" s="1138">
        <f t="shared" si="6"/>
        <v>100</v>
      </c>
      <c r="R33" s="929">
        <f t="shared" si="6"/>
        <v>2</v>
      </c>
    </row>
    <row r="34" spans="1:18" ht="24.95" customHeight="1">
      <c r="A34" s="2" t="s">
        <v>843</v>
      </c>
    </row>
  </sheetData>
  <mergeCells count="11">
    <mergeCell ref="O3:Q3"/>
    <mergeCell ref="O4:Q4"/>
    <mergeCell ref="A31:B31"/>
    <mergeCell ref="A32:B32"/>
    <mergeCell ref="A33:B33"/>
    <mergeCell ref="C3:E4"/>
    <mergeCell ref="F3:F4"/>
    <mergeCell ref="G3:I4"/>
    <mergeCell ref="J3:J4"/>
    <mergeCell ref="K3:M4"/>
    <mergeCell ref="N3:N4"/>
  </mergeCells>
  <phoneticPr fontId="3"/>
  <pageMargins left="0.78740157480314965" right="0.57999999999999996" top="0.98425196850393704" bottom="0.98425196850393704" header="0.51181102362204722" footer="0.51181102362204722"/>
  <pageSetup paperSize="9" scale="68" orientation="portrait" r:id="rId1"/>
  <headerFooter alignWithMargins="0">
    <oddFooter>&amp;C－44－</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view="pageBreakPreview" zoomScaleNormal="100" zoomScaleSheetLayoutView="100" workbookViewId="0">
      <selection activeCell="M14" sqref="M14"/>
    </sheetView>
  </sheetViews>
  <sheetFormatPr defaultRowHeight="14.25"/>
  <cols>
    <col min="1" max="1" width="1.875" style="2" customWidth="1"/>
    <col min="2" max="2" width="14.75" style="2" customWidth="1"/>
    <col min="3" max="15" width="6.625" style="2" customWidth="1"/>
    <col min="16" max="16" width="6" style="2" customWidth="1"/>
    <col min="17" max="17" width="6.25" style="2" customWidth="1"/>
    <col min="18" max="18" width="5.75" style="2" customWidth="1"/>
    <col min="19" max="19" width="6.125" style="2" customWidth="1"/>
    <col min="20" max="16384" width="9" style="2"/>
  </cols>
  <sheetData>
    <row r="1" spans="1:22" ht="15">
      <c r="A1" s="70" t="s">
        <v>874</v>
      </c>
      <c r="B1" s="70"/>
      <c r="C1" s="690"/>
      <c r="D1" s="690"/>
      <c r="E1" s="690"/>
      <c r="F1" s="690"/>
      <c r="G1" s="690"/>
      <c r="H1" s="690"/>
      <c r="I1" s="690"/>
      <c r="J1" s="690"/>
      <c r="K1" s="690"/>
      <c r="L1" s="690"/>
      <c r="M1" s="690"/>
      <c r="N1" s="690"/>
      <c r="O1" s="690"/>
    </row>
    <row r="2" spans="1:22" ht="15" thickBot="1">
      <c r="A2" s="1233"/>
      <c r="B2" s="1233"/>
      <c r="C2" s="690"/>
      <c r="D2" s="690"/>
      <c r="E2" s="690"/>
      <c r="F2" s="690"/>
      <c r="G2" s="690"/>
      <c r="H2" s="690"/>
      <c r="I2" s="690"/>
      <c r="J2" s="690"/>
      <c r="K2" s="690"/>
      <c r="L2" s="690"/>
      <c r="M2" s="690"/>
      <c r="N2" s="690"/>
      <c r="O2" s="690"/>
    </row>
    <row r="3" spans="1:22">
      <c r="A3" s="1234"/>
      <c r="B3" s="1235" t="s">
        <v>875</v>
      </c>
      <c r="C3" s="2090" t="s">
        <v>876</v>
      </c>
      <c r="D3" s="2086" t="s">
        <v>550</v>
      </c>
      <c r="E3" s="2086" t="s">
        <v>551</v>
      </c>
      <c r="F3" s="2086" t="s">
        <v>552</v>
      </c>
      <c r="G3" s="2086" t="s">
        <v>553</v>
      </c>
      <c r="H3" s="2086" t="s">
        <v>554</v>
      </c>
      <c r="I3" s="2086" t="s">
        <v>555</v>
      </c>
      <c r="J3" s="2086" t="s">
        <v>556</v>
      </c>
      <c r="K3" s="2086" t="s">
        <v>557</v>
      </c>
      <c r="L3" s="2086" t="s">
        <v>877</v>
      </c>
      <c r="M3" s="2086" t="s">
        <v>878</v>
      </c>
      <c r="N3" s="2088" t="s">
        <v>879</v>
      </c>
      <c r="O3" s="2084" t="s">
        <v>929</v>
      </c>
    </row>
    <row r="4" spans="1:22" ht="15.75" thickBot="1">
      <c r="A4" s="1236" t="s">
        <v>768</v>
      </c>
      <c r="B4" s="1237"/>
      <c r="C4" s="1896"/>
      <c r="D4" s="1783"/>
      <c r="E4" s="1783"/>
      <c r="F4" s="1783"/>
      <c r="G4" s="1783"/>
      <c r="H4" s="1783"/>
      <c r="I4" s="1783"/>
      <c r="J4" s="1783"/>
      <c r="K4" s="1783"/>
      <c r="L4" s="1783"/>
      <c r="M4" s="2087"/>
      <c r="N4" s="2089"/>
      <c r="O4" s="2085"/>
    </row>
    <row r="5" spans="1:22" ht="15">
      <c r="A5" s="1646" t="s">
        <v>689</v>
      </c>
      <c r="B5" s="1417"/>
      <c r="C5" s="1238">
        <v>78</v>
      </c>
      <c r="D5" s="1239">
        <v>79</v>
      </c>
      <c r="E5" s="1239">
        <v>59</v>
      </c>
      <c r="F5" s="1239">
        <v>58</v>
      </c>
      <c r="G5" s="1239">
        <v>64</v>
      </c>
      <c r="H5" s="1239">
        <v>56</v>
      </c>
      <c r="I5" s="1239">
        <v>56</v>
      </c>
      <c r="J5" s="1239">
        <v>70</v>
      </c>
      <c r="K5" s="1240">
        <v>45</v>
      </c>
      <c r="L5" s="1240">
        <v>40</v>
      </c>
      <c r="M5" s="243">
        <v>45</v>
      </c>
      <c r="N5" s="771">
        <v>44</v>
      </c>
      <c r="O5" s="1241">
        <v>38</v>
      </c>
    </row>
    <row r="6" spans="1:22" ht="13.5" customHeight="1">
      <c r="A6" s="1630" t="s">
        <v>561</v>
      </c>
      <c r="B6" s="1433"/>
      <c r="C6" s="1242">
        <v>3</v>
      </c>
      <c r="D6" s="675">
        <v>8</v>
      </c>
      <c r="E6" s="675">
        <v>0</v>
      </c>
      <c r="F6" s="675">
        <v>1</v>
      </c>
      <c r="G6" s="675">
        <v>0</v>
      </c>
      <c r="H6" s="675">
        <v>6</v>
      </c>
      <c r="I6" s="675">
        <v>1</v>
      </c>
      <c r="J6" s="675">
        <v>2</v>
      </c>
      <c r="K6" s="192">
        <v>0</v>
      </c>
      <c r="L6" s="192">
        <v>1</v>
      </c>
      <c r="M6" s="58">
        <v>3</v>
      </c>
      <c r="N6" s="789">
        <v>1</v>
      </c>
      <c r="O6" s="1243">
        <v>3</v>
      </c>
    </row>
    <row r="7" spans="1:22" ht="15">
      <c r="A7" s="1788" t="s">
        <v>562</v>
      </c>
      <c r="B7" s="1433"/>
      <c r="C7" s="1244">
        <v>114</v>
      </c>
      <c r="D7" s="1245">
        <v>109</v>
      </c>
      <c r="E7" s="1245">
        <v>83</v>
      </c>
      <c r="F7" s="1245">
        <v>77</v>
      </c>
      <c r="G7" s="1245">
        <v>104</v>
      </c>
      <c r="H7" s="1245">
        <v>71</v>
      </c>
      <c r="I7" s="1245">
        <v>72</v>
      </c>
      <c r="J7" s="1245">
        <v>104</v>
      </c>
      <c r="K7" s="1246">
        <v>56</v>
      </c>
      <c r="L7" s="1246">
        <v>53</v>
      </c>
      <c r="M7" s="1247">
        <v>55</v>
      </c>
      <c r="N7" s="1248">
        <v>55</v>
      </c>
      <c r="O7" s="1243">
        <v>54</v>
      </c>
    </row>
    <row r="8" spans="1:22" ht="15">
      <c r="A8" s="699"/>
      <c r="B8" s="506" t="s">
        <v>928</v>
      </c>
      <c r="C8" s="1249" t="s">
        <v>15</v>
      </c>
      <c r="D8" s="1250" t="s">
        <v>634</v>
      </c>
      <c r="E8" s="1250" t="s">
        <v>634</v>
      </c>
      <c r="F8" s="1250" t="s">
        <v>634</v>
      </c>
      <c r="G8" s="1250" t="s">
        <v>634</v>
      </c>
      <c r="H8" s="1250" t="s">
        <v>634</v>
      </c>
      <c r="I8" s="1250" t="s">
        <v>634</v>
      </c>
      <c r="J8" s="1250" t="s">
        <v>634</v>
      </c>
      <c r="K8" s="1246">
        <v>5</v>
      </c>
      <c r="L8" s="1246">
        <v>6</v>
      </c>
      <c r="M8" s="1247">
        <v>11</v>
      </c>
      <c r="N8" s="1248">
        <v>8</v>
      </c>
      <c r="O8" s="1243">
        <v>8</v>
      </c>
    </row>
    <row r="9" spans="1:22" ht="15">
      <c r="A9" s="1630" t="s">
        <v>880</v>
      </c>
      <c r="B9" s="1433"/>
      <c r="C9" s="1251">
        <v>62</v>
      </c>
      <c r="D9" s="1252">
        <v>65</v>
      </c>
      <c r="E9" s="1252">
        <v>51</v>
      </c>
      <c r="F9" s="1252">
        <v>49</v>
      </c>
      <c r="G9" s="1252">
        <v>51</v>
      </c>
      <c r="H9" s="1252">
        <v>51</v>
      </c>
      <c r="I9" s="1252">
        <v>49</v>
      </c>
      <c r="J9" s="1252">
        <v>44</v>
      </c>
      <c r="K9" s="1246">
        <v>44</v>
      </c>
      <c r="L9" s="1246">
        <v>34</v>
      </c>
      <c r="M9" s="1247">
        <v>37</v>
      </c>
      <c r="N9" s="1253">
        <v>43</v>
      </c>
      <c r="O9" s="1243">
        <v>40</v>
      </c>
    </row>
    <row r="10" spans="1:22" ht="15.75" thickBot="1">
      <c r="A10" s="1775" t="s">
        <v>566</v>
      </c>
      <c r="B10" s="1823"/>
      <c r="C10" s="1254">
        <f t="shared" ref="C10:O10" si="0">C6/C9*100</f>
        <v>4.838709677419355</v>
      </c>
      <c r="D10" s="1255">
        <f t="shared" si="0"/>
        <v>12.307692307692308</v>
      </c>
      <c r="E10" s="1255">
        <f t="shared" si="0"/>
        <v>0</v>
      </c>
      <c r="F10" s="1255">
        <f t="shared" si="0"/>
        <v>2.0408163265306123</v>
      </c>
      <c r="G10" s="1255">
        <f t="shared" si="0"/>
        <v>0</v>
      </c>
      <c r="H10" s="1255">
        <f t="shared" si="0"/>
        <v>11.76470588235294</v>
      </c>
      <c r="I10" s="1255">
        <f t="shared" si="0"/>
        <v>2.0408163265306123</v>
      </c>
      <c r="J10" s="1256">
        <f t="shared" si="0"/>
        <v>4.5454545454545459</v>
      </c>
      <c r="K10" s="1256">
        <f t="shared" si="0"/>
        <v>0</v>
      </c>
      <c r="L10" s="1256">
        <f t="shared" si="0"/>
        <v>2.9411764705882351</v>
      </c>
      <c r="M10" s="1257">
        <f t="shared" si="0"/>
        <v>8.1081081081081088</v>
      </c>
      <c r="N10" s="1258">
        <f t="shared" si="0"/>
        <v>2.3255813953488373</v>
      </c>
      <c r="O10" s="1259">
        <f t="shared" si="0"/>
        <v>7.5</v>
      </c>
    </row>
    <row r="11" spans="1:22">
      <c r="A11" s="2079" t="s">
        <v>881</v>
      </c>
      <c r="B11" s="2080"/>
      <c r="C11" s="2081"/>
      <c r="D11" s="2081"/>
      <c r="E11" s="2081"/>
      <c r="F11" s="2081"/>
      <c r="G11" s="2081"/>
      <c r="H11" s="2081"/>
      <c r="I11" s="2081"/>
      <c r="J11" s="2081"/>
      <c r="K11" s="2081"/>
      <c r="L11" s="2081"/>
      <c r="M11" s="2081"/>
      <c r="N11" s="2081"/>
      <c r="O11" s="2082"/>
    </row>
    <row r="12" spans="1:22">
      <c r="A12" s="2082"/>
      <c r="B12" s="2082"/>
      <c r="C12" s="2081"/>
      <c r="D12" s="2081"/>
      <c r="E12" s="2081"/>
      <c r="F12" s="2081"/>
      <c r="G12" s="2081"/>
      <c r="H12" s="2081"/>
      <c r="I12" s="2081"/>
      <c r="J12" s="2081"/>
      <c r="K12" s="2081"/>
      <c r="L12" s="2081"/>
      <c r="M12" s="2081"/>
      <c r="N12" s="2081"/>
      <c r="O12" s="2082"/>
    </row>
    <row r="13" spans="1:22">
      <c r="A13" s="2082" t="s">
        <v>882</v>
      </c>
      <c r="B13" s="2083"/>
      <c r="C13" s="2083"/>
      <c r="D13" s="2083"/>
      <c r="E13" s="2083"/>
      <c r="F13" s="2083"/>
      <c r="G13" s="2083"/>
      <c r="H13" s="2083"/>
      <c r="I13" s="2083"/>
      <c r="J13" s="2083"/>
      <c r="K13" s="2083"/>
      <c r="L13" s="2083"/>
      <c r="M13" s="2083"/>
      <c r="N13" s="2083"/>
      <c r="O13" s="2083"/>
    </row>
    <row r="15" spans="1:22" ht="15" thickBot="1">
      <c r="A15" s="2" t="s">
        <v>883</v>
      </c>
    </row>
    <row r="16" spans="1:22" ht="13.5" customHeight="1">
      <c r="A16" s="1260"/>
      <c r="B16" s="932" t="s">
        <v>884</v>
      </c>
      <c r="C16" s="1400">
        <v>1</v>
      </c>
      <c r="D16" s="1544">
        <v>2</v>
      </c>
      <c r="E16" s="1544">
        <v>3</v>
      </c>
      <c r="F16" s="1544">
        <v>4</v>
      </c>
      <c r="G16" s="1544">
        <v>5</v>
      </c>
      <c r="H16" s="1544">
        <v>6</v>
      </c>
      <c r="I16" s="1544">
        <v>7</v>
      </c>
      <c r="J16" s="1544">
        <v>8</v>
      </c>
      <c r="K16" s="1544">
        <v>9</v>
      </c>
      <c r="L16" s="2075">
        <v>10</v>
      </c>
      <c r="M16" s="2075">
        <v>11</v>
      </c>
      <c r="N16" s="2075">
        <v>12</v>
      </c>
      <c r="O16" s="2077" t="s">
        <v>822</v>
      </c>
      <c r="R16" s="2072"/>
      <c r="S16" s="2072"/>
      <c r="T16" s="2072"/>
      <c r="U16" s="2072"/>
      <c r="V16" s="2072"/>
    </row>
    <row r="17" spans="1:22" ht="14.25" customHeight="1" thickBot="1">
      <c r="A17" s="566" t="s">
        <v>362</v>
      </c>
      <c r="B17" s="567"/>
      <c r="C17" s="1402"/>
      <c r="D17" s="1545"/>
      <c r="E17" s="1545"/>
      <c r="F17" s="1545"/>
      <c r="G17" s="1545"/>
      <c r="H17" s="1545"/>
      <c r="I17" s="1545"/>
      <c r="J17" s="1545"/>
      <c r="K17" s="1545"/>
      <c r="L17" s="2076"/>
      <c r="M17" s="2076"/>
      <c r="N17" s="2076"/>
      <c r="O17" s="2078"/>
      <c r="R17" s="2072"/>
      <c r="S17" s="2072"/>
      <c r="T17" s="2072"/>
      <c r="U17" s="2072"/>
      <c r="V17" s="2072"/>
    </row>
    <row r="18" spans="1:22">
      <c r="A18" s="2073" t="s">
        <v>741</v>
      </c>
      <c r="B18" s="1513"/>
      <c r="C18" s="1261">
        <v>1</v>
      </c>
      <c r="D18" s="1262">
        <v>1</v>
      </c>
      <c r="E18" s="1262">
        <v>2</v>
      </c>
      <c r="F18" s="1262">
        <v>2</v>
      </c>
      <c r="G18" s="1262">
        <v>3</v>
      </c>
      <c r="H18" s="1262">
        <v>5</v>
      </c>
      <c r="I18" s="1262">
        <v>4</v>
      </c>
      <c r="J18" s="1262">
        <v>4</v>
      </c>
      <c r="K18" s="1262">
        <v>1</v>
      </c>
      <c r="L18" s="1263">
        <v>5</v>
      </c>
      <c r="M18" s="1263">
        <v>5</v>
      </c>
      <c r="N18" s="1263">
        <v>5</v>
      </c>
      <c r="O18" s="1264">
        <f>SUM(C18:N18)</f>
        <v>38</v>
      </c>
      <c r="Q18" s="69"/>
      <c r="R18" s="69"/>
      <c r="S18" s="69"/>
      <c r="T18" s="9"/>
      <c r="U18" s="9"/>
      <c r="V18" s="9"/>
    </row>
    <row r="19" spans="1:22">
      <c r="A19" s="2074" t="s">
        <v>842</v>
      </c>
      <c r="B19" s="1496"/>
      <c r="C19" s="1265">
        <v>0</v>
      </c>
      <c r="D19" s="962">
        <v>0</v>
      </c>
      <c r="E19" s="962">
        <v>0</v>
      </c>
      <c r="F19" s="962">
        <v>0</v>
      </c>
      <c r="G19" s="962">
        <v>0</v>
      </c>
      <c r="H19" s="962">
        <v>1</v>
      </c>
      <c r="I19" s="962">
        <v>1</v>
      </c>
      <c r="J19" s="962">
        <v>1</v>
      </c>
      <c r="K19" s="962">
        <v>0</v>
      </c>
      <c r="L19" s="1266">
        <v>0</v>
      </c>
      <c r="M19" s="1266">
        <v>0</v>
      </c>
      <c r="N19" s="1266">
        <v>0</v>
      </c>
      <c r="O19" s="1267">
        <f>SUM(C19:N19)</f>
        <v>3</v>
      </c>
      <c r="Q19" s="69"/>
      <c r="R19" s="69"/>
      <c r="S19" s="69"/>
      <c r="T19" s="9"/>
      <c r="U19" s="9"/>
      <c r="V19" s="9"/>
    </row>
    <row r="20" spans="1:22">
      <c r="A20" s="2066" t="s">
        <v>562</v>
      </c>
      <c r="B20" s="1496"/>
      <c r="C20" s="1268">
        <v>2</v>
      </c>
      <c r="D20" s="964">
        <v>3</v>
      </c>
      <c r="E20" s="964">
        <v>4</v>
      </c>
      <c r="F20" s="964">
        <v>2</v>
      </c>
      <c r="G20" s="964">
        <v>6</v>
      </c>
      <c r="H20" s="964">
        <v>4</v>
      </c>
      <c r="I20" s="964">
        <v>6</v>
      </c>
      <c r="J20" s="964">
        <v>3</v>
      </c>
      <c r="K20" s="964">
        <v>2</v>
      </c>
      <c r="L20" s="1269">
        <v>5</v>
      </c>
      <c r="M20" s="1269">
        <v>10</v>
      </c>
      <c r="N20" s="1269">
        <v>7</v>
      </c>
      <c r="O20" s="1270">
        <f>SUM(C20:N20)</f>
        <v>54</v>
      </c>
      <c r="Q20" s="69"/>
      <c r="R20" s="69"/>
      <c r="S20" s="69"/>
      <c r="T20" s="9"/>
      <c r="U20" s="9"/>
      <c r="V20" s="9"/>
    </row>
    <row r="21" spans="1:22" ht="15" thickBot="1">
      <c r="A21" s="1271"/>
      <c r="B21" s="325" t="s">
        <v>928</v>
      </c>
      <c r="C21" s="369">
        <v>0</v>
      </c>
      <c r="D21" s="1272">
        <v>1</v>
      </c>
      <c r="E21" s="1272">
        <v>1</v>
      </c>
      <c r="F21" s="1272">
        <v>0</v>
      </c>
      <c r="G21" s="1272">
        <v>2</v>
      </c>
      <c r="H21" s="1272">
        <v>1</v>
      </c>
      <c r="I21" s="1272">
        <v>1</v>
      </c>
      <c r="J21" s="1272">
        <v>0</v>
      </c>
      <c r="K21" s="1272">
        <v>0</v>
      </c>
      <c r="L21" s="1273">
        <v>0</v>
      </c>
      <c r="M21" s="1273">
        <v>1</v>
      </c>
      <c r="N21" s="1273">
        <v>1</v>
      </c>
      <c r="O21" s="1274">
        <f>SUM(C21:N21)</f>
        <v>8</v>
      </c>
      <c r="Q21" s="69"/>
      <c r="R21" s="69"/>
      <c r="S21" s="69"/>
      <c r="T21" s="9"/>
      <c r="U21" s="9"/>
      <c r="V21" s="9"/>
    </row>
    <row r="22" spans="1:22">
      <c r="Q22" s="69"/>
      <c r="R22" s="69"/>
      <c r="S22" s="69"/>
      <c r="T22" s="9"/>
      <c r="U22" s="9"/>
      <c r="V22" s="9"/>
    </row>
    <row r="23" spans="1:22" ht="15" thickBot="1">
      <c r="A23" s="2" t="s">
        <v>885</v>
      </c>
      <c r="E23" s="9"/>
      <c r="Q23" s="69"/>
      <c r="R23" s="69"/>
      <c r="S23" s="69"/>
      <c r="T23" s="9"/>
      <c r="U23" s="9"/>
      <c r="V23" s="9"/>
    </row>
    <row r="24" spans="1:22" ht="7.5" customHeight="1" thickBot="1">
      <c r="A24" s="3"/>
      <c r="B24" s="4"/>
      <c r="C24" s="2067" t="s">
        <v>756</v>
      </c>
      <c r="D24" s="3"/>
      <c r="E24" s="4"/>
      <c r="F24" s="3"/>
      <c r="G24" s="1275"/>
      <c r="H24" s="4"/>
      <c r="I24" s="4"/>
      <c r="J24" s="349"/>
      <c r="K24" s="348"/>
      <c r="Q24" s="69"/>
      <c r="R24" s="69"/>
      <c r="S24" s="69"/>
    </row>
    <row r="25" spans="1:22">
      <c r="A25" s="310"/>
      <c r="B25" s="9"/>
      <c r="C25" s="2068"/>
      <c r="D25" s="2069" t="s">
        <v>886</v>
      </c>
      <c r="E25" s="2070"/>
      <c r="F25" s="2069" t="s">
        <v>653</v>
      </c>
      <c r="G25" s="2071"/>
      <c r="H25" s="2070" t="s">
        <v>436</v>
      </c>
      <c r="I25" s="2071"/>
      <c r="J25" s="2070" t="s">
        <v>930</v>
      </c>
      <c r="K25" s="2071"/>
      <c r="Q25" s="69"/>
      <c r="R25" s="69"/>
      <c r="S25" s="69"/>
    </row>
    <row r="26" spans="1:22" ht="15" thickBot="1">
      <c r="A26" s="1276" t="s">
        <v>757</v>
      </c>
      <c r="B26" s="916"/>
      <c r="C26" s="7"/>
      <c r="D26" s="6"/>
      <c r="E26" s="1277" t="s">
        <v>428</v>
      </c>
      <c r="F26" s="6"/>
      <c r="G26" s="1278" t="s">
        <v>431</v>
      </c>
      <c r="H26" s="7"/>
      <c r="I26" s="1278" t="s">
        <v>431</v>
      </c>
      <c r="J26" s="7"/>
      <c r="K26" s="1278" t="s">
        <v>431</v>
      </c>
      <c r="Q26" s="69"/>
      <c r="R26" s="69"/>
      <c r="S26" s="69"/>
    </row>
    <row r="27" spans="1:22">
      <c r="A27" s="1692" t="s">
        <v>887</v>
      </c>
      <c r="B27" s="2061"/>
      <c r="C27" s="1279">
        <v>0</v>
      </c>
      <c r="D27" s="2064">
        <v>2</v>
      </c>
      <c r="E27" s="2065"/>
      <c r="F27" s="2064">
        <v>0</v>
      </c>
      <c r="G27" s="2065"/>
      <c r="H27" s="2064">
        <v>2</v>
      </c>
      <c r="I27" s="2065"/>
      <c r="J27" s="2064">
        <v>0</v>
      </c>
      <c r="K27" s="2065"/>
      <c r="Q27" s="69"/>
    </row>
    <row r="28" spans="1:22">
      <c r="A28" s="2055"/>
      <c r="B28" s="2056"/>
      <c r="C28" s="84">
        <v>1</v>
      </c>
      <c r="D28" s="2045">
        <v>5</v>
      </c>
      <c r="E28" s="2046"/>
      <c r="F28" s="2045">
        <v>2</v>
      </c>
      <c r="G28" s="2046"/>
      <c r="H28" s="2045">
        <v>4</v>
      </c>
      <c r="I28" s="2046"/>
      <c r="J28" s="2045">
        <v>0</v>
      </c>
      <c r="K28" s="2046"/>
      <c r="Q28" s="69"/>
    </row>
    <row r="29" spans="1:22">
      <c r="A29" s="2055"/>
      <c r="B29" s="2056"/>
      <c r="C29" s="84">
        <v>2</v>
      </c>
      <c r="D29" s="2045">
        <v>7</v>
      </c>
      <c r="E29" s="2046"/>
      <c r="F29" s="2045">
        <v>0</v>
      </c>
      <c r="G29" s="2046"/>
      <c r="H29" s="2045">
        <v>15</v>
      </c>
      <c r="I29" s="2046"/>
      <c r="J29" s="2045">
        <v>2</v>
      </c>
      <c r="K29" s="2046"/>
      <c r="L29" s="9"/>
      <c r="M29" s="9"/>
      <c r="Q29" s="69"/>
    </row>
    <row r="30" spans="1:22">
      <c r="A30" s="2055"/>
      <c r="B30" s="2056"/>
      <c r="C30" s="84">
        <v>3</v>
      </c>
      <c r="D30" s="2045">
        <v>0</v>
      </c>
      <c r="E30" s="2046"/>
      <c r="F30" s="2045">
        <v>0</v>
      </c>
      <c r="G30" s="2046"/>
      <c r="H30" s="2045">
        <v>0</v>
      </c>
      <c r="I30" s="2046"/>
      <c r="J30" s="2045">
        <v>0</v>
      </c>
      <c r="K30" s="2046"/>
      <c r="L30" s="9"/>
      <c r="M30" s="9"/>
      <c r="Q30" s="69"/>
    </row>
    <row r="31" spans="1:22">
      <c r="A31" s="2055"/>
      <c r="B31" s="2056"/>
      <c r="C31" s="84">
        <v>4</v>
      </c>
      <c r="D31" s="2045">
        <v>3</v>
      </c>
      <c r="E31" s="2046"/>
      <c r="F31" s="2045">
        <v>0</v>
      </c>
      <c r="G31" s="2046"/>
      <c r="H31" s="2045">
        <v>3</v>
      </c>
      <c r="I31" s="2046"/>
      <c r="J31" s="2045">
        <v>1</v>
      </c>
      <c r="K31" s="2046"/>
      <c r="L31" s="9"/>
      <c r="M31" s="9"/>
      <c r="Q31" s="69"/>
    </row>
    <row r="32" spans="1:22">
      <c r="A32" s="2062"/>
      <c r="B32" s="2063"/>
      <c r="C32" s="84">
        <v>5</v>
      </c>
      <c r="D32" s="2045">
        <v>2</v>
      </c>
      <c r="E32" s="2046"/>
      <c r="F32" s="2045">
        <v>0</v>
      </c>
      <c r="G32" s="2046"/>
      <c r="H32" s="2045">
        <v>4</v>
      </c>
      <c r="I32" s="2046"/>
      <c r="J32" s="2045">
        <v>0</v>
      </c>
      <c r="K32" s="2046"/>
      <c r="L32" s="9"/>
      <c r="M32" s="9"/>
      <c r="Q32" s="69"/>
    </row>
    <row r="33" spans="1:17">
      <c r="A33" s="1280"/>
      <c r="B33" s="1281"/>
      <c r="C33" s="1281">
        <v>6</v>
      </c>
      <c r="D33" s="2045">
        <v>0</v>
      </c>
      <c r="E33" s="2046"/>
      <c r="F33" s="2045">
        <v>0</v>
      </c>
      <c r="G33" s="2046"/>
      <c r="H33" s="2045">
        <v>0</v>
      </c>
      <c r="I33" s="2046"/>
      <c r="J33" s="2045">
        <v>0</v>
      </c>
      <c r="K33" s="2046"/>
      <c r="L33" s="9"/>
      <c r="M33" s="9"/>
      <c r="Q33" s="69"/>
    </row>
    <row r="34" spans="1:17">
      <c r="A34" s="1280"/>
      <c r="B34" s="1281"/>
      <c r="C34" s="1281">
        <v>7</v>
      </c>
      <c r="D34" s="2045">
        <v>2</v>
      </c>
      <c r="E34" s="2046"/>
      <c r="F34" s="2045">
        <v>0</v>
      </c>
      <c r="G34" s="2046"/>
      <c r="H34" s="2045">
        <v>2</v>
      </c>
      <c r="I34" s="2046"/>
      <c r="J34" s="2045">
        <v>0</v>
      </c>
      <c r="K34" s="2046"/>
      <c r="L34" s="9"/>
      <c r="M34" s="9"/>
      <c r="Q34" s="69"/>
    </row>
    <row r="35" spans="1:17">
      <c r="A35" s="1280"/>
      <c r="B35" s="1281"/>
      <c r="C35" s="1281">
        <v>8</v>
      </c>
      <c r="D35" s="2045">
        <v>2</v>
      </c>
      <c r="E35" s="2046"/>
      <c r="F35" s="2045">
        <v>0</v>
      </c>
      <c r="G35" s="2046"/>
      <c r="H35" s="2045">
        <v>4</v>
      </c>
      <c r="I35" s="2046"/>
      <c r="J35" s="2045">
        <v>2</v>
      </c>
      <c r="K35" s="2046"/>
      <c r="L35" s="9"/>
      <c r="M35" s="9"/>
      <c r="Q35" s="69"/>
    </row>
    <row r="36" spans="1:17">
      <c r="A36" s="1280"/>
      <c r="B36" s="1281"/>
      <c r="C36" s="1281">
        <v>9</v>
      </c>
      <c r="D36" s="2045">
        <v>1</v>
      </c>
      <c r="E36" s="2046"/>
      <c r="F36" s="2045">
        <v>0</v>
      </c>
      <c r="G36" s="2046"/>
      <c r="H36" s="2045">
        <v>2</v>
      </c>
      <c r="I36" s="2046"/>
      <c r="J36" s="2045">
        <v>0</v>
      </c>
      <c r="K36" s="2046"/>
      <c r="L36" s="9"/>
      <c r="M36" s="9"/>
      <c r="Q36" s="69"/>
    </row>
    <row r="37" spans="1:17">
      <c r="A37" s="1280"/>
      <c r="B37" s="1281"/>
      <c r="C37" s="1281">
        <v>10</v>
      </c>
      <c r="D37" s="2045">
        <v>0</v>
      </c>
      <c r="E37" s="2046"/>
      <c r="F37" s="2045">
        <v>0</v>
      </c>
      <c r="G37" s="2046"/>
      <c r="H37" s="2045">
        <v>0</v>
      </c>
      <c r="I37" s="2046"/>
      <c r="J37" s="2045">
        <v>0</v>
      </c>
      <c r="K37" s="2046"/>
      <c r="L37" s="9"/>
      <c r="M37" s="9"/>
      <c r="Q37" s="69"/>
    </row>
    <row r="38" spans="1:17">
      <c r="A38" s="1280"/>
      <c r="B38" s="1281"/>
      <c r="C38" s="1281">
        <v>11</v>
      </c>
      <c r="D38" s="2045">
        <v>0</v>
      </c>
      <c r="E38" s="2046"/>
      <c r="F38" s="2045">
        <v>0</v>
      </c>
      <c r="G38" s="2046"/>
      <c r="H38" s="2045">
        <v>0</v>
      </c>
      <c r="I38" s="2046"/>
      <c r="J38" s="2045">
        <v>0</v>
      </c>
      <c r="K38" s="2046"/>
      <c r="L38" s="9"/>
      <c r="M38" s="9"/>
      <c r="Q38" s="69"/>
    </row>
    <row r="39" spans="1:17">
      <c r="A39" s="1280"/>
      <c r="B39" s="1281"/>
      <c r="C39" s="1281">
        <v>12</v>
      </c>
      <c r="D39" s="2045">
        <v>1</v>
      </c>
      <c r="E39" s="2046"/>
      <c r="F39" s="2045">
        <v>0</v>
      </c>
      <c r="G39" s="2046"/>
      <c r="H39" s="2045">
        <v>1</v>
      </c>
      <c r="I39" s="2046"/>
      <c r="J39" s="2045">
        <v>1</v>
      </c>
      <c r="K39" s="2046"/>
      <c r="L39" s="9"/>
      <c r="M39" s="9"/>
      <c r="Q39" s="69"/>
    </row>
    <row r="40" spans="1:17">
      <c r="A40" s="1280"/>
      <c r="B40" s="1281"/>
      <c r="C40" s="1281">
        <v>13</v>
      </c>
      <c r="D40" s="2045">
        <v>0</v>
      </c>
      <c r="E40" s="2046"/>
      <c r="F40" s="2045">
        <v>0</v>
      </c>
      <c r="G40" s="2046"/>
      <c r="H40" s="2045">
        <v>0</v>
      </c>
      <c r="I40" s="2046"/>
      <c r="J40" s="2045">
        <v>0</v>
      </c>
      <c r="K40" s="2046"/>
      <c r="L40" s="9"/>
      <c r="M40" s="9"/>
      <c r="Q40" s="69"/>
    </row>
    <row r="41" spans="1:17">
      <c r="A41" s="1280"/>
      <c r="B41" s="1281"/>
      <c r="C41" s="1281">
        <v>14</v>
      </c>
      <c r="D41" s="2045">
        <v>0</v>
      </c>
      <c r="E41" s="2046"/>
      <c r="F41" s="2045">
        <v>0</v>
      </c>
      <c r="G41" s="2046"/>
      <c r="H41" s="2045">
        <v>0</v>
      </c>
      <c r="I41" s="2046"/>
      <c r="J41" s="2045">
        <v>0</v>
      </c>
      <c r="K41" s="2046"/>
      <c r="L41" s="9"/>
      <c r="M41" s="9"/>
      <c r="Q41" s="69"/>
    </row>
    <row r="42" spans="1:17">
      <c r="A42" s="1280"/>
      <c r="B42" s="1281"/>
      <c r="C42" s="1281">
        <v>15</v>
      </c>
      <c r="D42" s="2045">
        <v>0</v>
      </c>
      <c r="E42" s="2046"/>
      <c r="F42" s="2045">
        <v>0</v>
      </c>
      <c r="G42" s="2046"/>
      <c r="H42" s="2045">
        <v>0</v>
      </c>
      <c r="I42" s="2046"/>
      <c r="J42" s="2045">
        <v>0</v>
      </c>
      <c r="K42" s="2046"/>
      <c r="L42" s="9"/>
      <c r="M42" s="9"/>
      <c r="Q42" s="69"/>
    </row>
    <row r="43" spans="1:17">
      <c r="A43" s="1280"/>
      <c r="B43" s="1281"/>
      <c r="C43" s="1281">
        <v>16</v>
      </c>
      <c r="D43" s="2045">
        <v>0</v>
      </c>
      <c r="E43" s="2046"/>
      <c r="F43" s="2045">
        <v>0</v>
      </c>
      <c r="G43" s="2046"/>
      <c r="H43" s="2045">
        <v>0</v>
      </c>
      <c r="I43" s="2046"/>
      <c r="J43" s="2045">
        <v>0</v>
      </c>
      <c r="K43" s="2046"/>
      <c r="L43" s="9"/>
      <c r="M43" s="9"/>
    </row>
    <row r="44" spans="1:17">
      <c r="A44" s="1280"/>
      <c r="B44" s="1281"/>
      <c r="C44" s="1281">
        <v>17</v>
      </c>
      <c r="D44" s="2045">
        <v>0</v>
      </c>
      <c r="E44" s="2046"/>
      <c r="F44" s="2045">
        <v>0</v>
      </c>
      <c r="G44" s="2046"/>
      <c r="H44" s="2045">
        <v>0</v>
      </c>
      <c r="I44" s="2046"/>
      <c r="J44" s="2045">
        <v>0</v>
      </c>
      <c r="K44" s="2046"/>
      <c r="L44" s="9"/>
      <c r="M44" s="9"/>
    </row>
    <row r="45" spans="1:17">
      <c r="A45" s="2053" t="s">
        <v>887</v>
      </c>
      <c r="B45" s="2054"/>
      <c r="C45" s="84">
        <v>18</v>
      </c>
      <c r="D45" s="2045">
        <v>1</v>
      </c>
      <c r="E45" s="2046"/>
      <c r="F45" s="2045">
        <v>0</v>
      </c>
      <c r="G45" s="2046"/>
      <c r="H45" s="2045">
        <v>1</v>
      </c>
      <c r="I45" s="2046"/>
      <c r="J45" s="2045">
        <v>0</v>
      </c>
      <c r="K45" s="2046"/>
      <c r="L45" s="9"/>
      <c r="M45" s="9"/>
    </row>
    <row r="46" spans="1:17">
      <c r="A46" s="2055"/>
      <c r="B46" s="2056"/>
      <c r="C46" s="84">
        <v>19</v>
      </c>
      <c r="D46" s="2045">
        <v>1</v>
      </c>
      <c r="E46" s="2046"/>
      <c r="F46" s="2045">
        <v>0</v>
      </c>
      <c r="G46" s="2046"/>
      <c r="H46" s="2045">
        <v>2</v>
      </c>
      <c r="I46" s="2046"/>
      <c r="J46" s="2045">
        <v>0</v>
      </c>
      <c r="K46" s="2046"/>
      <c r="L46" s="9"/>
      <c r="M46" s="9"/>
    </row>
    <row r="47" spans="1:17">
      <c r="A47" s="2055"/>
      <c r="B47" s="2056"/>
      <c r="C47" s="84">
        <v>20</v>
      </c>
      <c r="D47" s="2045">
        <v>0</v>
      </c>
      <c r="E47" s="2046"/>
      <c r="F47" s="2045">
        <v>0</v>
      </c>
      <c r="G47" s="2046"/>
      <c r="H47" s="2045">
        <v>0</v>
      </c>
      <c r="I47" s="2046"/>
      <c r="J47" s="2045">
        <v>0</v>
      </c>
      <c r="K47" s="2046"/>
      <c r="L47" s="9"/>
      <c r="M47" s="9"/>
    </row>
    <row r="48" spans="1:17">
      <c r="A48" s="2055"/>
      <c r="B48" s="2056"/>
      <c r="C48" s="84">
        <v>21</v>
      </c>
      <c r="D48" s="2045">
        <v>3</v>
      </c>
      <c r="E48" s="2046"/>
      <c r="F48" s="2045">
        <v>0</v>
      </c>
      <c r="G48" s="2046"/>
      <c r="H48" s="2045">
        <v>4</v>
      </c>
      <c r="I48" s="2046"/>
      <c r="J48" s="2045">
        <v>0</v>
      </c>
      <c r="K48" s="2046"/>
      <c r="L48" s="9"/>
      <c r="M48" s="9"/>
    </row>
    <row r="49" spans="1:20">
      <c r="A49" s="2055"/>
      <c r="B49" s="2056"/>
      <c r="C49" s="84">
        <v>22</v>
      </c>
      <c r="D49" s="2045">
        <v>3</v>
      </c>
      <c r="E49" s="2046"/>
      <c r="F49" s="2045">
        <v>1</v>
      </c>
      <c r="G49" s="2046"/>
      <c r="H49" s="2045">
        <v>4</v>
      </c>
      <c r="I49" s="2046"/>
      <c r="J49" s="2045">
        <v>2</v>
      </c>
      <c r="K49" s="2046"/>
      <c r="L49" s="9"/>
      <c r="M49" s="9"/>
    </row>
    <row r="50" spans="1:20" ht="15" thickBot="1">
      <c r="A50" s="2057"/>
      <c r="B50" s="2058"/>
      <c r="C50" s="78">
        <v>23</v>
      </c>
      <c r="D50" s="2059">
        <v>5</v>
      </c>
      <c r="E50" s="2060"/>
      <c r="F50" s="2059">
        <v>0</v>
      </c>
      <c r="G50" s="2060"/>
      <c r="H50" s="2059">
        <v>6</v>
      </c>
      <c r="I50" s="2060"/>
      <c r="J50" s="2059">
        <v>0</v>
      </c>
      <c r="K50" s="2060"/>
      <c r="L50" s="9"/>
      <c r="M50" s="9"/>
    </row>
    <row r="51" spans="1:20">
      <c r="A51" s="46" t="s">
        <v>392</v>
      </c>
      <c r="B51" s="243"/>
      <c r="C51" s="243"/>
      <c r="D51" s="2049">
        <f>SUM(D33:E44)</f>
        <v>6</v>
      </c>
      <c r="E51" s="2050"/>
      <c r="F51" s="2049">
        <f>SUM(F33:G44)</f>
        <v>0</v>
      </c>
      <c r="G51" s="2050"/>
      <c r="H51" s="2049">
        <f>SUM(H33:I44)</f>
        <v>9</v>
      </c>
      <c r="I51" s="2050"/>
      <c r="J51" s="2049">
        <f>SUM(J33:K44)</f>
        <v>3</v>
      </c>
      <c r="K51" s="2050"/>
      <c r="L51" s="9"/>
      <c r="M51" s="9"/>
    </row>
    <row r="52" spans="1:20">
      <c r="A52" s="1282" t="s">
        <v>393</v>
      </c>
      <c r="B52" s="58"/>
      <c r="C52" s="58"/>
      <c r="D52" s="2051">
        <f>D53-D51</f>
        <v>32</v>
      </c>
      <c r="E52" s="2052"/>
      <c r="F52" s="2051">
        <f>F53-F51</f>
        <v>3</v>
      </c>
      <c r="G52" s="2052"/>
      <c r="H52" s="2051">
        <f>H53-H51</f>
        <v>45</v>
      </c>
      <c r="I52" s="2052"/>
      <c r="J52" s="2051">
        <f>J53-J51</f>
        <v>5</v>
      </c>
      <c r="K52" s="2052"/>
      <c r="L52" s="9"/>
      <c r="M52" s="9"/>
    </row>
    <row r="53" spans="1:20" ht="15" thickBot="1">
      <c r="A53" s="1283" t="s">
        <v>394</v>
      </c>
      <c r="B53" s="547"/>
      <c r="C53" s="547"/>
      <c r="D53" s="2047">
        <f>SUM(D27:E50)</f>
        <v>38</v>
      </c>
      <c r="E53" s="2048"/>
      <c r="F53" s="2047">
        <f>SUM(F27:G50)</f>
        <v>3</v>
      </c>
      <c r="G53" s="2048"/>
      <c r="H53" s="2047">
        <f>SUM(H27:I50)</f>
        <v>54</v>
      </c>
      <c r="I53" s="2048"/>
      <c r="J53" s="2047">
        <f>SUM(J27:K50)</f>
        <v>8</v>
      </c>
      <c r="K53" s="2048"/>
      <c r="L53" s="802"/>
      <c r="M53" s="9"/>
    </row>
    <row r="54" spans="1:20">
      <c r="L54" s="802"/>
      <c r="M54" s="9"/>
    </row>
    <row r="55" spans="1:20">
      <c r="L55" s="9"/>
      <c r="M55" s="9"/>
      <c r="R55" s="69">
        <v>2</v>
      </c>
      <c r="S55" s="69">
        <v>0</v>
      </c>
      <c r="T55" s="69">
        <v>2</v>
      </c>
    </row>
    <row r="56" spans="1:20">
      <c r="L56" s="9"/>
      <c r="M56" s="9"/>
      <c r="R56" s="69">
        <v>5</v>
      </c>
      <c r="S56" s="69">
        <v>1</v>
      </c>
      <c r="T56" s="69">
        <v>5</v>
      </c>
    </row>
    <row r="57" spans="1:20">
      <c r="L57" s="9"/>
      <c r="M57" s="9"/>
      <c r="R57" s="69">
        <v>1</v>
      </c>
      <c r="S57" s="69">
        <v>0</v>
      </c>
      <c r="T57" s="69">
        <v>1</v>
      </c>
    </row>
    <row r="58" spans="1:20">
      <c r="L58" s="9"/>
      <c r="M58" s="9"/>
      <c r="R58" s="69">
        <v>1</v>
      </c>
      <c r="S58" s="69">
        <v>0</v>
      </c>
      <c r="T58" s="69">
        <v>1</v>
      </c>
    </row>
    <row r="59" spans="1:20">
      <c r="L59" s="9"/>
      <c r="M59" s="9"/>
      <c r="R59" s="69">
        <v>0</v>
      </c>
      <c r="S59" s="69">
        <v>0</v>
      </c>
      <c r="T59" s="69">
        <v>0</v>
      </c>
    </row>
    <row r="60" spans="1:20">
      <c r="L60" s="9"/>
      <c r="M60" s="9"/>
      <c r="R60" s="69">
        <v>1</v>
      </c>
      <c r="S60" s="69">
        <v>0</v>
      </c>
      <c r="T60" s="69">
        <v>1</v>
      </c>
    </row>
    <row r="61" spans="1:20">
      <c r="L61" s="9"/>
      <c r="M61" s="9"/>
      <c r="R61" s="69">
        <v>1</v>
      </c>
      <c r="S61" s="69">
        <v>0</v>
      </c>
      <c r="T61" s="69">
        <v>1</v>
      </c>
    </row>
    <row r="62" spans="1:20">
      <c r="L62" s="9"/>
      <c r="M62" s="9"/>
      <c r="R62" s="69">
        <v>1</v>
      </c>
      <c r="S62" s="69">
        <v>0</v>
      </c>
      <c r="T62" s="69">
        <v>1</v>
      </c>
    </row>
    <row r="63" spans="1:20">
      <c r="L63" s="9"/>
      <c r="M63" s="9"/>
      <c r="R63" s="69">
        <v>0</v>
      </c>
      <c r="S63" s="69">
        <v>0</v>
      </c>
      <c r="T63" s="69">
        <v>0</v>
      </c>
    </row>
    <row r="64" spans="1:20">
      <c r="L64" s="9"/>
      <c r="M64" s="9"/>
      <c r="R64" s="69">
        <v>2</v>
      </c>
      <c r="S64" s="69">
        <v>0</v>
      </c>
      <c r="T64" s="69">
        <v>2</v>
      </c>
    </row>
    <row r="65" spans="12:20">
      <c r="L65" s="9"/>
      <c r="M65" s="9"/>
      <c r="R65" s="69">
        <v>1</v>
      </c>
      <c r="S65" s="69">
        <v>0</v>
      </c>
      <c r="T65" s="69">
        <v>1</v>
      </c>
    </row>
    <row r="66" spans="12:20">
      <c r="L66" s="9"/>
      <c r="M66" s="9"/>
      <c r="R66" s="69">
        <v>0</v>
      </c>
      <c r="S66" s="69">
        <v>0</v>
      </c>
      <c r="T66" s="69">
        <v>0</v>
      </c>
    </row>
    <row r="67" spans="12:20">
      <c r="L67" s="9"/>
      <c r="M67" s="9"/>
      <c r="R67" s="69">
        <v>0</v>
      </c>
      <c r="S67" s="69">
        <v>0</v>
      </c>
      <c r="T67" s="69">
        <v>0</v>
      </c>
    </row>
    <row r="68" spans="12:20">
      <c r="L68" s="9"/>
      <c r="M68" s="9"/>
      <c r="R68" s="69">
        <v>1</v>
      </c>
      <c r="S68" s="69">
        <v>0</v>
      </c>
      <c r="T68" s="69">
        <v>1</v>
      </c>
    </row>
    <row r="69" spans="12:20">
      <c r="L69" s="9"/>
      <c r="M69" s="9"/>
      <c r="R69" s="69">
        <v>0</v>
      </c>
      <c r="S69" s="69">
        <v>0</v>
      </c>
      <c r="T69" s="69">
        <v>0</v>
      </c>
    </row>
    <row r="70" spans="12:20">
      <c r="L70" s="9"/>
      <c r="M70" s="9"/>
      <c r="R70" s="69">
        <v>1</v>
      </c>
      <c r="S70" s="69">
        <v>0</v>
      </c>
      <c r="T70" s="69">
        <v>2</v>
      </c>
    </row>
    <row r="71" spans="12:20">
      <c r="L71" s="9"/>
      <c r="M71" s="9"/>
      <c r="R71" s="69">
        <v>1</v>
      </c>
      <c r="S71" s="69">
        <v>0</v>
      </c>
      <c r="T71" s="69">
        <v>1</v>
      </c>
    </row>
    <row r="72" spans="12:20">
      <c r="L72" s="9"/>
      <c r="M72" s="9"/>
    </row>
    <row r="73" spans="12:20">
      <c r="L73" s="9"/>
      <c r="M73" s="9"/>
    </row>
    <row r="74" spans="12:20">
      <c r="L74" s="9"/>
      <c r="M74" s="9"/>
    </row>
    <row r="75" spans="12:20">
      <c r="L75" s="9"/>
      <c r="M75" s="9"/>
    </row>
    <row r="76" spans="12:20">
      <c r="L76" s="9"/>
      <c r="M76" s="9"/>
    </row>
    <row r="77" spans="12:20">
      <c r="L77" s="9"/>
      <c r="M77" s="9"/>
    </row>
    <row r="78" spans="12:20">
      <c r="L78" s="9"/>
      <c r="M78" s="9"/>
    </row>
    <row r="79" spans="12:20">
      <c r="L79" s="9"/>
      <c r="M79" s="9"/>
    </row>
    <row r="80" spans="12:20">
      <c r="L80" s="9"/>
      <c r="M80" s="9"/>
    </row>
    <row r="81" spans="12:13">
      <c r="L81" s="9"/>
      <c r="M81" s="9"/>
    </row>
    <row r="82" spans="12:13">
      <c r="L82" s="9"/>
      <c r="M82" s="9"/>
    </row>
    <row r="83" spans="12:13">
      <c r="L83" s="9"/>
      <c r="M83" s="9"/>
    </row>
    <row r="84" spans="12:13">
      <c r="L84" s="9"/>
      <c r="M84" s="9"/>
    </row>
    <row r="85" spans="12:13">
      <c r="L85" s="9"/>
      <c r="M85" s="9"/>
    </row>
    <row r="86" spans="12:13">
      <c r="L86" s="9"/>
      <c r="M86" s="9"/>
    </row>
    <row r="87" spans="12:13">
      <c r="L87" s="9"/>
      <c r="M87" s="9"/>
    </row>
    <row r="88" spans="12:13">
      <c r="L88" s="9"/>
      <c r="M88" s="9"/>
    </row>
    <row r="89" spans="12:13">
      <c r="L89" s="9"/>
      <c r="M89" s="9"/>
    </row>
    <row r="90" spans="12:13">
      <c r="L90" s="9"/>
      <c r="M90" s="9"/>
    </row>
    <row r="91" spans="12:13">
      <c r="L91" s="9"/>
      <c r="M91" s="9"/>
    </row>
    <row r="92" spans="12:13">
      <c r="L92" s="9"/>
      <c r="M92" s="9"/>
    </row>
    <row r="93" spans="12:13">
      <c r="L93" s="9"/>
      <c r="M93" s="9"/>
    </row>
    <row r="94" spans="12:13">
      <c r="L94" s="9"/>
      <c r="M94" s="9"/>
    </row>
    <row r="95" spans="12:13">
      <c r="L95" s="9"/>
      <c r="M95" s="9"/>
    </row>
    <row r="96" spans="12:13">
      <c r="L96" s="9"/>
      <c r="M96" s="9"/>
    </row>
    <row r="97" spans="12:13">
      <c r="L97" s="9"/>
      <c r="M97" s="9"/>
    </row>
    <row r="98" spans="12:13">
      <c r="L98" s="9"/>
      <c r="M98" s="9"/>
    </row>
    <row r="99" spans="12:13">
      <c r="L99" s="9"/>
      <c r="M99" s="9"/>
    </row>
    <row r="100" spans="12:13">
      <c r="L100" s="9"/>
      <c r="M100" s="9"/>
    </row>
    <row r="101" spans="12:13">
      <c r="L101" s="9"/>
      <c r="M101" s="9"/>
    </row>
    <row r="102" spans="12:13">
      <c r="L102" s="9"/>
      <c r="M102" s="9"/>
    </row>
    <row r="103" spans="12:13">
      <c r="L103" s="9"/>
      <c r="M103" s="9"/>
    </row>
    <row r="104" spans="12:13">
      <c r="L104" s="9"/>
      <c r="M104" s="9"/>
    </row>
  </sheetData>
  <mergeCells count="156">
    <mergeCell ref="O3:O4"/>
    <mergeCell ref="A5:B5"/>
    <mergeCell ref="A6:B6"/>
    <mergeCell ref="A7:B7"/>
    <mergeCell ref="A9:B9"/>
    <mergeCell ref="A10:B10"/>
    <mergeCell ref="I3:I4"/>
    <mergeCell ref="J3:J4"/>
    <mergeCell ref="K3:K4"/>
    <mergeCell ref="L3:L4"/>
    <mergeCell ref="M3:M4"/>
    <mergeCell ref="N3:N4"/>
    <mergeCell ref="C3:C4"/>
    <mergeCell ref="D3:D4"/>
    <mergeCell ref="E3:E4"/>
    <mergeCell ref="F3:F4"/>
    <mergeCell ref="G3:G4"/>
    <mergeCell ref="H3:H4"/>
    <mergeCell ref="A11:O12"/>
    <mergeCell ref="A13:O13"/>
    <mergeCell ref="C16:C17"/>
    <mergeCell ref="D16:D17"/>
    <mergeCell ref="E16:E17"/>
    <mergeCell ref="F16:F17"/>
    <mergeCell ref="G16:G17"/>
    <mergeCell ref="H16:H17"/>
    <mergeCell ref="I16:I17"/>
    <mergeCell ref="J16:J17"/>
    <mergeCell ref="V16:V17"/>
    <mergeCell ref="A18:B18"/>
    <mergeCell ref="A19:B19"/>
    <mergeCell ref="K16:K17"/>
    <mergeCell ref="L16:L17"/>
    <mergeCell ref="M16:M17"/>
    <mergeCell ref="N16:N17"/>
    <mergeCell ref="O16:O17"/>
    <mergeCell ref="R16:R17"/>
    <mergeCell ref="A20:B20"/>
    <mergeCell ref="C24:C25"/>
    <mergeCell ref="D25:E25"/>
    <mergeCell ref="F25:G25"/>
    <mergeCell ref="H25:I25"/>
    <mergeCell ref="J25:K25"/>
    <mergeCell ref="S16:S17"/>
    <mergeCell ref="T16:T17"/>
    <mergeCell ref="U16:U17"/>
    <mergeCell ref="A27:B32"/>
    <mergeCell ref="D27:E27"/>
    <mergeCell ref="F27:G27"/>
    <mergeCell ref="H27:I27"/>
    <mergeCell ref="J27:K27"/>
    <mergeCell ref="D28:E28"/>
    <mergeCell ref="F28:G28"/>
    <mergeCell ref="H28:I28"/>
    <mergeCell ref="J28:K28"/>
    <mergeCell ref="D29:E29"/>
    <mergeCell ref="D31:E31"/>
    <mergeCell ref="F31:G31"/>
    <mergeCell ref="H31:I31"/>
    <mergeCell ref="J31:K31"/>
    <mergeCell ref="D32:E32"/>
    <mergeCell ref="F32:G32"/>
    <mergeCell ref="H32:I32"/>
    <mergeCell ref="J32:K32"/>
    <mergeCell ref="F29:G29"/>
    <mergeCell ref="H29:I29"/>
    <mergeCell ref="J29:K29"/>
    <mergeCell ref="D30:E30"/>
    <mergeCell ref="F30:G30"/>
    <mergeCell ref="H30:I30"/>
    <mergeCell ref="J30:K30"/>
    <mergeCell ref="D35:E35"/>
    <mergeCell ref="F35:G35"/>
    <mergeCell ref="H35:I35"/>
    <mergeCell ref="J35:K35"/>
    <mergeCell ref="D36:E36"/>
    <mergeCell ref="F36:G36"/>
    <mergeCell ref="H36:I36"/>
    <mergeCell ref="J36:K36"/>
    <mergeCell ref="D33:E33"/>
    <mergeCell ref="F33:G33"/>
    <mergeCell ref="H33:I33"/>
    <mergeCell ref="J33:K33"/>
    <mergeCell ref="D34:E34"/>
    <mergeCell ref="F34:G34"/>
    <mergeCell ref="H34:I34"/>
    <mergeCell ref="J34:K34"/>
    <mergeCell ref="D39:E39"/>
    <mergeCell ref="F39:G39"/>
    <mergeCell ref="H39:I39"/>
    <mergeCell ref="J39:K39"/>
    <mergeCell ref="D40:E40"/>
    <mergeCell ref="F40:G40"/>
    <mergeCell ref="H40:I40"/>
    <mergeCell ref="J40:K40"/>
    <mergeCell ref="D37:E37"/>
    <mergeCell ref="F37:G37"/>
    <mergeCell ref="H37:I37"/>
    <mergeCell ref="J37:K37"/>
    <mergeCell ref="D38:E38"/>
    <mergeCell ref="F38:G38"/>
    <mergeCell ref="H38:I38"/>
    <mergeCell ref="J38:K38"/>
    <mergeCell ref="D43:E43"/>
    <mergeCell ref="F43:G43"/>
    <mergeCell ref="H43:I43"/>
    <mergeCell ref="J43:K43"/>
    <mergeCell ref="D44:E44"/>
    <mergeCell ref="F44:G44"/>
    <mergeCell ref="H44:I44"/>
    <mergeCell ref="J44:K44"/>
    <mergeCell ref="D41:E41"/>
    <mergeCell ref="F41:G41"/>
    <mergeCell ref="H41:I41"/>
    <mergeCell ref="J41:K41"/>
    <mergeCell ref="D42:E42"/>
    <mergeCell ref="F42:G42"/>
    <mergeCell ref="H42:I42"/>
    <mergeCell ref="J42:K42"/>
    <mergeCell ref="A45:B50"/>
    <mergeCell ref="D45:E45"/>
    <mergeCell ref="F45:G45"/>
    <mergeCell ref="H45:I45"/>
    <mergeCell ref="J45:K45"/>
    <mergeCell ref="D46:E46"/>
    <mergeCell ref="F46:G46"/>
    <mergeCell ref="H46:I46"/>
    <mergeCell ref="J46:K46"/>
    <mergeCell ref="D47:E47"/>
    <mergeCell ref="D49:E49"/>
    <mergeCell ref="F49:G49"/>
    <mergeCell ref="H49:I49"/>
    <mergeCell ref="J49:K49"/>
    <mergeCell ref="D50:E50"/>
    <mergeCell ref="F50:G50"/>
    <mergeCell ref="H50:I50"/>
    <mergeCell ref="J50:K50"/>
    <mergeCell ref="F47:G47"/>
    <mergeCell ref="H47:I47"/>
    <mergeCell ref="J47:K47"/>
    <mergeCell ref="D48:E48"/>
    <mergeCell ref="F48:G48"/>
    <mergeCell ref="H48:I48"/>
    <mergeCell ref="J48:K48"/>
    <mergeCell ref="D53:E53"/>
    <mergeCell ref="F53:G53"/>
    <mergeCell ref="H53:I53"/>
    <mergeCell ref="J53:K53"/>
    <mergeCell ref="D51:E51"/>
    <mergeCell ref="F51:G51"/>
    <mergeCell ref="H51:I51"/>
    <mergeCell ref="J51:K51"/>
    <mergeCell ref="D52:E52"/>
    <mergeCell ref="F52:G52"/>
    <mergeCell ref="H52:I52"/>
    <mergeCell ref="J52:K52"/>
  </mergeCells>
  <phoneticPr fontId="3"/>
  <printOptions horizontalCentered="1"/>
  <pageMargins left="0.78740157480314965" right="0.59055118110236227" top="0.98425196850393704" bottom="0.98425196850393704" header="0.51181102362204722" footer="0.51181102362204722"/>
  <pageSetup paperSize="9" scale="72" orientation="portrait" r:id="rId1"/>
  <headerFooter alignWithMargins="0">
    <oddFooter>&amp;C－45－</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view="pageBreakPreview" zoomScaleNormal="100" zoomScaleSheetLayoutView="100" workbookViewId="0"/>
  </sheetViews>
  <sheetFormatPr defaultRowHeight="14.25"/>
  <cols>
    <col min="1" max="1" width="9" style="116"/>
    <col min="2" max="2" width="1.375" style="116" customWidth="1"/>
    <col min="3" max="3" width="12.75" style="116" customWidth="1"/>
    <col min="4" max="5" width="12.5" style="116" customWidth="1"/>
    <col min="6" max="6" width="9.375" style="116" bestFit="1" customWidth="1"/>
    <col min="7" max="7" width="8.875" style="116" customWidth="1"/>
    <col min="8" max="8" width="13.5" style="116" customWidth="1"/>
    <col min="9" max="9" width="14.875" style="116" customWidth="1"/>
    <col min="10" max="10" width="14" style="1289" customWidth="1"/>
    <col min="11" max="11" width="9.125" style="116" bestFit="1" customWidth="1"/>
    <col min="12" max="16384" width="9" style="116"/>
  </cols>
  <sheetData>
    <row r="1" spans="1:14" ht="22.5" customHeight="1">
      <c r="A1" s="280" t="s">
        <v>888</v>
      </c>
      <c r="B1" s="280"/>
      <c r="C1" s="280"/>
      <c r="D1" s="280"/>
      <c r="E1" s="280"/>
      <c r="I1" s="1284"/>
      <c r="J1" s="1285"/>
      <c r="K1" s="1284"/>
      <c r="L1" s="1284"/>
      <c r="M1" s="1284"/>
    </row>
    <row r="2" spans="1:14" ht="8.25" customHeight="1" thickBot="1">
      <c r="I2" s="1284"/>
      <c r="J2" s="1285"/>
      <c r="K2" s="1284"/>
      <c r="L2" s="1284"/>
      <c r="M2" s="1284"/>
    </row>
    <row r="3" spans="1:14">
      <c r="A3" s="2105" t="s">
        <v>889</v>
      </c>
      <c r="B3" s="1286"/>
      <c r="C3" s="1287" t="s">
        <v>890</v>
      </c>
      <c r="D3" s="1348" t="s">
        <v>934</v>
      </c>
      <c r="E3" s="1348" t="s">
        <v>935</v>
      </c>
      <c r="F3" s="2106" t="s">
        <v>936</v>
      </c>
      <c r="G3" s="2107"/>
      <c r="H3" s="1335" t="s">
        <v>937</v>
      </c>
      <c r="I3" s="1288" t="s">
        <v>938</v>
      </c>
    </row>
    <row r="4" spans="1:14" ht="15" thickBot="1">
      <c r="A4" s="1898"/>
      <c r="B4" s="489" t="s">
        <v>362</v>
      </c>
      <c r="C4" s="490"/>
      <c r="D4" s="1349" t="s">
        <v>943</v>
      </c>
      <c r="E4" s="1349" t="s">
        <v>944</v>
      </c>
      <c r="F4" s="1290" t="s">
        <v>939</v>
      </c>
      <c r="G4" s="1291" t="s">
        <v>940</v>
      </c>
      <c r="H4" s="1292" t="s">
        <v>941</v>
      </c>
      <c r="I4" s="1350" t="s">
        <v>942</v>
      </c>
    </row>
    <row r="5" spans="1:14" ht="14.25" customHeight="1">
      <c r="A5" s="2108" t="s">
        <v>891</v>
      </c>
      <c r="B5" s="2109" t="s">
        <v>689</v>
      </c>
      <c r="C5" s="1513"/>
      <c r="D5" s="1293">
        <v>8106</v>
      </c>
      <c r="E5" s="1293">
        <v>8296</v>
      </c>
      <c r="F5" s="1294">
        <f>D5-E5</f>
        <v>-190</v>
      </c>
      <c r="G5" s="1295">
        <f>F5/E5*100</f>
        <v>-2.2902603664416583</v>
      </c>
      <c r="H5" s="1296">
        <f>D5*100000/I5</f>
        <v>293.98441730264761</v>
      </c>
      <c r="I5" s="2110">
        <v>2757289</v>
      </c>
    </row>
    <row r="6" spans="1:14" ht="14.25" customHeight="1">
      <c r="A6" s="2093"/>
      <c r="B6" s="2095" t="s">
        <v>892</v>
      </c>
      <c r="C6" s="1496"/>
      <c r="D6" s="1297">
        <v>40</v>
      </c>
      <c r="E6" s="1297">
        <v>43</v>
      </c>
      <c r="F6" s="1298">
        <f>D6-E6</f>
        <v>-3</v>
      </c>
      <c r="G6" s="1299">
        <f>F6/E6*100</f>
        <v>-6.9767441860465116</v>
      </c>
      <c r="H6" s="1300">
        <f>D6*100000/I5</f>
        <v>1.4507003074396627</v>
      </c>
      <c r="I6" s="2097"/>
    </row>
    <row r="7" spans="1:14" ht="13.5" customHeight="1">
      <c r="A7" s="2093"/>
      <c r="B7" s="2099" t="s">
        <v>932</v>
      </c>
      <c r="C7" s="2100"/>
      <c r="D7" s="1301">
        <v>9278</v>
      </c>
      <c r="E7" s="1301">
        <v>9584</v>
      </c>
      <c r="F7" s="1302">
        <f>D7-E7</f>
        <v>-306</v>
      </c>
      <c r="G7" s="1299">
        <f>F7/E7*100</f>
        <v>-3.192821368948247</v>
      </c>
      <c r="H7" s="1303">
        <f>D7*100000/I5</f>
        <v>336.48993631062973</v>
      </c>
      <c r="I7" s="2111"/>
      <c r="J7" s="1304"/>
      <c r="K7" s="1305"/>
      <c r="L7" s="1305"/>
      <c r="M7" s="1305"/>
      <c r="N7" s="1305"/>
    </row>
    <row r="8" spans="1:14" ht="13.5" customHeight="1">
      <c r="A8" s="2094"/>
      <c r="B8" s="1306"/>
      <c r="C8" s="1347" t="s">
        <v>933</v>
      </c>
      <c r="D8" s="1301">
        <v>9278</v>
      </c>
      <c r="E8" s="1307" t="s">
        <v>15</v>
      </c>
      <c r="F8" s="1308" t="s">
        <v>634</v>
      </c>
      <c r="G8" s="1309" t="s">
        <v>634</v>
      </c>
      <c r="H8" s="1303">
        <f>D8*100000/I5</f>
        <v>336.48993631062973</v>
      </c>
      <c r="I8" s="2098"/>
      <c r="J8" s="1304"/>
      <c r="K8" s="1305"/>
      <c r="L8" s="1305"/>
      <c r="M8" s="1305"/>
      <c r="N8" s="1305"/>
    </row>
    <row r="9" spans="1:14" ht="13.5" customHeight="1">
      <c r="A9" s="2092" t="s">
        <v>893</v>
      </c>
      <c r="B9" s="2095" t="s">
        <v>689</v>
      </c>
      <c r="C9" s="1496"/>
      <c r="D9" s="1301">
        <v>2515</v>
      </c>
      <c r="E9" s="1301">
        <v>2487</v>
      </c>
      <c r="F9" s="1302">
        <f t="shared" ref="F9:F67" si="0">D9-E9</f>
        <v>28</v>
      </c>
      <c r="G9" s="1299">
        <f t="shared" ref="G9:G67" si="1">F9/E9*100</f>
        <v>1.1258544431041415</v>
      </c>
      <c r="H9" s="1303">
        <f>D9*100000/I9</f>
        <v>308.50000306660041</v>
      </c>
      <c r="I9" s="2112">
        <v>815235</v>
      </c>
      <c r="J9" s="1304"/>
      <c r="K9" s="1305"/>
      <c r="L9" s="1305"/>
      <c r="M9" s="1305"/>
      <c r="N9" s="1305"/>
    </row>
    <row r="10" spans="1:14" ht="13.5" customHeight="1">
      <c r="A10" s="2093"/>
      <c r="B10" s="2095" t="s">
        <v>892</v>
      </c>
      <c r="C10" s="1496"/>
      <c r="D10" s="1301">
        <v>19</v>
      </c>
      <c r="E10" s="1301">
        <v>11</v>
      </c>
      <c r="F10" s="1302">
        <f t="shared" si="0"/>
        <v>8</v>
      </c>
      <c r="G10" s="1299">
        <f t="shared" si="1"/>
        <v>72.727272727272734</v>
      </c>
      <c r="H10" s="1303">
        <f>D10*100000/I9</f>
        <v>2.3306163253540388</v>
      </c>
      <c r="I10" s="2111"/>
      <c r="J10" s="1304"/>
      <c r="K10" s="1305"/>
      <c r="L10" s="1310"/>
      <c r="M10" s="1305"/>
      <c r="N10" s="1305"/>
    </row>
    <row r="11" spans="1:14" ht="13.5" customHeight="1">
      <c r="A11" s="2093"/>
      <c r="B11" s="2099" t="s">
        <v>932</v>
      </c>
      <c r="C11" s="2100"/>
      <c r="D11" s="1301">
        <v>2904</v>
      </c>
      <c r="E11" s="1301">
        <v>2873</v>
      </c>
      <c r="F11" s="1302">
        <f t="shared" si="0"/>
        <v>31</v>
      </c>
      <c r="G11" s="1299">
        <f>F11/E11*100</f>
        <v>1.0790114862513052</v>
      </c>
      <c r="H11" s="1303">
        <f>D11*100000/I9</f>
        <v>356.21630572779628</v>
      </c>
      <c r="I11" s="2111"/>
      <c r="J11" s="1305"/>
      <c r="K11" s="1305"/>
      <c r="L11" s="1310"/>
      <c r="M11" s="1305"/>
      <c r="N11" s="1305"/>
    </row>
    <row r="12" spans="1:14" ht="13.5" customHeight="1">
      <c r="A12" s="2094"/>
      <c r="B12" s="1306"/>
      <c r="C12" s="1347" t="s">
        <v>933</v>
      </c>
      <c r="D12" s="1301">
        <v>223</v>
      </c>
      <c r="E12" s="1307" t="s">
        <v>634</v>
      </c>
      <c r="F12" s="1308" t="s">
        <v>634</v>
      </c>
      <c r="G12" s="1309" t="s">
        <v>634</v>
      </c>
      <c r="H12" s="1303">
        <f>D12*100000/I9</f>
        <v>27.354075818628985</v>
      </c>
      <c r="I12" s="2113"/>
      <c r="J12" s="1304"/>
      <c r="K12" s="1305"/>
      <c r="L12" s="1305"/>
      <c r="M12" s="1305"/>
      <c r="N12" s="1305"/>
    </row>
    <row r="13" spans="1:14">
      <c r="A13" s="2092" t="s">
        <v>895</v>
      </c>
      <c r="B13" s="2095" t="s">
        <v>689</v>
      </c>
      <c r="C13" s="1496"/>
      <c r="D13" s="1301">
        <v>4414</v>
      </c>
      <c r="E13" s="1301">
        <v>4061</v>
      </c>
      <c r="F13" s="1302">
        <f t="shared" si="0"/>
        <v>353</v>
      </c>
      <c r="G13" s="1299">
        <f t="shared" si="1"/>
        <v>8.6924402856439311</v>
      </c>
      <c r="H13" s="1303">
        <f>D13*100000/I13</f>
        <v>223.92167307131353</v>
      </c>
      <c r="I13" s="2104">
        <v>1971225</v>
      </c>
      <c r="J13" s="1305"/>
      <c r="K13" s="1305"/>
      <c r="L13" s="1310"/>
      <c r="M13" s="1305"/>
      <c r="N13" s="1305"/>
    </row>
    <row r="14" spans="1:14">
      <c r="A14" s="2093"/>
      <c r="B14" s="2095" t="s">
        <v>892</v>
      </c>
      <c r="C14" s="1496"/>
      <c r="D14" s="1297">
        <v>28</v>
      </c>
      <c r="E14" s="1297">
        <v>16</v>
      </c>
      <c r="F14" s="1298">
        <f t="shared" si="0"/>
        <v>12</v>
      </c>
      <c r="G14" s="1299">
        <f t="shared" si="1"/>
        <v>75</v>
      </c>
      <c r="H14" s="1300">
        <f>D14*100000/I13</f>
        <v>1.4204365305837741</v>
      </c>
      <c r="I14" s="2097"/>
      <c r="J14" s="116"/>
    </row>
    <row r="15" spans="1:14" ht="14.25" customHeight="1">
      <c r="A15" s="2093"/>
      <c r="B15" s="2099" t="s">
        <v>932</v>
      </c>
      <c r="C15" s="2100"/>
      <c r="D15" s="1297">
        <v>4999</v>
      </c>
      <c r="E15" s="1297">
        <v>4610</v>
      </c>
      <c r="F15" s="1298">
        <f t="shared" si="0"/>
        <v>389</v>
      </c>
      <c r="G15" s="1299">
        <f t="shared" si="1"/>
        <v>8.4381778741865503</v>
      </c>
      <c r="H15" s="1300">
        <f>D15*100000/I13</f>
        <v>253.59865058529596</v>
      </c>
      <c r="I15" s="2097"/>
    </row>
    <row r="16" spans="1:14" ht="13.5" customHeight="1">
      <c r="A16" s="1311"/>
      <c r="B16" s="1306"/>
      <c r="C16" s="1347" t="s">
        <v>933</v>
      </c>
      <c r="D16" s="1301">
        <v>318</v>
      </c>
      <c r="E16" s="1307" t="s">
        <v>634</v>
      </c>
      <c r="F16" s="1308" t="s">
        <v>634</v>
      </c>
      <c r="G16" s="1309" t="s">
        <v>634</v>
      </c>
      <c r="H16" s="1303">
        <f>D16*100000/I13</f>
        <v>16.132100597344291</v>
      </c>
      <c r="I16" s="1312"/>
      <c r="J16" s="1304"/>
      <c r="K16" s="1305"/>
      <c r="L16" s="1305"/>
      <c r="M16" s="1305"/>
      <c r="N16" s="1305"/>
    </row>
    <row r="17" spans="1:14">
      <c r="A17" s="2092" t="s">
        <v>896</v>
      </c>
      <c r="B17" s="2095" t="s">
        <v>689</v>
      </c>
      <c r="C17" s="1496"/>
      <c r="D17" s="1297">
        <v>2165</v>
      </c>
      <c r="E17" s="1297">
        <v>2233</v>
      </c>
      <c r="F17" s="1298">
        <f t="shared" si="0"/>
        <v>-68</v>
      </c>
      <c r="G17" s="1299">
        <f t="shared" si="1"/>
        <v>-3.0452306314375281</v>
      </c>
      <c r="H17" s="1300">
        <f>D17*100000/I17</f>
        <v>197.04316929148192</v>
      </c>
      <c r="I17" s="2096">
        <v>1098744</v>
      </c>
    </row>
    <row r="18" spans="1:14">
      <c r="A18" s="2093"/>
      <c r="B18" s="2095" t="s">
        <v>892</v>
      </c>
      <c r="C18" s="1496"/>
      <c r="D18" s="1297">
        <v>13</v>
      </c>
      <c r="E18" s="1297">
        <v>5</v>
      </c>
      <c r="F18" s="1298">
        <f t="shared" si="0"/>
        <v>8</v>
      </c>
      <c r="G18" s="1299">
        <f t="shared" si="1"/>
        <v>160</v>
      </c>
      <c r="H18" s="1300">
        <f>D18*100000/I17</f>
        <v>1.1831691458610922</v>
      </c>
      <c r="I18" s="2097"/>
    </row>
    <row r="19" spans="1:14" ht="14.25" customHeight="1">
      <c r="A19" s="2093"/>
      <c r="B19" s="2099" t="s">
        <v>932</v>
      </c>
      <c r="C19" s="2100"/>
      <c r="D19" s="1297">
        <v>2521</v>
      </c>
      <c r="E19" s="1297">
        <v>2678</v>
      </c>
      <c r="F19" s="1298">
        <f t="shared" si="0"/>
        <v>-157</v>
      </c>
      <c r="G19" s="1299">
        <f t="shared" si="1"/>
        <v>-5.8625840179238242</v>
      </c>
      <c r="H19" s="1300">
        <f>D19*100000/I17</f>
        <v>229.44380128583182</v>
      </c>
      <c r="I19" s="2097"/>
    </row>
    <row r="20" spans="1:14" ht="13.5" customHeight="1">
      <c r="A20" s="2094"/>
      <c r="B20" s="1306"/>
      <c r="C20" s="1347" t="s">
        <v>933</v>
      </c>
      <c r="D20" s="1301">
        <v>214</v>
      </c>
      <c r="E20" s="1307" t="s">
        <v>634</v>
      </c>
      <c r="F20" s="1308" t="s">
        <v>634</v>
      </c>
      <c r="G20" s="1309" t="s">
        <v>634</v>
      </c>
      <c r="H20" s="1303">
        <f>D20*100000/I17</f>
        <v>19.47678440109798</v>
      </c>
      <c r="I20" s="2098"/>
      <c r="J20" s="1304"/>
      <c r="K20" s="1305"/>
      <c r="L20" s="1305"/>
      <c r="M20" s="1305"/>
      <c r="N20" s="1305"/>
    </row>
    <row r="21" spans="1:14">
      <c r="A21" s="2092" t="s">
        <v>897</v>
      </c>
      <c r="B21" s="2095" t="s">
        <v>689</v>
      </c>
      <c r="C21" s="1496"/>
      <c r="D21" s="1297">
        <v>2908</v>
      </c>
      <c r="E21" s="1297">
        <v>3038</v>
      </c>
      <c r="F21" s="1298">
        <f t="shared" si="0"/>
        <v>-130</v>
      </c>
      <c r="G21" s="1299">
        <f t="shared" si="1"/>
        <v>-4.2791310072416069</v>
      </c>
      <c r="H21" s="1300">
        <f>D21*100000/I21</f>
        <v>217.12300077725257</v>
      </c>
      <c r="I21" s="2096">
        <v>1339333</v>
      </c>
    </row>
    <row r="22" spans="1:14">
      <c r="A22" s="2093"/>
      <c r="B22" s="2095" t="s">
        <v>892</v>
      </c>
      <c r="C22" s="1496"/>
      <c r="D22" s="1297">
        <v>10</v>
      </c>
      <c r="E22" s="1297">
        <v>10</v>
      </c>
      <c r="F22" s="1298">
        <f t="shared" si="0"/>
        <v>0</v>
      </c>
      <c r="G22" s="1299">
        <f t="shared" si="1"/>
        <v>0</v>
      </c>
      <c r="H22" s="1300">
        <f>D22*100000/I21</f>
        <v>0.746640305286288</v>
      </c>
      <c r="I22" s="2097"/>
    </row>
    <row r="23" spans="1:14" ht="14.25" customHeight="1">
      <c r="A23" s="2093"/>
      <c r="B23" s="2099" t="s">
        <v>932</v>
      </c>
      <c r="C23" s="2100"/>
      <c r="D23" s="1297">
        <v>3345</v>
      </c>
      <c r="E23" s="1297">
        <v>3481</v>
      </c>
      <c r="F23" s="1298">
        <f t="shared" si="0"/>
        <v>-136</v>
      </c>
      <c r="G23" s="1299">
        <f t="shared" si="1"/>
        <v>-3.9069232979029014</v>
      </c>
      <c r="H23" s="1300">
        <f>D23*100000/I21</f>
        <v>249.75118211826336</v>
      </c>
      <c r="I23" s="2097"/>
    </row>
    <row r="24" spans="1:14" ht="13.5" customHeight="1">
      <c r="A24" s="2094"/>
      <c r="B24" s="1306"/>
      <c r="C24" s="1347" t="s">
        <v>933</v>
      </c>
      <c r="D24" s="1307" t="s">
        <v>931</v>
      </c>
      <c r="E24" s="1307" t="s">
        <v>634</v>
      </c>
      <c r="F24" s="1308" t="s">
        <v>634</v>
      </c>
      <c r="G24" s="1309" t="s">
        <v>634</v>
      </c>
      <c r="H24" s="1313" t="s">
        <v>634</v>
      </c>
      <c r="I24" s="2098"/>
      <c r="J24" s="1304"/>
      <c r="K24" s="1305"/>
      <c r="L24" s="1305"/>
      <c r="M24" s="1305"/>
      <c r="N24" s="1305"/>
    </row>
    <row r="25" spans="1:14">
      <c r="A25" s="2092" t="s">
        <v>898</v>
      </c>
      <c r="B25" s="2095" t="s">
        <v>689</v>
      </c>
      <c r="C25" s="1496"/>
      <c r="D25" s="1297">
        <v>2092</v>
      </c>
      <c r="E25" s="1297">
        <v>2193</v>
      </c>
      <c r="F25" s="1298">
        <f t="shared" si="0"/>
        <v>-101</v>
      </c>
      <c r="G25" s="1299">
        <f t="shared" si="1"/>
        <v>-4.6055631554947558</v>
      </c>
      <c r="H25" s="1300">
        <f>D25*100000/I25</f>
        <v>213.90724278472055</v>
      </c>
      <c r="I25" s="2096">
        <v>977994</v>
      </c>
    </row>
    <row r="26" spans="1:14">
      <c r="A26" s="2093"/>
      <c r="B26" s="2095" t="s">
        <v>892</v>
      </c>
      <c r="C26" s="1496"/>
      <c r="D26" s="1297">
        <v>21</v>
      </c>
      <c r="E26" s="1297">
        <v>17</v>
      </c>
      <c r="F26" s="1298">
        <f t="shared" si="0"/>
        <v>4</v>
      </c>
      <c r="G26" s="1299">
        <f t="shared" si="1"/>
        <v>23.52941176470588</v>
      </c>
      <c r="H26" s="1300">
        <f>D26*100000/I25</f>
        <v>2.1472524371315163</v>
      </c>
      <c r="I26" s="2097"/>
    </row>
    <row r="27" spans="1:14" ht="14.25" customHeight="1">
      <c r="A27" s="2093"/>
      <c r="B27" s="2099" t="s">
        <v>932</v>
      </c>
      <c r="C27" s="2100"/>
      <c r="D27" s="1297">
        <v>2403</v>
      </c>
      <c r="E27" s="1297">
        <v>2559</v>
      </c>
      <c r="F27" s="1298">
        <f t="shared" si="0"/>
        <v>-156</v>
      </c>
      <c r="G27" s="1299">
        <f t="shared" si="1"/>
        <v>-6.0961313012895664</v>
      </c>
      <c r="H27" s="1300">
        <f t="shared" ref="H27" si="2">D27*100000/I25</f>
        <v>245.70702887747777</v>
      </c>
      <c r="I27" s="2097"/>
    </row>
    <row r="28" spans="1:14" ht="13.5" customHeight="1">
      <c r="A28" s="2094"/>
      <c r="B28" s="1306"/>
      <c r="C28" s="1347" t="s">
        <v>933</v>
      </c>
      <c r="D28" s="1301">
        <v>243</v>
      </c>
      <c r="E28" s="1307" t="s">
        <v>634</v>
      </c>
      <c r="F28" s="1308" t="s">
        <v>634</v>
      </c>
      <c r="G28" s="1309" t="s">
        <v>634</v>
      </c>
      <c r="H28" s="1303">
        <f>D28*100000/I25</f>
        <v>24.846778201093258</v>
      </c>
      <c r="I28" s="2098"/>
      <c r="J28" s="1304"/>
      <c r="K28" s="1305"/>
      <c r="L28" s="1305"/>
      <c r="M28" s="1305"/>
      <c r="N28" s="1305"/>
    </row>
    <row r="29" spans="1:14">
      <c r="A29" s="2092" t="s">
        <v>899</v>
      </c>
      <c r="B29" s="2095" t="s">
        <v>689</v>
      </c>
      <c r="C29" s="1496"/>
      <c r="D29" s="1297">
        <v>2592</v>
      </c>
      <c r="E29" s="1297">
        <v>2663</v>
      </c>
      <c r="F29" s="1298">
        <f t="shared" si="0"/>
        <v>-71</v>
      </c>
      <c r="G29" s="1299">
        <f t="shared" si="1"/>
        <v>-2.6661659782200529</v>
      </c>
      <c r="H29" s="1300">
        <f>D29*100000/I29</f>
        <v>168.25531185654677</v>
      </c>
      <c r="I29" s="2096">
        <v>1540516</v>
      </c>
    </row>
    <row r="30" spans="1:14">
      <c r="A30" s="2093"/>
      <c r="B30" s="2095" t="s">
        <v>892</v>
      </c>
      <c r="C30" s="1496"/>
      <c r="D30" s="1297">
        <v>18</v>
      </c>
      <c r="E30" s="1297">
        <v>14</v>
      </c>
      <c r="F30" s="1298">
        <f t="shared" si="0"/>
        <v>4</v>
      </c>
      <c r="G30" s="1299">
        <f t="shared" si="1"/>
        <v>28.571428571428569</v>
      </c>
      <c r="H30" s="1300">
        <f>D30*100000/I29</f>
        <v>1.1684396656704636</v>
      </c>
      <c r="I30" s="2097"/>
    </row>
    <row r="31" spans="1:14" ht="14.25" customHeight="1">
      <c r="A31" s="2093"/>
      <c r="B31" s="2099" t="s">
        <v>932</v>
      </c>
      <c r="C31" s="2100"/>
      <c r="D31" s="1297">
        <v>2908</v>
      </c>
      <c r="E31" s="1297">
        <v>2981</v>
      </c>
      <c r="F31" s="1298">
        <f t="shared" si="0"/>
        <v>-73</v>
      </c>
      <c r="G31" s="1299">
        <f t="shared" si="1"/>
        <v>-2.4488426702448844</v>
      </c>
      <c r="H31" s="1300">
        <f>D31*100000/I29</f>
        <v>188.76791932053936</v>
      </c>
      <c r="I31" s="2097"/>
    </row>
    <row r="32" spans="1:14" ht="13.5" customHeight="1">
      <c r="A32" s="2094"/>
      <c r="B32" s="1306"/>
      <c r="C32" s="1347" t="s">
        <v>933</v>
      </c>
      <c r="D32" s="1301">
        <v>123</v>
      </c>
      <c r="E32" s="1307" t="s">
        <v>634</v>
      </c>
      <c r="F32" s="1308" t="s">
        <v>634</v>
      </c>
      <c r="G32" s="1309" t="s">
        <v>634</v>
      </c>
      <c r="H32" s="1303">
        <f>D32*100000/I29</f>
        <v>7.9843377154148349</v>
      </c>
      <c r="I32" s="2098"/>
      <c r="J32" s="1304"/>
      <c r="K32" s="1305"/>
      <c r="L32" s="1305"/>
      <c r="M32" s="1305"/>
      <c r="N32" s="1305"/>
    </row>
    <row r="33" spans="1:14">
      <c r="A33" s="2092" t="s">
        <v>900</v>
      </c>
      <c r="B33" s="2095" t="s">
        <v>689</v>
      </c>
      <c r="C33" s="1496"/>
      <c r="D33" s="1297">
        <v>74922</v>
      </c>
      <c r="E33" s="1297">
        <v>7883</v>
      </c>
      <c r="F33" s="1298">
        <f t="shared" si="0"/>
        <v>67039</v>
      </c>
      <c r="G33" s="1299">
        <f t="shared" si="1"/>
        <v>850.42496511480397</v>
      </c>
      <c r="H33" s="1300">
        <f>D33*100000/I33</f>
        <v>1987.5344698833694</v>
      </c>
      <c r="I33" s="2096">
        <v>3769595</v>
      </c>
    </row>
    <row r="34" spans="1:14">
      <c r="A34" s="2093"/>
      <c r="B34" s="2095" t="s">
        <v>892</v>
      </c>
      <c r="C34" s="1496"/>
      <c r="D34" s="1297">
        <v>38</v>
      </c>
      <c r="E34" s="1297">
        <v>36</v>
      </c>
      <c r="F34" s="1298">
        <f t="shared" si="0"/>
        <v>2</v>
      </c>
      <c r="G34" s="1299">
        <f t="shared" si="1"/>
        <v>5.5555555555555554</v>
      </c>
      <c r="H34" s="1300">
        <f>D34*100000/I33</f>
        <v>1.0080658532282645</v>
      </c>
      <c r="I34" s="2097"/>
    </row>
    <row r="35" spans="1:14" ht="14.25" customHeight="1">
      <c r="A35" s="2093"/>
      <c r="B35" s="2099" t="s">
        <v>932</v>
      </c>
      <c r="C35" s="2100"/>
      <c r="D35" s="1314">
        <v>8483</v>
      </c>
      <c r="E35" s="1314">
        <v>8997</v>
      </c>
      <c r="F35" s="1315">
        <f t="shared" si="0"/>
        <v>-514</v>
      </c>
      <c r="G35" s="1316">
        <f t="shared" si="1"/>
        <v>-5.7130154495943097</v>
      </c>
      <c r="H35" s="1317">
        <f>D35*100000/I33</f>
        <v>225.03743770882548</v>
      </c>
      <c r="I35" s="2097"/>
    </row>
    <row r="36" spans="1:14" ht="13.5" customHeight="1">
      <c r="A36" s="2094"/>
      <c r="B36" s="1306"/>
      <c r="C36" s="1347" t="s">
        <v>933</v>
      </c>
      <c r="D36" s="1301">
        <v>328</v>
      </c>
      <c r="E36" s="1307" t="s">
        <v>634</v>
      </c>
      <c r="F36" s="1308" t="s">
        <v>634</v>
      </c>
      <c r="G36" s="1309" t="s">
        <v>634</v>
      </c>
      <c r="H36" s="1303">
        <f>D36*100000/I33</f>
        <v>8.7011999962860731</v>
      </c>
      <c r="I36" s="2098"/>
      <c r="J36" s="1304"/>
      <c r="K36" s="1305"/>
      <c r="L36" s="1305"/>
      <c r="M36" s="1305"/>
      <c r="N36" s="1305"/>
    </row>
    <row r="37" spans="1:14">
      <c r="A37" s="2092" t="s">
        <v>901</v>
      </c>
      <c r="B37" s="2095" t="s">
        <v>689</v>
      </c>
      <c r="C37" s="1496"/>
      <c r="D37" s="1314">
        <v>1991</v>
      </c>
      <c r="E37" s="1314">
        <v>2116</v>
      </c>
      <c r="F37" s="1315">
        <f t="shared" si="0"/>
        <v>-125</v>
      </c>
      <c r="G37" s="1316">
        <f t="shared" si="1"/>
        <v>-5.9073724007561434</v>
      </c>
      <c r="H37" s="1317">
        <f>D37*100000/I37</f>
        <v>274.23071466645365</v>
      </c>
      <c r="I37" s="2096">
        <v>726031</v>
      </c>
    </row>
    <row r="38" spans="1:14">
      <c r="A38" s="2093"/>
      <c r="B38" s="2095" t="s">
        <v>892</v>
      </c>
      <c r="C38" s="1496"/>
      <c r="D38" s="1314">
        <v>10</v>
      </c>
      <c r="E38" s="1314">
        <v>14</v>
      </c>
      <c r="F38" s="1315">
        <f t="shared" si="0"/>
        <v>-4</v>
      </c>
      <c r="G38" s="1316">
        <f t="shared" si="1"/>
        <v>-28.571428571428569</v>
      </c>
      <c r="H38" s="1317">
        <f>D38*100000/I37</f>
        <v>1.377351655783293</v>
      </c>
      <c r="I38" s="2097"/>
    </row>
    <row r="39" spans="1:14" ht="14.25" customHeight="1">
      <c r="A39" s="2093"/>
      <c r="B39" s="2099" t="s">
        <v>932</v>
      </c>
      <c r="C39" s="2100"/>
      <c r="D39" s="1297">
        <v>2227</v>
      </c>
      <c r="E39" s="1297">
        <v>2437</v>
      </c>
      <c r="F39" s="1298">
        <f t="shared" si="0"/>
        <v>-210</v>
      </c>
      <c r="G39" s="1299">
        <f t="shared" si="1"/>
        <v>-8.6171522363561746</v>
      </c>
      <c r="H39" s="1300">
        <f>D39*100000/I37</f>
        <v>306.73621374293936</v>
      </c>
      <c r="I39" s="2097"/>
    </row>
    <row r="40" spans="1:14" ht="13.5" customHeight="1">
      <c r="A40" s="2094"/>
      <c r="B40" s="1306"/>
      <c r="C40" s="1347" t="s">
        <v>933</v>
      </c>
      <c r="D40" s="1301">
        <v>101</v>
      </c>
      <c r="E40" s="1307" t="s">
        <v>634</v>
      </c>
      <c r="F40" s="1308" t="s">
        <v>634</v>
      </c>
      <c r="G40" s="1309" t="s">
        <v>634</v>
      </c>
      <c r="H40" s="1303">
        <f>D40*100000/I37</f>
        <v>13.91125172341126</v>
      </c>
      <c r="I40" s="2098"/>
      <c r="J40" s="1304"/>
      <c r="K40" s="1305"/>
      <c r="L40" s="1305"/>
      <c r="M40" s="1305"/>
      <c r="N40" s="1305"/>
    </row>
    <row r="41" spans="1:14">
      <c r="A41" s="2092" t="s">
        <v>902</v>
      </c>
      <c r="B41" s="2095" t="s">
        <v>689</v>
      </c>
      <c r="C41" s="1496"/>
      <c r="D41" s="1314">
        <v>1196</v>
      </c>
      <c r="E41" s="1314">
        <v>1221</v>
      </c>
      <c r="F41" s="1315">
        <f t="shared" si="0"/>
        <v>-25</v>
      </c>
      <c r="G41" s="1316">
        <f t="shared" si="1"/>
        <v>-2.0475020475020473</v>
      </c>
      <c r="H41" s="1317">
        <f>D41*100000/I41</f>
        <v>153.83942559754269</v>
      </c>
      <c r="I41" s="2096">
        <v>777434</v>
      </c>
    </row>
    <row r="42" spans="1:14">
      <c r="A42" s="2093"/>
      <c r="B42" s="2095" t="s">
        <v>892</v>
      </c>
      <c r="C42" s="1496"/>
      <c r="D42" s="1314">
        <v>16</v>
      </c>
      <c r="E42" s="1314">
        <v>10</v>
      </c>
      <c r="F42" s="1315">
        <f t="shared" si="0"/>
        <v>6</v>
      </c>
      <c r="G42" s="1316">
        <f t="shared" si="1"/>
        <v>60</v>
      </c>
      <c r="H42" s="1317">
        <f>D42*100000/I41</f>
        <v>2.0580525163550862</v>
      </c>
      <c r="I42" s="2097"/>
    </row>
    <row r="43" spans="1:14" ht="14.25" customHeight="1">
      <c r="A43" s="2093"/>
      <c r="B43" s="2099" t="s">
        <v>932</v>
      </c>
      <c r="C43" s="2100"/>
      <c r="D43" s="1297">
        <v>1368</v>
      </c>
      <c r="E43" s="1297">
        <v>1366</v>
      </c>
      <c r="F43" s="1298">
        <f t="shared" si="0"/>
        <v>2</v>
      </c>
      <c r="G43" s="1299">
        <f t="shared" si="1"/>
        <v>0.14641288433382138</v>
      </c>
      <c r="H43" s="1300">
        <f>D43*100000/I41</f>
        <v>175.96349014835985</v>
      </c>
      <c r="I43" s="2097"/>
    </row>
    <row r="44" spans="1:14" ht="13.5" customHeight="1">
      <c r="A44" s="2094"/>
      <c r="B44" s="1306"/>
      <c r="C44" s="1347" t="s">
        <v>933</v>
      </c>
      <c r="D44" s="1301">
        <v>185</v>
      </c>
      <c r="E44" s="1307" t="s">
        <v>634</v>
      </c>
      <c r="F44" s="1308" t="s">
        <v>634</v>
      </c>
      <c r="G44" s="1309" t="s">
        <v>634</v>
      </c>
      <c r="H44" s="1303">
        <f>D44*100000/I41</f>
        <v>23.796232220355684</v>
      </c>
      <c r="I44" s="2098"/>
      <c r="J44" s="1304"/>
      <c r="K44" s="1305"/>
      <c r="L44" s="1305"/>
      <c r="M44" s="1305"/>
      <c r="N44" s="1305"/>
    </row>
    <row r="45" spans="1:14" ht="14.25" customHeight="1">
      <c r="A45" s="2092" t="s">
        <v>903</v>
      </c>
      <c r="B45" s="2095" t="s">
        <v>689</v>
      </c>
      <c r="C45" s="1789"/>
      <c r="D45" s="1297">
        <v>3579</v>
      </c>
      <c r="E45" s="1297">
        <v>3507</v>
      </c>
      <c r="F45" s="1298">
        <f t="shared" si="0"/>
        <v>72</v>
      </c>
      <c r="G45" s="1299">
        <f t="shared" si="1"/>
        <v>2.0530367835757057</v>
      </c>
      <c r="H45" s="1317">
        <f>D45*100000/I45</f>
        <v>524.83161835546889</v>
      </c>
      <c r="I45" s="2096">
        <v>681933</v>
      </c>
    </row>
    <row r="46" spans="1:14">
      <c r="A46" s="2093"/>
      <c r="B46" s="2095" t="s">
        <v>892</v>
      </c>
      <c r="C46" s="1496"/>
      <c r="D46" s="1297">
        <v>11</v>
      </c>
      <c r="E46" s="1297">
        <v>19</v>
      </c>
      <c r="F46" s="1298">
        <f t="shared" si="0"/>
        <v>-8</v>
      </c>
      <c r="G46" s="1299">
        <f t="shared" si="1"/>
        <v>-42.105263157894733</v>
      </c>
      <c r="H46" s="1317">
        <f>D46*100000/I45</f>
        <v>1.6130616937441069</v>
      </c>
      <c r="I46" s="2097"/>
    </row>
    <row r="47" spans="1:14">
      <c r="A47" s="2093"/>
      <c r="B47" s="2099" t="s">
        <v>894</v>
      </c>
      <c r="C47" s="2103"/>
      <c r="D47" s="1314">
        <v>4299</v>
      </c>
      <c r="E47" s="1314">
        <v>4213</v>
      </c>
      <c r="F47" s="1315">
        <f t="shared" si="0"/>
        <v>86</v>
      </c>
      <c r="G47" s="1316">
        <f t="shared" si="1"/>
        <v>2.0413007358177073</v>
      </c>
      <c r="H47" s="1317">
        <f>D47*100000/I45</f>
        <v>630.41383830962866</v>
      </c>
      <c r="I47" s="2097"/>
    </row>
    <row r="48" spans="1:14" ht="13.5" customHeight="1">
      <c r="A48" s="2094"/>
      <c r="B48" s="1306"/>
      <c r="C48" s="1347" t="s">
        <v>933</v>
      </c>
      <c r="D48" s="1301">
        <v>196</v>
      </c>
      <c r="E48" s="1307" t="s">
        <v>634</v>
      </c>
      <c r="F48" s="1308" t="s">
        <v>634</v>
      </c>
      <c r="G48" s="1309" t="s">
        <v>634</v>
      </c>
      <c r="H48" s="1303">
        <f>D48*100000/I45</f>
        <v>28.741826543076812</v>
      </c>
      <c r="I48" s="2098"/>
      <c r="J48" s="1304"/>
      <c r="K48" s="1305"/>
      <c r="L48" s="1305"/>
      <c r="M48" s="1305"/>
      <c r="N48" s="1305"/>
    </row>
    <row r="49" spans="1:14">
      <c r="A49" s="2092" t="s">
        <v>904</v>
      </c>
      <c r="B49" s="2095" t="s">
        <v>689</v>
      </c>
      <c r="C49" s="1496"/>
      <c r="D49" s="1297">
        <v>5094</v>
      </c>
      <c r="E49" s="1297">
        <v>5375</v>
      </c>
      <c r="F49" s="1298">
        <f t="shared" si="0"/>
        <v>-281</v>
      </c>
      <c r="G49" s="1299">
        <f t="shared" si="1"/>
        <v>-5.2279069767441859</v>
      </c>
      <c r="H49" s="1317">
        <f>D49*100000/I49</f>
        <v>650.85566949717759</v>
      </c>
      <c r="I49" s="2096">
        <v>782662</v>
      </c>
    </row>
    <row r="50" spans="1:14">
      <c r="A50" s="2093"/>
      <c r="B50" s="2095" t="s">
        <v>892</v>
      </c>
      <c r="C50" s="1496"/>
      <c r="D50" s="1297">
        <v>20</v>
      </c>
      <c r="E50" s="1297">
        <v>19</v>
      </c>
      <c r="F50" s="1298">
        <f t="shared" si="0"/>
        <v>1</v>
      </c>
      <c r="G50" s="1299">
        <f t="shared" si="1"/>
        <v>5.2631578947368416</v>
      </c>
      <c r="H50" s="1317">
        <f>D50*100000/I49</f>
        <v>2.5553815056818907</v>
      </c>
      <c r="I50" s="2097"/>
    </row>
    <row r="51" spans="1:14" ht="14.25" customHeight="1">
      <c r="A51" s="2093"/>
      <c r="B51" s="2099" t="s">
        <v>932</v>
      </c>
      <c r="C51" s="2100"/>
      <c r="D51" s="1297">
        <v>6519</v>
      </c>
      <c r="E51" s="1297">
        <v>6783</v>
      </c>
      <c r="F51" s="1298">
        <f t="shared" si="0"/>
        <v>-264</v>
      </c>
      <c r="G51" s="1299">
        <f t="shared" si="1"/>
        <v>-3.8920831490490935</v>
      </c>
      <c r="H51" s="1300">
        <f>D51*100000/I49</f>
        <v>832.92660177701225</v>
      </c>
      <c r="I51" s="2097"/>
    </row>
    <row r="52" spans="1:14" ht="13.5" customHeight="1">
      <c r="A52" s="2094"/>
      <c r="B52" s="1306"/>
      <c r="C52" s="1347" t="s">
        <v>933</v>
      </c>
      <c r="D52" s="1301">
        <v>191</v>
      </c>
      <c r="E52" s="1307" t="s">
        <v>634</v>
      </c>
      <c r="F52" s="1308" t="s">
        <v>634</v>
      </c>
      <c r="G52" s="1309" t="s">
        <v>634</v>
      </c>
      <c r="H52" s="1303">
        <f>D52*100000/I49</f>
        <v>24.403893379262058</v>
      </c>
      <c r="I52" s="2098"/>
      <c r="J52" s="1304"/>
      <c r="K52" s="1305"/>
      <c r="L52" s="1305"/>
      <c r="M52" s="1305"/>
      <c r="N52" s="1305"/>
    </row>
    <row r="53" spans="1:14">
      <c r="A53" s="2092" t="s">
        <v>905</v>
      </c>
      <c r="B53" s="2095" t="s">
        <v>689</v>
      </c>
      <c r="C53" s="1496"/>
      <c r="D53" s="1297">
        <v>8063</v>
      </c>
      <c r="E53" s="1297">
        <v>8224</v>
      </c>
      <c r="F53" s="1298">
        <f t="shared" si="0"/>
        <v>-161</v>
      </c>
      <c r="G53" s="1299">
        <f t="shared" si="1"/>
        <v>-1.9576848249027237</v>
      </c>
      <c r="H53" s="1300">
        <f>D53*100000/I53</f>
        <v>346.67969169886379</v>
      </c>
      <c r="I53" s="2096">
        <v>2325778</v>
      </c>
    </row>
    <row r="54" spans="1:14">
      <c r="A54" s="2093"/>
      <c r="B54" s="2095" t="s">
        <v>892</v>
      </c>
      <c r="C54" s="1496"/>
      <c r="D54" s="1297">
        <v>30</v>
      </c>
      <c r="E54" s="1297">
        <v>22</v>
      </c>
      <c r="F54" s="1298">
        <f t="shared" si="0"/>
        <v>8</v>
      </c>
      <c r="G54" s="1299">
        <f t="shared" si="1"/>
        <v>36.363636363636367</v>
      </c>
      <c r="H54" s="1300">
        <f>D54*100000/I53</f>
        <v>1.2898909526188655</v>
      </c>
      <c r="I54" s="2097"/>
    </row>
    <row r="55" spans="1:14" ht="14.25" customHeight="1">
      <c r="A55" s="2093"/>
      <c r="B55" s="2099" t="s">
        <v>932</v>
      </c>
      <c r="C55" s="2100"/>
      <c r="D55" s="1297">
        <v>9425</v>
      </c>
      <c r="E55" s="1297">
        <v>9617</v>
      </c>
      <c r="F55" s="1298">
        <f t="shared" si="0"/>
        <v>-192</v>
      </c>
      <c r="G55" s="1299">
        <f t="shared" si="1"/>
        <v>-1.9964645939482166</v>
      </c>
      <c r="H55" s="1300">
        <f>D55*100000/I53</f>
        <v>405.24074094776029</v>
      </c>
      <c r="I55" s="2097"/>
    </row>
    <row r="56" spans="1:14" ht="13.5" customHeight="1">
      <c r="A56" s="2094"/>
      <c r="B56" s="1306"/>
      <c r="C56" s="1347" t="s">
        <v>933</v>
      </c>
      <c r="D56" s="1301">
        <v>184</v>
      </c>
      <c r="E56" s="1307" t="s">
        <v>634</v>
      </c>
      <c r="F56" s="1308" t="s">
        <v>634</v>
      </c>
      <c r="G56" s="1309" t="s">
        <v>634</v>
      </c>
      <c r="H56" s="1303">
        <f>D56*100000/I53</f>
        <v>7.9113311760623759</v>
      </c>
      <c r="I56" s="2098"/>
      <c r="J56" s="1304"/>
      <c r="K56" s="1305"/>
      <c r="L56" s="1305"/>
      <c r="M56" s="1305"/>
      <c r="N56" s="1305"/>
    </row>
    <row r="57" spans="1:14">
      <c r="A57" s="2092" t="s">
        <v>906</v>
      </c>
      <c r="B57" s="2095" t="s">
        <v>689</v>
      </c>
      <c r="C57" s="1496"/>
      <c r="D57" s="1297">
        <v>2401</v>
      </c>
      <c r="E57" s="1297">
        <v>2423</v>
      </c>
      <c r="F57" s="1298">
        <f t="shared" si="0"/>
        <v>-22</v>
      </c>
      <c r="G57" s="1299">
        <f t="shared" si="1"/>
        <v>-0.90796533223276921</v>
      </c>
      <c r="H57" s="1300">
        <f>D57*100000/I57</f>
        <v>165.92366129459154</v>
      </c>
      <c r="I57" s="2096">
        <v>1447051</v>
      </c>
    </row>
    <row r="58" spans="1:14">
      <c r="A58" s="2093"/>
      <c r="B58" s="2095" t="s">
        <v>892</v>
      </c>
      <c r="C58" s="1496"/>
      <c r="D58" s="1297">
        <v>16</v>
      </c>
      <c r="E58" s="1297">
        <v>19</v>
      </c>
      <c r="F58" s="1298">
        <f t="shared" si="0"/>
        <v>-3</v>
      </c>
      <c r="G58" s="1299">
        <f t="shared" si="1"/>
        <v>-15.789473684210526</v>
      </c>
      <c r="H58" s="1300">
        <f>D58*100000/I57</f>
        <v>1.1056970348660828</v>
      </c>
      <c r="I58" s="2097"/>
    </row>
    <row r="59" spans="1:14" ht="14.25" customHeight="1">
      <c r="A59" s="2093"/>
      <c r="B59" s="2099" t="s">
        <v>932</v>
      </c>
      <c r="C59" s="2100"/>
      <c r="D59" s="1297">
        <v>2752</v>
      </c>
      <c r="E59" s="1297">
        <v>2726</v>
      </c>
      <c r="F59" s="1298">
        <f t="shared" si="0"/>
        <v>26</v>
      </c>
      <c r="G59" s="1299">
        <f t="shared" si="1"/>
        <v>0.95377842993396922</v>
      </c>
      <c r="H59" s="1300">
        <f>D59*100000/I57</f>
        <v>190.17988999696624</v>
      </c>
      <c r="I59" s="2097"/>
    </row>
    <row r="60" spans="1:14" ht="13.5" customHeight="1">
      <c r="A60" s="2094"/>
      <c r="B60" s="1306"/>
      <c r="C60" s="1347" t="s">
        <v>933</v>
      </c>
      <c r="D60" s="1301">
        <v>488</v>
      </c>
      <c r="E60" s="1307" t="s">
        <v>634</v>
      </c>
      <c r="F60" s="1308" t="s">
        <v>634</v>
      </c>
      <c r="G60" s="1309" t="s">
        <v>634</v>
      </c>
      <c r="H60" s="1303">
        <f>D60*100000/I57</f>
        <v>33.723759563415527</v>
      </c>
      <c r="I60" s="2098"/>
      <c r="J60" s="1304"/>
      <c r="K60" s="1305"/>
      <c r="L60" s="1305"/>
      <c r="M60" s="1305"/>
      <c r="N60" s="1305"/>
    </row>
    <row r="61" spans="1:14">
      <c r="A61" s="2092" t="s">
        <v>907</v>
      </c>
      <c r="B61" s="2095" t="s">
        <v>689</v>
      </c>
      <c r="C61" s="1496"/>
      <c r="D61" s="1297">
        <v>4588</v>
      </c>
      <c r="E61" s="1297">
        <v>4332</v>
      </c>
      <c r="F61" s="1298">
        <f t="shared" si="0"/>
        <v>256</v>
      </c>
      <c r="G61" s="1299">
        <f t="shared" si="1"/>
        <v>5.9095106186518924</v>
      </c>
      <c r="H61" s="1300">
        <f>D61*100000/I61</f>
        <v>304.20207292362858</v>
      </c>
      <c r="I61" s="2096">
        <v>1508208</v>
      </c>
    </row>
    <row r="62" spans="1:14">
      <c r="A62" s="2093"/>
      <c r="B62" s="2095" t="s">
        <v>892</v>
      </c>
      <c r="C62" s="1496"/>
      <c r="D62" s="1297">
        <v>23</v>
      </c>
      <c r="E62" s="1297">
        <v>30</v>
      </c>
      <c r="F62" s="1298">
        <f t="shared" si="0"/>
        <v>-7</v>
      </c>
      <c r="G62" s="1299">
        <f t="shared" si="1"/>
        <v>-23.333333333333332</v>
      </c>
      <c r="H62" s="1300">
        <f>D62*100000/I61</f>
        <v>1.524988595737458</v>
      </c>
      <c r="I62" s="2097"/>
    </row>
    <row r="63" spans="1:14" ht="14.25" customHeight="1">
      <c r="A63" s="2093"/>
      <c r="B63" s="2099" t="s">
        <v>932</v>
      </c>
      <c r="C63" s="2100"/>
      <c r="D63" s="1297">
        <v>5457</v>
      </c>
      <c r="E63" s="1297">
        <v>5178</v>
      </c>
      <c r="F63" s="1298">
        <f t="shared" si="0"/>
        <v>279</v>
      </c>
      <c r="G63" s="1299">
        <f t="shared" si="1"/>
        <v>5.3881807647740443</v>
      </c>
      <c r="H63" s="1300">
        <f>D63*100000/I61</f>
        <v>361.82012030170904</v>
      </c>
      <c r="I63" s="2097"/>
    </row>
    <row r="64" spans="1:14" ht="13.5" customHeight="1">
      <c r="A64" s="2094"/>
      <c r="B64" s="1306"/>
      <c r="C64" s="1347" t="s">
        <v>933</v>
      </c>
      <c r="D64" s="1301">
        <v>281</v>
      </c>
      <c r="E64" s="1307" t="s">
        <v>634</v>
      </c>
      <c r="F64" s="1308" t="s">
        <v>634</v>
      </c>
      <c r="G64" s="1309" t="s">
        <v>634</v>
      </c>
      <c r="H64" s="1303">
        <f>D64*100000/I61</f>
        <v>18.631382408792422</v>
      </c>
      <c r="I64" s="2098"/>
      <c r="J64" s="1304"/>
      <c r="K64" s="1305"/>
      <c r="L64" s="1305"/>
      <c r="M64" s="1305"/>
      <c r="N64" s="1305"/>
    </row>
    <row r="65" spans="1:14">
      <c r="A65" s="2092" t="s">
        <v>908</v>
      </c>
      <c r="B65" s="2095" t="s">
        <v>689</v>
      </c>
      <c r="C65" s="1496"/>
      <c r="D65" s="1297">
        <v>1816</v>
      </c>
      <c r="E65" s="1297">
        <v>1977</v>
      </c>
      <c r="F65" s="1298">
        <f t="shared" si="0"/>
        <v>-161</v>
      </c>
      <c r="G65" s="1299">
        <f t="shared" si="1"/>
        <v>-8.1436519979767326</v>
      </c>
      <c r="H65" s="1300">
        <f>D65*100000/I65</f>
        <v>252.7002468558579</v>
      </c>
      <c r="I65" s="2096">
        <v>718638</v>
      </c>
    </row>
    <row r="66" spans="1:14">
      <c r="A66" s="2093"/>
      <c r="B66" s="2095" t="s">
        <v>892</v>
      </c>
      <c r="C66" s="1496"/>
      <c r="D66" s="1297">
        <v>27</v>
      </c>
      <c r="E66" s="1297">
        <v>14</v>
      </c>
      <c r="F66" s="1298">
        <f t="shared" si="0"/>
        <v>13</v>
      </c>
      <c r="G66" s="1299">
        <f t="shared" si="1"/>
        <v>92.857142857142861</v>
      </c>
      <c r="H66" s="1300">
        <f>D66*100000/I65</f>
        <v>3.7571071944428209</v>
      </c>
      <c r="I66" s="2097"/>
    </row>
    <row r="67" spans="1:14" ht="14.25" customHeight="1">
      <c r="A67" s="2093"/>
      <c r="B67" s="2099" t="s">
        <v>932</v>
      </c>
      <c r="C67" s="2100"/>
      <c r="D67" s="1297">
        <v>1985</v>
      </c>
      <c r="E67" s="1297">
        <v>2169</v>
      </c>
      <c r="F67" s="1298">
        <f t="shared" si="0"/>
        <v>-184</v>
      </c>
      <c r="G67" s="1299">
        <f t="shared" si="1"/>
        <v>-8.4831719686491471</v>
      </c>
      <c r="H67" s="1300">
        <f>D67*100000/I65</f>
        <v>276.2169548507037</v>
      </c>
      <c r="I67" s="2097"/>
    </row>
    <row r="68" spans="1:14" ht="13.5" customHeight="1">
      <c r="A68" s="2094"/>
      <c r="B68" s="1306"/>
      <c r="C68" s="1347" t="s">
        <v>933</v>
      </c>
      <c r="D68" s="1301">
        <v>184</v>
      </c>
      <c r="E68" s="1307" t="s">
        <v>634</v>
      </c>
      <c r="F68" s="1308" t="s">
        <v>634</v>
      </c>
      <c r="G68" s="1309" t="s">
        <v>634</v>
      </c>
      <c r="H68" s="1303">
        <f>D68*100000/I65</f>
        <v>25.603989769536263</v>
      </c>
      <c r="I68" s="2098"/>
      <c r="J68" s="1304"/>
      <c r="K68" s="1305"/>
      <c r="L68" s="1305"/>
      <c r="M68" s="1305"/>
      <c r="N68" s="1305"/>
    </row>
    <row r="69" spans="1:14">
      <c r="A69" s="2092" t="s">
        <v>909</v>
      </c>
      <c r="B69" s="2095" t="s">
        <v>689</v>
      </c>
      <c r="C69" s="1496"/>
      <c r="D69" s="1297">
        <v>1865</v>
      </c>
      <c r="E69" s="1297">
        <v>1987</v>
      </c>
      <c r="F69" s="1298">
        <f t="shared" ref="F69:F83" si="3">D69-E69</f>
        <v>-122</v>
      </c>
      <c r="G69" s="1299">
        <f t="shared" ref="G69:G83" si="4">F69/E69*100</f>
        <v>-6.1399094111726216</v>
      </c>
      <c r="H69" s="1300">
        <f>D69*100000/I69</f>
        <v>156.69293058629202</v>
      </c>
      <c r="I69" s="2096">
        <v>1190226</v>
      </c>
    </row>
    <row r="70" spans="1:14">
      <c r="A70" s="2093"/>
      <c r="B70" s="2095" t="s">
        <v>892</v>
      </c>
      <c r="C70" s="1496"/>
      <c r="D70" s="1297">
        <v>26</v>
      </c>
      <c r="E70" s="1297">
        <v>11</v>
      </c>
      <c r="F70" s="1298">
        <f t="shared" si="3"/>
        <v>15</v>
      </c>
      <c r="G70" s="1299">
        <f t="shared" si="4"/>
        <v>136.36363636363635</v>
      </c>
      <c r="H70" s="1300">
        <f>D70*100000/I69</f>
        <v>2.1844590859214974</v>
      </c>
      <c r="I70" s="2097"/>
    </row>
    <row r="71" spans="1:14" ht="14.25" customHeight="1">
      <c r="A71" s="2093"/>
      <c r="B71" s="2099" t="s">
        <v>932</v>
      </c>
      <c r="C71" s="2100"/>
      <c r="D71" s="1297">
        <v>2131</v>
      </c>
      <c r="E71" s="1297">
        <v>2291</v>
      </c>
      <c r="F71" s="1298">
        <f t="shared" si="3"/>
        <v>-160</v>
      </c>
      <c r="G71" s="1299">
        <f t="shared" si="4"/>
        <v>-6.9838498472282851</v>
      </c>
      <c r="H71" s="1300">
        <f>D71*100000/I69</f>
        <v>179.04162738841194</v>
      </c>
      <c r="I71" s="2097"/>
    </row>
    <row r="72" spans="1:14" ht="13.5" customHeight="1">
      <c r="A72" s="2094"/>
      <c r="B72" s="1306"/>
      <c r="C72" s="1347" t="s">
        <v>933</v>
      </c>
      <c r="D72" s="1301">
        <v>335</v>
      </c>
      <c r="E72" s="1307" t="s">
        <v>634</v>
      </c>
      <c r="F72" s="1308" t="s">
        <v>634</v>
      </c>
      <c r="G72" s="1309" t="s">
        <v>634</v>
      </c>
      <c r="H72" s="1303">
        <f>D72*100000/I69</f>
        <v>28.145915145526985</v>
      </c>
      <c r="I72" s="2098"/>
      <c r="J72" s="1304"/>
      <c r="K72" s="1305"/>
      <c r="L72" s="1305"/>
      <c r="M72" s="1305"/>
      <c r="N72" s="1305"/>
    </row>
    <row r="73" spans="1:14">
      <c r="A73" s="2092" t="s">
        <v>910</v>
      </c>
      <c r="B73" s="2095" t="s">
        <v>689</v>
      </c>
      <c r="C73" s="1496"/>
      <c r="D73" s="1297">
        <v>3959</v>
      </c>
      <c r="E73" s="1297">
        <v>4074</v>
      </c>
      <c r="F73" s="1298">
        <f t="shared" si="3"/>
        <v>-115</v>
      </c>
      <c r="G73" s="1299">
        <f t="shared" si="4"/>
        <v>-2.8227785959744724</v>
      </c>
      <c r="H73" s="1300">
        <f>D73*100000/I73</f>
        <v>429.03804014469603</v>
      </c>
      <c r="I73" s="2096">
        <v>922762</v>
      </c>
    </row>
    <row r="74" spans="1:14">
      <c r="A74" s="2093"/>
      <c r="B74" s="2095" t="s">
        <v>892</v>
      </c>
      <c r="C74" s="1496"/>
      <c r="D74" s="1297">
        <v>16</v>
      </c>
      <c r="E74" s="1297">
        <v>18</v>
      </c>
      <c r="F74" s="1298">
        <f t="shared" si="3"/>
        <v>-2</v>
      </c>
      <c r="G74" s="1299">
        <f t="shared" si="4"/>
        <v>-11.111111111111111</v>
      </c>
      <c r="H74" s="1300">
        <f>D74*100000/I73</f>
        <v>1.7339248907085467</v>
      </c>
      <c r="I74" s="2097"/>
    </row>
    <row r="75" spans="1:14" ht="14.25" customHeight="1">
      <c r="A75" s="2093"/>
      <c r="B75" s="2099" t="s">
        <v>932</v>
      </c>
      <c r="C75" s="2100"/>
      <c r="D75" s="1297">
        <v>5088</v>
      </c>
      <c r="E75" s="1297">
        <v>5311</v>
      </c>
      <c r="F75" s="1298">
        <f t="shared" si="3"/>
        <v>-223</v>
      </c>
      <c r="G75" s="1299">
        <f t="shared" si="4"/>
        <v>-4.1988326115609116</v>
      </c>
      <c r="H75" s="1300">
        <f>D75*100000/I73</f>
        <v>551.38811524531786</v>
      </c>
      <c r="I75" s="2097"/>
    </row>
    <row r="76" spans="1:14" ht="13.5" customHeight="1">
      <c r="A76" s="2094"/>
      <c r="B76" s="1306"/>
      <c r="C76" s="1347" t="s">
        <v>933</v>
      </c>
      <c r="D76" s="1301">
        <v>131</v>
      </c>
      <c r="E76" s="1307" t="s">
        <v>634</v>
      </c>
      <c r="F76" s="1308" t="s">
        <v>634</v>
      </c>
      <c r="G76" s="1309" t="s">
        <v>634</v>
      </c>
      <c r="H76" s="1303">
        <f>D76*100000/I73</f>
        <v>14.196510042676227</v>
      </c>
      <c r="I76" s="2098"/>
      <c r="J76" s="1304"/>
      <c r="K76" s="1305"/>
      <c r="L76" s="1305"/>
      <c r="M76" s="1305"/>
      <c r="N76" s="1305"/>
    </row>
    <row r="77" spans="1:14">
      <c r="A77" s="2092" t="s">
        <v>911</v>
      </c>
      <c r="B77" s="2095" t="s">
        <v>689</v>
      </c>
      <c r="C77" s="1496"/>
      <c r="D77" s="1297">
        <v>5780</v>
      </c>
      <c r="E77" s="1297">
        <v>5924</v>
      </c>
      <c r="F77" s="1298">
        <f t="shared" si="3"/>
        <v>-144</v>
      </c>
      <c r="G77" s="1299">
        <f t="shared" si="4"/>
        <v>-2.4307900067521944</v>
      </c>
      <c r="H77" s="1300">
        <f>D77*100000/I77</f>
        <v>354.03607247816677</v>
      </c>
      <c r="I77" s="2096">
        <v>1632602</v>
      </c>
    </row>
    <row r="78" spans="1:14">
      <c r="A78" s="2093"/>
      <c r="B78" s="2095" t="s">
        <v>892</v>
      </c>
      <c r="C78" s="1496"/>
      <c r="D78" s="1297">
        <v>10</v>
      </c>
      <c r="E78" s="1297">
        <v>16</v>
      </c>
      <c r="F78" s="1298">
        <f t="shared" si="3"/>
        <v>-6</v>
      </c>
      <c r="G78" s="1299">
        <f t="shared" si="4"/>
        <v>-37.5</v>
      </c>
      <c r="H78" s="1300">
        <f>D78*100000/I77</f>
        <v>0.6125191565366207</v>
      </c>
      <c r="I78" s="2097"/>
    </row>
    <row r="79" spans="1:14" ht="14.25" customHeight="1">
      <c r="A79" s="2093"/>
      <c r="B79" s="2099" t="s">
        <v>932</v>
      </c>
      <c r="C79" s="2100"/>
      <c r="D79" s="1318">
        <v>7001</v>
      </c>
      <c r="E79" s="1318">
        <v>7168</v>
      </c>
      <c r="F79" s="1319">
        <f t="shared" si="3"/>
        <v>-167</v>
      </c>
      <c r="G79" s="1320">
        <f t="shared" si="4"/>
        <v>-2.3297991071428572</v>
      </c>
      <c r="H79" s="1321">
        <f>D79*100000/I77</f>
        <v>428.82466149128817</v>
      </c>
      <c r="I79" s="2097"/>
    </row>
    <row r="80" spans="1:14" ht="13.5" customHeight="1">
      <c r="A80" s="2094"/>
      <c r="B80" s="1306"/>
      <c r="C80" s="1347" t="s">
        <v>933</v>
      </c>
      <c r="D80" s="1301">
        <v>199</v>
      </c>
      <c r="E80" s="1307" t="s">
        <v>634</v>
      </c>
      <c r="F80" s="1308" t="s">
        <v>634</v>
      </c>
      <c r="G80" s="1309" t="s">
        <v>634</v>
      </c>
      <c r="H80" s="1303">
        <f>D80*100000/I77</f>
        <v>12.189131215078751</v>
      </c>
      <c r="I80" s="2098"/>
      <c r="J80" s="1304"/>
      <c r="K80" s="1305"/>
      <c r="L80" s="1305"/>
      <c r="M80" s="1305"/>
      <c r="N80" s="1305"/>
    </row>
    <row r="81" spans="1:11">
      <c r="A81" s="2092" t="s">
        <v>912</v>
      </c>
      <c r="B81" s="2095" t="s">
        <v>689</v>
      </c>
      <c r="C81" s="1496"/>
      <c r="D81" s="1297">
        <v>1644</v>
      </c>
      <c r="E81" s="1297">
        <v>1587</v>
      </c>
      <c r="F81" s="1298">
        <f t="shared" si="3"/>
        <v>57</v>
      </c>
      <c r="G81" s="1299">
        <f t="shared" si="4"/>
        <v>3.5916824196597354</v>
      </c>
      <c r="H81" s="1300">
        <f>D81*100000/I81</f>
        <v>222.84847523657317</v>
      </c>
      <c r="I81" s="2096">
        <v>737721</v>
      </c>
    </row>
    <row r="82" spans="1:11">
      <c r="A82" s="2093"/>
      <c r="B82" s="2095" t="s">
        <v>892</v>
      </c>
      <c r="C82" s="1496"/>
      <c r="D82" s="1297">
        <v>12</v>
      </c>
      <c r="E82" s="1297">
        <v>11</v>
      </c>
      <c r="F82" s="1298">
        <f t="shared" si="3"/>
        <v>1</v>
      </c>
      <c r="G82" s="1299">
        <f t="shared" si="4"/>
        <v>9.0909090909090917</v>
      </c>
      <c r="H82" s="1300">
        <f>D82*100000/I81</f>
        <v>1.6266312061063735</v>
      </c>
      <c r="I82" s="2097"/>
    </row>
    <row r="83" spans="1:11" ht="14.25" customHeight="1">
      <c r="A83" s="2093"/>
      <c r="B83" s="2099" t="s">
        <v>932</v>
      </c>
      <c r="C83" s="2100"/>
      <c r="D83" s="1322">
        <v>1961</v>
      </c>
      <c r="E83" s="1322">
        <v>1872</v>
      </c>
      <c r="F83" s="1294">
        <f t="shared" si="3"/>
        <v>89</v>
      </c>
      <c r="G83" s="1295">
        <f t="shared" si="4"/>
        <v>4.7542735042735043</v>
      </c>
      <c r="H83" s="1296">
        <f>D83*100000/I81</f>
        <v>265.81864959788322</v>
      </c>
      <c r="I83" s="2097"/>
    </row>
    <row r="84" spans="1:11" ht="15" customHeight="1" thickBot="1">
      <c r="A84" s="2101"/>
      <c r="B84" s="1306"/>
      <c r="C84" s="1347" t="s">
        <v>933</v>
      </c>
      <c r="D84" s="1323">
        <v>237</v>
      </c>
      <c r="E84" s="1324" t="s">
        <v>634</v>
      </c>
      <c r="F84" s="1325" t="s">
        <v>634</v>
      </c>
      <c r="G84" s="1326" t="s">
        <v>634</v>
      </c>
      <c r="H84" s="1327">
        <f>D84*100000/I81</f>
        <v>32.125966320600881</v>
      </c>
      <c r="I84" s="2102"/>
    </row>
    <row r="85" spans="1:11" ht="18.75" customHeight="1">
      <c r="A85" s="2091" t="s">
        <v>945</v>
      </c>
      <c r="B85" s="2091"/>
      <c r="C85" s="2091"/>
      <c r="D85" s="2091"/>
      <c r="E85" s="2091"/>
      <c r="F85" s="2091"/>
      <c r="G85" s="2091"/>
      <c r="H85" s="2091"/>
      <c r="I85" s="2091"/>
      <c r="K85" s="1328"/>
    </row>
    <row r="87" spans="1:11">
      <c r="C87" s="240"/>
    </row>
    <row r="88" spans="1:11">
      <c r="C88" s="240"/>
    </row>
  </sheetData>
  <mergeCells count="103">
    <mergeCell ref="A3:A4"/>
    <mergeCell ref="F3:G3"/>
    <mergeCell ref="A5:A8"/>
    <mergeCell ref="B5:C5"/>
    <mergeCell ref="I5:I8"/>
    <mergeCell ref="B6:C6"/>
    <mergeCell ref="B7:C7"/>
    <mergeCell ref="A9:A12"/>
    <mergeCell ref="B9:C9"/>
    <mergeCell ref="I9:I12"/>
    <mergeCell ref="B10:C10"/>
    <mergeCell ref="B11:C11"/>
    <mergeCell ref="A13:A15"/>
    <mergeCell ref="B13:C13"/>
    <mergeCell ref="I13:I15"/>
    <mergeCell ref="B14:C14"/>
    <mergeCell ref="B15:C15"/>
    <mergeCell ref="A17:A20"/>
    <mergeCell ref="B17:C17"/>
    <mergeCell ref="I17:I20"/>
    <mergeCell ref="B18:C18"/>
    <mergeCell ref="B19:C19"/>
    <mergeCell ref="A21:A24"/>
    <mergeCell ref="B21:C21"/>
    <mergeCell ref="I21:I24"/>
    <mergeCell ref="B22:C22"/>
    <mergeCell ref="B23:C23"/>
    <mergeCell ref="A25:A28"/>
    <mergeCell ref="B25:C25"/>
    <mergeCell ref="I25:I28"/>
    <mergeCell ref="B26:C26"/>
    <mergeCell ref="B27:C27"/>
    <mergeCell ref="A29:A32"/>
    <mergeCell ref="B29:C29"/>
    <mergeCell ref="I29:I32"/>
    <mergeCell ref="B30:C30"/>
    <mergeCell ref="B31:C31"/>
    <mergeCell ref="A33:A36"/>
    <mergeCell ref="B33:C33"/>
    <mergeCell ref="I33:I36"/>
    <mergeCell ref="B34:C34"/>
    <mergeCell ref="B35:C35"/>
    <mergeCell ref="A37:A40"/>
    <mergeCell ref="B37:C37"/>
    <mergeCell ref="I37:I40"/>
    <mergeCell ref="B38:C38"/>
    <mergeCell ref="B39:C39"/>
    <mergeCell ref="A41:A44"/>
    <mergeCell ref="B41:C41"/>
    <mergeCell ref="I41:I44"/>
    <mergeCell ref="B42:C42"/>
    <mergeCell ref="B43:C43"/>
    <mergeCell ref="A45:A48"/>
    <mergeCell ref="B45:C45"/>
    <mergeCell ref="I45:I48"/>
    <mergeCell ref="B46:C46"/>
    <mergeCell ref="B47:C47"/>
    <mergeCell ref="A49:A52"/>
    <mergeCell ref="B49:C49"/>
    <mergeCell ref="I49:I52"/>
    <mergeCell ref="B50:C50"/>
    <mergeCell ref="B51:C51"/>
    <mergeCell ref="A53:A56"/>
    <mergeCell ref="B53:C53"/>
    <mergeCell ref="I53:I56"/>
    <mergeCell ref="B54:C54"/>
    <mergeCell ref="B55:C55"/>
    <mergeCell ref="A57:A60"/>
    <mergeCell ref="B57:C57"/>
    <mergeCell ref="I57:I60"/>
    <mergeCell ref="B58:C58"/>
    <mergeCell ref="B59:C59"/>
    <mergeCell ref="A61:A64"/>
    <mergeCell ref="B61:C61"/>
    <mergeCell ref="I61:I64"/>
    <mergeCell ref="B62:C62"/>
    <mergeCell ref="B63:C63"/>
    <mergeCell ref="A65:A68"/>
    <mergeCell ref="B65:C65"/>
    <mergeCell ref="I65:I68"/>
    <mergeCell ref="B66:C66"/>
    <mergeCell ref="B67:C67"/>
    <mergeCell ref="A69:A72"/>
    <mergeCell ref="B69:C69"/>
    <mergeCell ref="I69:I72"/>
    <mergeCell ref="B70:C70"/>
    <mergeCell ref="B71:C71"/>
    <mergeCell ref="A81:A84"/>
    <mergeCell ref="B81:C81"/>
    <mergeCell ref="I81:I84"/>
    <mergeCell ref="B82:C82"/>
    <mergeCell ref="B83:C83"/>
    <mergeCell ref="A85:I85"/>
    <mergeCell ref="A73:A76"/>
    <mergeCell ref="B73:C73"/>
    <mergeCell ref="I73:I76"/>
    <mergeCell ref="B74:C74"/>
    <mergeCell ref="B75:C75"/>
    <mergeCell ref="A77:A80"/>
    <mergeCell ref="B77:C77"/>
    <mergeCell ref="I77:I80"/>
    <mergeCell ref="B78:C78"/>
    <mergeCell ref="B79:C79"/>
  </mergeCells>
  <phoneticPr fontId="3"/>
  <pageMargins left="0.70866141732283472" right="0.19685039370078741" top="0.23622047244094491" bottom="0.27559055118110237" header="0.15748031496062992" footer="0.23622047244094491"/>
  <pageSetup paperSize="9" scale="96" orientation="portrait" r:id="rId1"/>
  <headerFooter alignWithMargins="0">
    <oddFooter>&amp;C－46－</oddFooter>
  </headerFooter>
  <rowBreaks count="1" manualBreakCount="1">
    <brk id="6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32</vt:i4>
      </vt:variant>
    </vt:vector>
  </HeadingPairs>
  <TitlesOfParts>
    <vt:vector size="78" baseType="lpstr">
      <vt:lpstr>1ページ（状況）</vt:lpstr>
      <vt:lpstr>2ページ（年次推移） </vt:lpstr>
      <vt:lpstr>3ページ（４５年との比較）</vt:lpstr>
      <vt:lpstr>4ページ（人口推移）</vt:lpstr>
      <vt:lpstr>5ページ(月別）</vt:lpstr>
      <vt:lpstr>★６ページ（行政区別）</vt:lpstr>
      <vt:lpstr>★７ページの最初の項目用</vt:lpstr>
      <vt:lpstr>★８ページ（幹線道路名）</vt:lpstr>
      <vt:lpstr>★９ページ（幹線道路別図）</vt:lpstr>
      <vt:lpstr>★10ページ（道路種別月率）</vt:lpstr>
      <vt:lpstr>★11ページ（時間別）</vt:lpstr>
      <vt:lpstr>★12ページ（時間道路別）</vt:lpstr>
      <vt:lpstr>★13ページ類型別（対前年比・状態別）</vt:lpstr>
      <vt:lpstr>★14ページ類型別（信号別）</vt:lpstr>
      <vt:lpstr>★15ページ（法令違反別）</vt:lpstr>
      <vt:lpstr>16ページ死亡事故の推移 </vt:lpstr>
      <vt:lpstr>★17ページ高齢者（推移）</vt:lpstr>
      <vt:lpstr>★１８ページ高齢者（行政区別）</vt:lpstr>
      <vt:lpstr>★１９ページ 高齢者(法令違反別)</vt:lpstr>
      <vt:lpstr>★２０ページ子ども（推移）</vt:lpstr>
      <vt:lpstr>★２１ページ子ども（年齢別）</vt:lpstr>
      <vt:lpstr>★２２ページ子ども（行政区別）</vt:lpstr>
      <vt:lpstr>★２３ページ子ども（法令違反別）</vt:lpstr>
      <vt:lpstr>★２４ページ若年者（推移）</vt:lpstr>
      <vt:lpstr>★２５ページ若年者（年齢別）</vt:lpstr>
      <vt:lpstr>★２６ページ若年者（行政区別） </vt:lpstr>
      <vt:lpstr>★２７ページ若年者（法令違反別） (2)</vt:lpstr>
      <vt:lpstr>★２８ページ歩行者（推移） </vt:lpstr>
      <vt:lpstr>★２９ページ歩行者(類型･月別）</vt:lpstr>
      <vt:lpstr>★３０ページ歩行者(行政区･状態）</vt:lpstr>
      <vt:lpstr>★３１ページ歩行者(時間別･状態）</vt:lpstr>
      <vt:lpstr>★３２ページ自転車（推移）</vt:lpstr>
      <vt:lpstr>★３３ページ自転車対自転車</vt:lpstr>
      <vt:lpstr>★３４ページ自転車(事故類型別）</vt:lpstr>
      <vt:lpstr>★３５ページ自転車(行政区･類型）</vt:lpstr>
      <vt:lpstr>★３６ぺージ自転車(時間別･類型）</vt:lpstr>
      <vt:lpstr>★37ページ自動二輪(推移）</vt:lpstr>
      <vt:lpstr>★３８ページ自動二輪車(類型別）</vt:lpstr>
      <vt:lpstr>★３９ページ自動二輪車（区別、類型別）</vt:lpstr>
      <vt:lpstr>★４０ページ自動二輪車(時間、類型別）</vt:lpstr>
      <vt:lpstr>★４１原付(推移）</vt:lpstr>
      <vt:lpstr>★４２原付(類型別)</vt:lpstr>
      <vt:lpstr>★４３原付(行政区）</vt:lpstr>
      <vt:lpstr>★４４原付(時間別）</vt:lpstr>
      <vt:lpstr>★４５ページ（飲酒運転）</vt:lpstr>
      <vt:lpstr>４６ページ大都市の交通事故発生状況</vt:lpstr>
      <vt:lpstr>'★10ページ（道路種別月率）'!Print_Area</vt:lpstr>
      <vt:lpstr>'★11ページ（時間別）'!Print_Area</vt:lpstr>
      <vt:lpstr>'★12ページ（時間道路別）'!Print_Area</vt:lpstr>
      <vt:lpstr>'★13ページ類型別（対前年比・状態別）'!Print_Area</vt:lpstr>
      <vt:lpstr>'★15ページ（法令違反別）'!Print_Area</vt:lpstr>
      <vt:lpstr>'★17ページ高齢者（推移）'!Print_Area</vt:lpstr>
      <vt:lpstr>'★１８ページ高齢者（行政区別）'!Print_Area</vt:lpstr>
      <vt:lpstr>'★２０ページ子ども（推移）'!Print_Area</vt:lpstr>
      <vt:lpstr>'★２４ページ若年者（推移）'!Print_Area</vt:lpstr>
      <vt:lpstr>'★２５ページ若年者（年齢別）'!Print_Area</vt:lpstr>
      <vt:lpstr>'★２６ページ若年者（行政区別） '!Print_Area</vt:lpstr>
      <vt:lpstr>'★２８ページ歩行者（推移） '!Print_Area</vt:lpstr>
      <vt:lpstr>'★３２ページ自転車（推移）'!Print_Area</vt:lpstr>
      <vt:lpstr>★３３ページ自転車対自転車!Print_Area</vt:lpstr>
      <vt:lpstr>'★３４ページ自転車(事故類型別）'!Print_Area</vt:lpstr>
      <vt:lpstr>'★３５ページ自転車(行政区･類型）'!Print_Area</vt:lpstr>
      <vt:lpstr>'★３６ぺージ自転車(時間別･類型）'!Print_Area</vt:lpstr>
      <vt:lpstr>'★37ページ自動二輪(推移）'!Print_Area</vt:lpstr>
      <vt:lpstr>'★３８ページ自動二輪車(類型別）'!Print_Area</vt:lpstr>
      <vt:lpstr>'★４１原付(推移）'!Print_Area</vt:lpstr>
      <vt:lpstr>'★４２原付(類型別)'!Print_Area</vt:lpstr>
      <vt:lpstr>'★４５ページ（飲酒運転）'!Print_Area</vt:lpstr>
      <vt:lpstr>'★６ページ（行政区別）'!Print_Area</vt:lpstr>
      <vt:lpstr>★７ページの最初の項目用!Print_Area</vt:lpstr>
      <vt:lpstr>'★８ページ（幹線道路名）'!Print_Area</vt:lpstr>
      <vt:lpstr>'★９ページ（幹線道路別図）'!Print_Area</vt:lpstr>
      <vt:lpstr>'16ページ死亡事故の推移 '!Print_Area</vt:lpstr>
      <vt:lpstr>'2ページ（年次推移） '!Print_Area</vt:lpstr>
      <vt:lpstr>'3ページ（４５年との比較）'!Print_Area</vt:lpstr>
      <vt:lpstr>'４６ページ大都市の交通事故発生状況'!Print_Area</vt:lpstr>
      <vt:lpstr>'4ページ（人口推移）'!Print_Area</vt:lpstr>
      <vt:lpstr>'5ページ(月別）'!Print_Area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2023-06-08T05:55:22Z</dcterms:created>
  <dcterms:modified xsi:type="dcterms:W3CDTF">2023-07-07T07:18:30Z</dcterms:modified>
</cp:coreProperties>
</file>